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结果汇总" sheetId="82"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地下)" sheetId="79" r:id="rId34"/>
    <sheet name="成本法 (元)" sheetId="69" r:id="rId35"/>
    <sheet name="成本法 (地下)" sheetId="81" r:id="rId36"/>
    <sheet name="基准地价修正" sheetId="43" r:id="rId37"/>
    <sheet name="修正" sheetId="45" state="hidden" r:id="rId38"/>
    <sheet name="容积率修正" sheetId="46" state="hidden" r:id="rId39"/>
    <sheet name="基准地价（汇总）" sheetId="76" state="hidden" r:id="rId40"/>
    <sheet name="基准地价修正 (地下)" sheetId="80" r:id="rId41"/>
    <sheet name="租约整理" sheetId="78"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3">'收益法 (地下)'!$A$1:$AK$69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 (地下)'!$Q$19:$AD$19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C15" i="74"/>
  <c r="B20" i="74"/>
  <c r="B17" i="74"/>
  <c r="B18" i="74"/>
  <c r="B19" i="74"/>
  <c r="B16" i="74"/>
  <c r="B15" i="74"/>
  <c r="Z9" i="1"/>
  <c r="Z6" i="1"/>
  <c r="H17" i="78" l="1"/>
  <c r="F4" i="78"/>
  <c r="F5" i="78" s="1"/>
  <c r="F6" i="78" s="1"/>
  <c r="F7" i="78" s="1"/>
  <c r="F8" i="78" s="1"/>
  <c r="F9" i="78" s="1"/>
  <c r="F10" i="78" s="1"/>
  <c r="F11" i="78" s="1"/>
  <c r="F12" i="78" s="1"/>
  <c r="F13" i="78" s="1"/>
  <c r="F14" i="78" s="1"/>
  <c r="F15" i="78" s="1"/>
  <c r="F16" i="78" s="1"/>
  <c r="G16" i="78" s="1"/>
  <c r="G3" i="78"/>
  <c r="H3" i="78"/>
  <c r="C17" i="78"/>
  <c r="D3" i="78"/>
  <c r="D5" i="78"/>
  <c r="D4" i="78"/>
  <c r="D10" i="69"/>
  <c r="G5" i="78" l="1"/>
  <c r="G15" i="78"/>
  <c r="G13" i="78"/>
  <c r="G11" i="78"/>
  <c r="G9" i="78"/>
  <c r="G7" i="78"/>
  <c r="G14" i="78"/>
  <c r="G12" i="78"/>
  <c r="G10" i="78"/>
  <c r="G8" i="78"/>
  <c r="G6" i="78"/>
  <c r="C9" i="82"/>
  <c r="F38" i="81"/>
  <c r="E37" i="81"/>
  <c r="F36" i="81"/>
  <c r="F35" i="81"/>
  <c r="F21" i="81"/>
  <c r="F20" i="81"/>
  <c r="C19" i="81"/>
  <c r="E10" i="81"/>
  <c r="E9" i="81"/>
  <c r="F7" i="81"/>
  <c r="H1" i="81"/>
  <c r="AH9" i="1"/>
  <c r="D37" i="80"/>
  <c r="F113" i="80"/>
  <c r="N99" i="80"/>
  <c r="M99" i="80"/>
  <c r="L99" i="80"/>
  <c r="K99" i="80"/>
  <c r="J99" i="80"/>
  <c r="I99" i="80"/>
  <c r="H99" i="80"/>
  <c r="G99" i="80"/>
  <c r="F99" i="80"/>
  <c r="E99" i="80"/>
  <c r="D99" i="80"/>
  <c r="D108" i="80" s="1"/>
  <c r="C99" i="80"/>
  <c r="C108" i="80" s="1"/>
  <c r="M88" i="80"/>
  <c r="N88" i="80" s="1"/>
  <c r="K88" i="80"/>
  <c r="J88" i="80" s="1"/>
  <c r="D88" i="80"/>
  <c r="N87" i="80"/>
  <c r="M87" i="80"/>
  <c r="K87" i="80"/>
  <c r="J87" i="80" s="1"/>
  <c r="D87" i="80"/>
  <c r="N86" i="80"/>
  <c r="M86" i="80"/>
  <c r="K86" i="80"/>
  <c r="J86" i="80" s="1"/>
  <c r="D86" i="80"/>
  <c r="N85" i="80"/>
  <c r="M85" i="80"/>
  <c r="K85" i="80"/>
  <c r="J85" i="80" s="1"/>
  <c r="D85" i="80"/>
  <c r="N84" i="80"/>
  <c r="M84" i="80"/>
  <c r="K84" i="80"/>
  <c r="J84" i="80" s="1"/>
  <c r="D84" i="80"/>
  <c r="B84" i="80"/>
  <c r="N83" i="80"/>
  <c r="M83" i="80"/>
  <c r="K83" i="80"/>
  <c r="J83" i="80" s="1"/>
  <c r="D83" i="80"/>
  <c r="B83" i="80"/>
  <c r="M82" i="80"/>
  <c r="N82" i="80" s="1"/>
  <c r="K82" i="80"/>
  <c r="J82" i="80"/>
  <c r="D82" i="80"/>
  <c r="N81" i="80"/>
  <c r="M81" i="80"/>
  <c r="K81" i="80"/>
  <c r="J81" i="80" s="1"/>
  <c r="F81" i="80"/>
  <c r="H87" i="80" s="1"/>
  <c r="D81" i="80"/>
  <c r="E81" i="80" s="1"/>
  <c r="B79" i="80" s="1"/>
  <c r="N78" i="80"/>
  <c r="M78" i="80"/>
  <c r="K78" i="80"/>
  <c r="J78" i="80" s="1"/>
  <c r="D78" i="80"/>
  <c r="M77" i="80"/>
  <c r="N77" i="80" s="1"/>
  <c r="K77" i="80"/>
  <c r="J77" i="80"/>
  <c r="D77" i="80"/>
  <c r="M76" i="80"/>
  <c r="N76" i="80" s="1"/>
  <c r="K76" i="80"/>
  <c r="J76" i="80" s="1"/>
  <c r="D76" i="80"/>
  <c r="M75" i="80"/>
  <c r="N75" i="80" s="1"/>
  <c r="K75" i="80"/>
  <c r="J75" i="80" s="1"/>
  <c r="D75" i="80"/>
  <c r="N74" i="80"/>
  <c r="M74" i="80"/>
  <c r="K74" i="80"/>
  <c r="J74" i="80" s="1"/>
  <c r="D74" i="80"/>
  <c r="M73" i="80"/>
  <c r="N73" i="80" s="1"/>
  <c r="K73" i="80"/>
  <c r="J73" i="80" s="1"/>
  <c r="D73" i="80"/>
  <c r="N72" i="80"/>
  <c r="M72" i="80"/>
  <c r="K72" i="80"/>
  <c r="J72" i="80" s="1"/>
  <c r="D72" i="80"/>
  <c r="B72" i="80"/>
  <c r="M71" i="80"/>
  <c r="N71" i="80" s="1"/>
  <c r="K71" i="80"/>
  <c r="J71" i="80" s="1"/>
  <c r="D71" i="80"/>
  <c r="N70" i="80"/>
  <c r="M70" i="80"/>
  <c r="K70" i="80"/>
  <c r="J70" i="80" s="1"/>
  <c r="F70" i="80"/>
  <c r="H76" i="80" s="1"/>
  <c r="D70" i="80"/>
  <c r="M67" i="80"/>
  <c r="N67" i="80" s="1"/>
  <c r="K67" i="80"/>
  <c r="J67" i="80" s="1"/>
  <c r="D67" i="80"/>
  <c r="N66" i="80"/>
  <c r="M66" i="80"/>
  <c r="K66" i="80"/>
  <c r="J66" i="80" s="1"/>
  <c r="M65" i="80"/>
  <c r="N65" i="80" s="1"/>
  <c r="K65" i="80"/>
  <c r="J65" i="80"/>
  <c r="D65" i="80"/>
  <c r="M64" i="80"/>
  <c r="N64" i="80" s="1"/>
  <c r="K64" i="80"/>
  <c r="J64" i="80" s="1"/>
  <c r="N63" i="80"/>
  <c r="M63" i="80"/>
  <c r="K63" i="80"/>
  <c r="J63" i="80" s="1"/>
  <c r="D63" i="80"/>
  <c r="M62" i="80"/>
  <c r="N62" i="80" s="1"/>
  <c r="K62" i="80"/>
  <c r="J62" i="80" s="1"/>
  <c r="D62" i="80"/>
  <c r="M61" i="80"/>
  <c r="N61" i="80" s="1"/>
  <c r="K61" i="80"/>
  <c r="J61" i="80" s="1"/>
  <c r="D61" i="80"/>
  <c r="B61" i="80"/>
  <c r="N60" i="80"/>
  <c r="M60" i="80"/>
  <c r="K60" i="80"/>
  <c r="J60" i="80" s="1"/>
  <c r="D60" i="80"/>
  <c r="M59" i="80"/>
  <c r="N59" i="80" s="1"/>
  <c r="K59" i="80"/>
  <c r="J59" i="80" s="1"/>
  <c r="D59" i="80"/>
  <c r="M56" i="80"/>
  <c r="N56" i="80" s="1"/>
  <c r="K56" i="80"/>
  <c r="J56" i="80"/>
  <c r="D56" i="80"/>
  <c r="M55" i="80"/>
  <c r="N55" i="80" s="1"/>
  <c r="K55" i="80"/>
  <c r="J55" i="80" s="1"/>
  <c r="D55" i="80"/>
  <c r="M54" i="80"/>
  <c r="N54" i="80" s="1"/>
  <c r="K54" i="80"/>
  <c r="J54" i="80"/>
  <c r="D54" i="80"/>
  <c r="M53" i="80"/>
  <c r="N53" i="80" s="1"/>
  <c r="K53" i="80"/>
  <c r="J53" i="80" s="1"/>
  <c r="D53" i="80"/>
  <c r="M52" i="80"/>
  <c r="N52" i="80" s="1"/>
  <c r="K52" i="80"/>
  <c r="J52" i="80" s="1"/>
  <c r="D52" i="80"/>
  <c r="N51" i="80"/>
  <c r="M51" i="80"/>
  <c r="K51" i="80"/>
  <c r="J51" i="80" s="1"/>
  <c r="D51" i="80"/>
  <c r="M50" i="80"/>
  <c r="N50" i="80" s="1"/>
  <c r="K50" i="80"/>
  <c r="J50" i="80"/>
  <c r="D50" i="80"/>
  <c r="B50" i="80"/>
  <c r="M49" i="80"/>
  <c r="N49" i="80" s="1"/>
  <c r="K49" i="80"/>
  <c r="J49" i="80" s="1"/>
  <c r="D49" i="80"/>
  <c r="M48" i="80"/>
  <c r="N48" i="80" s="1"/>
  <c r="K48" i="80"/>
  <c r="J48" i="80"/>
  <c r="F48" i="80"/>
  <c r="H55" i="80" s="1"/>
  <c r="D48" i="80"/>
  <c r="E48" i="80" s="1"/>
  <c r="B48" i="80"/>
  <c r="B46" i="80"/>
  <c r="H39" i="80"/>
  <c r="H38" i="80"/>
  <c r="H37" i="80"/>
  <c r="H36" i="80"/>
  <c r="H35" i="80"/>
  <c r="H34" i="80"/>
  <c r="H33" i="80"/>
  <c r="J20" i="80"/>
  <c r="I19" i="80"/>
  <c r="C18" i="80"/>
  <c r="F15" i="80"/>
  <c r="E15" i="80"/>
  <c r="D15" i="80"/>
  <c r="C15" i="80"/>
  <c r="AH12" i="80"/>
  <c r="AD12" i="80"/>
  <c r="Z12" i="80"/>
  <c r="Y12" i="80"/>
  <c r="C12" i="80"/>
  <c r="Y10" i="80"/>
  <c r="C10" i="80"/>
  <c r="C11" i="80" s="1"/>
  <c r="AJ9" i="80"/>
  <c r="AJ10" i="80" s="1"/>
  <c r="AI9" i="80"/>
  <c r="AI12" i="80" s="1"/>
  <c r="AH9" i="80"/>
  <c r="AH10" i="80" s="1"/>
  <c r="AG9" i="80"/>
  <c r="AG12" i="80" s="1"/>
  <c r="AF9" i="80"/>
  <c r="AF10" i="80" s="1"/>
  <c r="AE9" i="80"/>
  <c r="AE12" i="80" s="1"/>
  <c r="AD9" i="80"/>
  <c r="AD10" i="80" s="1"/>
  <c r="AC9" i="80"/>
  <c r="AC12" i="80" s="1"/>
  <c r="AB9" i="80"/>
  <c r="AB10" i="80" s="1"/>
  <c r="AA9" i="80"/>
  <c r="AA12" i="80" s="1"/>
  <c r="Z9" i="80"/>
  <c r="Z10" i="80" s="1"/>
  <c r="C9" i="80"/>
  <c r="C7" i="80"/>
  <c r="A7" i="80"/>
  <c r="D5" i="80"/>
  <c r="I2" i="80"/>
  <c r="M12" i="80" s="1"/>
  <c r="G2" i="80"/>
  <c r="F39" i="80" s="1"/>
  <c r="M1" i="80"/>
  <c r="D1" i="80"/>
  <c r="L3" i="71"/>
  <c r="K3" i="71"/>
  <c r="J3" i="71"/>
  <c r="I3" i="71"/>
  <c r="AH6" i="71"/>
  <c r="AG6" i="71"/>
  <c r="AE6" i="71"/>
  <c r="AF6" i="71" s="1"/>
  <c r="AD6" i="71"/>
  <c r="Q6" i="71"/>
  <c r="P6" i="71"/>
  <c r="O6" i="71"/>
  <c r="N6" i="71"/>
  <c r="AH5" i="71"/>
  <c r="AG5" i="71"/>
  <c r="AE5" i="71"/>
  <c r="AF5" i="71" s="1"/>
  <c r="AD5" i="71"/>
  <c r="Q5" i="71"/>
  <c r="P5" i="71"/>
  <c r="O5" i="71"/>
  <c r="N5" i="71"/>
  <c r="G17" i="78" l="1"/>
  <c r="C17" i="80"/>
  <c r="I17" i="80"/>
  <c r="X7" i="80"/>
  <c r="AB12" i="80"/>
  <c r="AF12" i="80"/>
  <c r="AJ12" i="80"/>
  <c r="G17" i="80"/>
  <c r="E70" i="80"/>
  <c r="B68" i="80" s="1"/>
  <c r="H70" i="80"/>
  <c r="H81" i="80"/>
  <c r="C21" i="81"/>
  <c r="C40" i="81"/>
  <c r="E11" i="80"/>
  <c r="E10" i="80"/>
  <c r="E9" i="80"/>
  <c r="E8" i="80"/>
  <c r="N2" i="80"/>
  <c r="M3" i="80"/>
  <c r="N7" i="80"/>
  <c r="N8" i="80"/>
  <c r="N9" i="80"/>
  <c r="F33" i="80"/>
  <c r="F35" i="80"/>
  <c r="F37" i="80"/>
  <c r="N4" i="80"/>
  <c r="M5" i="80"/>
  <c r="M6" i="80"/>
  <c r="M10" i="80"/>
  <c r="AA10" i="80"/>
  <c r="AC10" i="80"/>
  <c r="AE10" i="80"/>
  <c r="AG10" i="80"/>
  <c r="AI10" i="80"/>
  <c r="M11" i="80"/>
  <c r="N12" i="80"/>
  <c r="N1" i="80"/>
  <c r="H113" i="80"/>
  <c r="F59" i="80"/>
  <c r="M2" i="80"/>
  <c r="N3" i="80"/>
  <c r="M4" i="80"/>
  <c r="N5" i="80"/>
  <c r="N6" i="80"/>
  <c r="M7" i="80"/>
  <c r="C6" i="80" s="1"/>
  <c r="M8" i="80"/>
  <c r="M9" i="80"/>
  <c r="N10" i="80"/>
  <c r="N11" i="80"/>
  <c r="E17" i="80"/>
  <c r="H17" i="80"/>
  <c r="J17" i="80"/>
  <c r="F34" i="80"/>
  <c r="F36" i="80"/>
  <c r="F38" i="80"/>
  <c r="H48" i="80"/>
  <c r="H50" i="80"/>
  <c r="H51" i="80"/>
  <c r="H54" i="80"/>
  <c r="H56" i="80"/>
  <c r="D64" i="80"/>
  <c r="E59" i="80" s="1"/>
  <c r="B57" i="80" s="1"/>
  <c r="C24" i="80" s="1"/>
  <c r="D66" i="80"/>
  <c r="H72" i="80"/>
  <c r="H74" i="80"/>
  <c r="H77" i="80"/>
  <c r="H78" i="80"/>
  <c r="H83" i="80"/>
  <c r="H85" i="80"/>
  <c r="H88" i="80"/>
  <c r="F108" i="80"/>
  <c r="F100" i="80"/>
  <c r="H108" i="80"/>
  <c r="H100" i="80"/>
  <c r="J108" i="80"/>
  <c r="J100" i="80"/>
  <c r="L108" i="80"/>
  <c r="L100" i="80"/>
  <c r="N108" i="80"/>
  <c r="N100" i="80"/>
  <c r="D100" i="80"/>
  <c r="H49" i="80"/>
  <c r="H52" i="80"/>
  <c r="H53" i="80"/>
  <c r="H71" i="80"/>
  <c r="H73" i="80"/>
  <c r="H75" i="80"/>
  <c r="H82" i="80"/>
  <c r="H84" i="80"/>
  <c r="H86" i="80"/>
  <c r="E108" i="80"/>
  <c r="E100" i="80"/>
  <c r="G108" i="80"/>
  <c r="G100" i="80"/>
  <c r="I108" i="80"/>
  <c r="I100" i="80"/>
  <c r="K108" i="80"/>
  <c r="K100" i="80"/>
  <c r="M108" i="80"/>
  <c r="M100" i="80"/>
  <c r="C100" i="80"/>
  <c r="Q72" i="79"/>
  <c r="Q59" i="79"/>
  <c r="K59" i="79"/>
  <c r="P74" i="79" s="1"/>
  <c r="F59" i="79"/>
  <c r="Q58" i="79"/>
  <c r="Q51" i="79"/>
  <c r="J50" i="79"/>
  <c r="J51" i="79" s="1"/>
  <c r="M47" i="79"/>
  <c r="D46" i="79"/>
  <c r="F33" i="79"/>
  <c r="F61" i="79" s="1"/>
  <c r="F31" i="79"/>
  <c r="F23" i="79"/>
  <c r="D24" i="79" s="1"/>
  <c r="D23" i="79"/>
  <c r="D22" i="79"/>
  <c r="F21" i="79"/>
  <c r="F20" i="79"/>
  <c r="M19" i="79"/>
  <c r="F18" i="79"/>
  <c r="M17" i="79"/>
  <c r="F17" i="79"/>
  <c r="F15" i="79"/>
  <c r="F19" i="6"/>
  <c r="AH6" i="1"/>
  <c r="E4" i="78"/>
  <c r="E5" i="78" s="1"/>
  <c r="E6" i="78" s="1"/>
  <c r="E7" i="78" s="1"/>
  <c r="E8" i="78" s="1"/>
  <c r="E9" i="78" s="1"/>
  <c r="E10" i="78" s="1"/>
  <c r="E11" i="78" s="1"/>
  <c r="E12" i="78" s="1"/>
  <c r="E13" i="78" s="1"/>
  <c r="E14" i="78" s="1"/>
  <c r="D2" i="78"/>
  <c r="I3" i="78" s="1"/>
  <c r="J3" i="78" s="1"/>
  <c r="K3" i="78" s="1"/>
  <c r="L3" i="78" s="1"/>
  <c r="M3" i="78" s="1"/>
  <c r="D6" i="78" s="1"/>
  <c r="D7" i="78" s="1"/>
  <c r="D8" i="78" s="1"/>
  <c r="D9" i="78" s="1"/>
  <c r="D10" i="78" s="1"/>
  <c r="D11" i="78" s="1"/>
  <c r="D12" i="78" s="1"/>
  <c r="D13" i="78" s="1"/>
  <c r="D14" i="78" s="1"/>
  <c r="D15" i="78" s="1"/>
  <c r="D16" i="78" s="1"/>
  <c r="C3" i="78"/>
  <c r="E3" i="78" s="1"/>
  <c r="C3" i="82" l="1"/>
  <c r="B24" i="31"/>
  <c r="C16" i="80"/>
  <c r="C5" i="80" s="1"/>
  <c r="H66" i="80"/>
  <c r="H64" i="80"/>
  <c r="H63" i="80"/>
  <c r="H60" i="80"/>
  <c r="H67" i="80"/>
  <c r="H65" i="80"/>
  <c r="H62" i="80"/>
  <c r="H61" i="80"/>
  <c r="H59" i="80"/>
  <c r="P61" i="79"/>
  <c r="E15" i="78"/>
  <c r="E16" i="78"/>
  <c r="AB9" i="1"/>
  <c r="AA9" i="1"/>
  <c r="Y9" i="1"/>
  <c r="V9" i="1"/>
  <c r="W9" i="1"/>
  <c r="Q9" i="1"/>
  <c r="N9" i="1"/>
  <c r="L9" i="1"/>
  <c r="L6" i="1"/>
  <c r="J13" i="1"/>
  <c r="J12" i="1"/>
  <c r="J11" i="1"/>
  <c r="J10" i="1"/>
  <c r="J9" i="1"/>
  <c r="J8" i="1"/>
  <c r="J7" i="1"/>
  <c r="I13" i="1"/>
  <c r="I12" i="1"/>
  <c r="I11" i="1"/>
  <c r="I10" i="1"/>
  <c r="I9" i="1"/>
  <c r="I8" i="1"/>
  <c r="I7" i="1"/>
  <c r="H13" i="1"/>
  <c r="H12" i="1"/>
  <c r="H11" i="1"/>
  <c r="H10" i="1"/>
  <c r="H9" i="1"/>
  <c r="H8" i="1"/>
  <c r="H7" i="1"/>
  <c r="F25" i="6"/>
  <c r="F24" i="6"/>
  <c r="F23" i="6"/>
  <c r="C1" i="73"/>
  <c r="J1" i="73"/>
  <c r="E15" i="4"/>
  <c r="F15" i="4"/>
  <c r="F6" i="1" s="1"/>
  <c r="F7" i="1"/>
  <c r="F8" i="1"/>
  <c r="F9" i="1"/>
  <c r="F10" i="1"/>
  <c r="F11" i="1"/>
  <c r="F12" i="1"/>
  <c r="F13" i="1"/>
  <c r="J20" i="43"/>
  <c r="I5" i="3"/>
  <c r="G2" i="43"/>
  <c r="I2" i="43"/>
  <c r="M7" i="43"/>
  <c r="C6" i="43" s="1"/>
  <c r="C5" i="43" s="1"/>
  <c r="G17" i="43"/>
  <c r="H17" i="43"/>
  <c r="I17" i="43"/>
  <c r="J17" i="43"/>
  <c r="C17" i="43"/>
  <c r="C16" i="43" s="1"/>
  <c r="B2" i="1"/>
  <c r="G19" i="80" s="1"/>
  <c r="G19" i="43"/>
  <c r="D59" i="43"/>
  <c r="D60" i="43"/>
  <c r="D61" i="43"/>
  <c r="K62" i="43"/>
  <c r="D62" i="43" s="1"/>
  <c r="E59" i="43" s="1"/>
  <c r="B57" i="43" s="1"/>
  <c r="C24" i="43" s="1"/>
  <c r="D63" i="43"/>
  <c r="K64" i="43"/>
  <c r="D64" i="43"/>
  <c r="K65" i="43"/>
  <c r="D65" i="43"/>
  <c r="K66" i="43"/>
  <c r="D66" i="43"/>
  <c r="D67" i="43"/>
  <c r="C18" i="43"/>
  <c r="D29" i="43"/>
  <c r="F21" i="6"/>
  <c r="F20" i="6"/>
  <c r="D5" i="43"/>
  <c r="F33" i="43"/>
  <c r="F34" i="43"/>
  <c r="F35" i="43"/>
  <c r="F36" i="43"/>
  <c r="F37" i="43"/>
  <c r="F38" i="43"/>
  <c r="F39" i="43"/>
  <c r="N7" i="71"/>
  <c r="Q7" i="71"/>
  <c r="P7" i="71"/>
  <c r="O7" i="71"/>
  <c r="I19" i="43"/>
  <c r="M6" i="43"/>
  <c r="C7" i="43"/>
  <c r="M47" i="67"/>
  <c r="H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s="1"/>
  <c r="H13" i="3"/>
  <c r="AD8" i="71"/>
  <c r="AG8" i="71"/>
  <c r="AH8" i="71"/>
  <c r="AE8" i="71"/>
  <c r="AF8" i="71" s="1"/>
  <c r="N8" i="71"/>
  <c r="Q8" i="71"/>
  <c r="P8" i="71"/>
  <c r="E8" i="71" s="1"/>
  <c r="O8" i="71"/>
  <c r="Q9" i="71"/>
  <c r="F8" i="71"/>
  <c r="F7" i="71" s="1"/>
  <c r="F6" i="71" s="1"/>
  <c r="F5" i="71" s="1"/>
  <c r="P9" i="71"/>
  <c r="O9" i="71"/>
  <c r="N9"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N56" i="9"/>
  <c r="M56" i="9"/>
  <c r="K56" i="9"/>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s="1"/>
  <c r="D73" i="71"/>
  <c r="F72" i="71"/>
  <c r="E72" i="71"/>
  <c r="E71" i="71" s="1"/>
  <c r="E70" i="71" s="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s="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c r="P33" i="71"/>
  <c r="E34" i="7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AB23" i="71"/>
  <c r="Q23" i="71"/>
  <c r="P23" i="71"/>
  <c r="AA23" i="71" s="1"/>
  <c r="O23" i="71"/>
  <c r="Y23" i="71" s="1"/>
  <c r="Z23" i="71" s="1"/>
  <c r="N23" i="71"/>
  <c r="X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Q18" i="71"/>
  <c r="AB18" i="71"/>
  <c r="P18" i="71"/>
  <c r="O18" i="71"/>
  <c r="Y18" i="71" s="1"/>
  <c r="Z18" i="71" s="1"/>
  <c r="N18" i="71"/>
  <c r="F20" i="71"/>
  <c r="V20" i="71" s="1"/>
  <c r="Q17" i="71"/>
  <c r="F18" i="71" s="1"/>
  <c r="F19" i="71" s="1"/>
  <c r="P17" i="71"/>
  <c r="O17" i="71"/>
  <c r="N17" i="71"/>
  <c r="D17" i="71"/>
  <c r="Q16" i="71"/>
  <c r="AB16" i="71"/>
  <c r="P16" i="71"/>
  <c r="O16" i="71"/>
  <c r="Y16" i="71" s="1"/>
  <c r="Z16" i="71"/>
  <c r="N16" i="71"/>
  <c r="Q15" i="71"/>
  <c r="AB15" i="71" s="1"/>
  <c r="P15" i="71"/>
  <c r="O15" i="71"/>
  <c r="Y15" i="71" s="1"/>
  <c r="Z15" i="71" s="1"/>
  <c r="N15" i="71"/>
  <c r="Q14" i="71"/>
  <c r="AB14" i="71" s="1"/>
  <c r="P14" i="71"/>
  <c r="O14" i="71"/>
  <c r="Y14" i="71"/>
  <c r="Z14" i="71" s="1"/>
  <c r="N14" i="71"/>
  <c r="Q13" i="71"/>
  <c r="F14" i="71" s="1"/>
  <c r="F15" i="71" s="1"/>
  <c r="F16" i="71" s="1"/>
  <c r="V16" i="71" s="1"/>
  <c r="P13" i="71"/>
  <c r="E14" i="71" s="1"/>
  <c r="E15" i="71" s="1"/>
  <c r="E16" i="71" s="1"/>
  <c r="U16" i="71" s="1"/>
  <c r="O13" i="71"/>
  <c r="N13" i="71"/>
  <c r="D13" i="71"/>
  <c r="O12" i="71"/>
  <c r="N12" i="71"/>
  <c r="B14" i="71"/>
  <c r="B15" i="71" s="1"/>
  <c r="B16" i="71" s="1"/>
  <c r="S16" i="71" s="1"/>
  <c r="X13" i="71"/>
  <c r="B18" i="71"/>
  <c r="B19" i="71" s="1"/>
  <c r="B20" i="71" s="1"/>
  <c r="S20" i="71" s="1"/>
  <c r="X17" i="71"/>
  <c r="B22" i="71"/>
  <c r="B23" i="71"/>
  <c r="B24" i="71" s="1"/>
  <c r="S24" i="71" s="1"/>
  <c r="X21" i="71"/>
  <c r="E22" i="71"/>
  <c r="E23" i="71" s="1"/>
  <c r="E24" i="71" s="1"/>
  <c r="U24" i="71" s="1"/>
  <c r="AA21" i="71"/>
  <c r="N52" i="71"/>
  <c r="E18" i="71"/>
  <c r="E19" i="71" s="1"/>
  <c r="E20" i="71" s="1"/>
  <c r="U20" i="71" s="1"/>
  <c r="AA17" i="71"/>
  <c r="C14" i="71"/>
  <c r="Y13" i="71"/>
  <c r="Z13" i="71" s="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s="1"/>
  <c r="V36" i="71" s="1"/>
  <c r="C12" i="71"/>
  <c r="Y3" i="71"/>
  <c r="Z3" i="71" s="1"/>
  <c r="Y9" i="71"/>
  <c r="Z9" i="71"/>
  <c r="Y10" i="71"/>
  <c r="Z10" i="71"/>
  <c r="Y11" i="71"/>
  <c r="Z11" i="71"/>
  <c r="Y12" i="71"/>
  <c r="Z12" i="71" s="1"/>
  <c r="B12" i="71"/>
  <c r="B11" i="71" s="1"/>
  <c r="B10" i="71" s="1"/>
  <c r="X9" i="71"/>
  <c r="X10" i="71"/>
  <c r="X11" i="71"/>
  <c r="X3" i="71"/>
  <c r="X12" i="71"/>
  <c r="C15" i="71"/>
  <c r="D14" i="71"/>
  <c r="D18" i="71"/>
  <c r="C23" i="71"/>
  <c r="D22" i="71"/>
  <c r="C27" i="71"/>
  <c r="D26" i="71"/>
  <c r="C31" i="71"/>
  <c r="D31" i="71" s="1"/>
  <c r="D30" i="71"/>
  <c r="C35" i="71"/>
  <c r="D34" i="71"/>
  <c r="P12" i="71"/>
  <c r="E39" i="71"/>
  <c r="E40" i="71" s="1"/>
  <c r="U40" i="71" s="1"/>
  <c r="E43" i="71"/>
  <c r="E44" i="71"/>
  <c r="U44" i="71" s="1"/>
  <c r="E47" i="71"/>
  <c r="E48" i="71" s="1"/>
  <c r="U48" i="71" s="1"/>
  <c r="U52" i="71"/>
  <c r="E51" i="71"/>
  <c r="Q12" i="71"/>
  <c r="C39" i="71"/>
  <c r="D38" i="71"/>
  <c r="C43" i="71"/>
  <c r="D42" i="71"/>
  <c r="C47" i="71"/>
  <c r="D46" i="71"/>
  <c r="N51" i="71"/>
  <c r="B50" i="71"/>
  <c r="T52" i="71"/>
  <c r="O52" i="71"/>
  <c r="D52" i="71"/>
  <c r="C51" i="71"/>
  <c r="Q52" i="71"/>
  <c r="C55" i="71"/>
  <c r="E55" i="71"/>
  <c r="E54" i="71" s="1"/>
  <c r="D56" i="71"/>
  <c r="C59" i="71"/>
  <c r="E59" i="71"/>
  <c r="E58" i="71" s="1"/>
  <c r="D60" i="71"/>
  <c r="C63" i="71"/>
  <c r="E63" i="71"/>
  <c r="E62" i="71" s="1"/>
  <c r="D64" i="71"/>
  <c r="C67" i="71"/>
  <c r="C71" i="71"/>
  <c r="T12" i="71"/>
  <c r="C11" i="71"/>
  <c r="S12" i="71"/>
  <c r="F12" i="71"/>
  <c r="F11" i="71" s="1"/>
  <c r="F10" i="71" s="1"/>
  <c r="AB3" i="71"/>
  <c r="AB9" i="71"/>
  <c r="AB10" i="71"/>
  <c r="AB11" i="71"/>
  <c r="AB12" i="71"/>
  <c r="E12" i="71"/>
  <c r="E11" i="71"/>
  <c r="E10" i="71" s="1"/>
  <c r="AA3" i="71"/>
  <c r="AA9" i="71"/>
  <c r="AA10" i="71"/>
  <c r="AA11" i="71"/>
  <c r="AA12" i="71"/>
  <c r="D12" i="71"/>
  <c r="U12" i="71"/>
  <c r="C50" i="71"/>
  <c r="O51" i="71"/>
  <c r="D51" i="71"/>
  <c r="C48" i="71"/>
  <c r="D47" i="71"/>
  <c r="D67" i="71"/>
  <c r="C66" i="71"/>
  <c r="D66" i="71"/>
  <c r="D59" i="71"/>
  <c r="C58" i="71"/>
  <c r="D58" i="71" s="1"/>
  <c r="N49" i="71"/>
  <c r="N50" i="71"/>
  <c r="D71" i="71"/>
  <c r="C70" i="71"/>
  <c r="D70" i="71"/>
  <c r="D63" i="71"/>
  <c r="C62" i="71"/>
  <c r="D62" i="71" s="1"/>
  <c r="D55" i="71"/>
  <c r="C54" i="71"/>
  <c r="D54" i="71"/>
  <c r="C44" i="71"/>
  <c r="D43" i="71"/>
  <c r="C40" i="71"/>
  <c r="D39" i="71"/>
  <c r="P51" i="71"/>
  <c r="E50" i="71"/>
  <c r="P49" i="71" s="1"/>
  <c r="C36" i="71"/>
  <c r="D35" i="71"/>
  <c r="C28" i="71"/>
  <c r="D27" i="71"/>
  <c r="C24" i="71"/>
  <c r="D23" i="71"/>
  <c r="C20" i="71"/>
  <c r="D19" i="71"/>
  <c r="C16" i="71"/>
  <c r="D15" i="71"/>
  <c r="C10" i="71"/>
  <c r="D10" i="71"/>
  <c r="D11" i="71"/>
  <c r="V12"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80" s="1"/>
  <c r="B86" i="43"/>
  <c r="C22" i="20"/>
  <c r="B75" i="43"/>
  <c r="B55" i="43"/>
  <c r="B66"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F7" i="69"/>
  <c r="W21" i="37"/>
  <c r="W21" i="34"/>
  <c r="W21" i="33"/>
  <c r="U21" i="21"/>
  <c r="J21" i="21"/>
  <c r="W21" i="21" s="1"/>
  <c r="C40" i="69"/>
  <c r="F38" i="68"/>
  <c r="E37" i="68"/>
  <c r="F36" i="68"/>
  <c r="F35" i="68"/>
  <c r="F21" i="68"/>
  <c r="C21" i="68" s="1"/>
  <c r="F20" i="68"/>
  <c r="E10" i="68"/>
  <c r="E9" i="68"/>
  <c r="F7" i="68"/>
  <c r="C7" i="68"/>
  <c r="AC21" i="21"/>
  <c r="Q72" i="67"/>
  <c r="Q59" i="67"/>
  <c r="Q58" i="67"/>
  <c r="Q51" i="67"/>
  <c r="J50" i="67"/>
  <c r="J51" i="67" s="1"/>
  <c r="D46" i="67"/>
  <c r="F33" i="67"/>
  <c r="F61" i="67" s="1"/>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J66" i="43"/>
  <c r="M65" i="43"/>
  <c r="N65" i="43" s="1"/>
  <c r="J65" i="43"/>
  <c r="M64" i="43"/>
  <c r="N64" i="43"/>
  <c r="J64" i="43"/>
  <c r="M63" i="43"/>
  <c r="N63" i="43" s="1"/>
  <c r="K63" i="43"/>
  <c r="J63" i="43" s="1"/>
  <c r="M62" i="43"/>
  <c r="N62" i="43" s="1"/>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6" i="1"/>
  <c r="D9" i="1"/>
  <c r="D10" i="1"/>
  <c r="D11" i="1"/>
  <c r="D12" i="1"/>
  <c r="D13" i="1"/>
  <c r="D7" i="1"/>
  <c r="D8" i="1"/>
  <c r="A7" i="1"/>
  <c r="A8" i="1"/>
  <c r="B8" i="1" s="1"/>
  <c r="E8" i="1" s="1"/>
  <c r="A9" i="1"/>
  <c r="A10" i="1"/>
  <c r="A11" i="1"/>
  <c r="A12" i="1"/>
  <c r="A13" i="1"/>
  <c r="B13" i="1" s="1"/>
  <c r="E13" i="1" s="1"/>
  <c r="A6" i="1"/>
  <c r="B11" i="1"/>
  <c r="E11" i="1" s="1"/>
  <c r="B7" i="1"/>
  <c r="E7" i="1" s="1"/>
  <c r="E23" i="6"/>
  <c r="E26" i="6"/>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D15" i="4"/>
  <c r="G7" i="1"/>
  <c r="L21" i="4"/>
  <c r="F19" i="4"/>
  <c r="F2" i="52"/>
  <c r="B50" i="72"/>
  <c r="D2" i="52"/>
  <c r="B46" i="72"/>
  <c r="B8" i="53"/>
  <c r="B23" i="72"/>
  <c r="L4" i="9"/>
  <c r="B17" i="72"/>
  <c r="B15" i="72"/>
  <c r="A3" i="51"/>
  <c r="C8" i="11"/>
  <c r="B2" i="49"/>
  <c r="B23" i="49" s="1"/>
  <c r="B40" i="48"/>
  <c r="B3" i="72"/>
  <c r="N1" i="43"/>
  <c r="F35" i="4"/>
  <c r="J55" i="39" s="1"/>
  <c r="H34" i="43"/>
  <c r="H35" i="43"/>
  <c r="H36" i="43"/>
  <c r="H37" i="43"/>
  <c r="H38" i="43"/>
  <c r="H39" i="43"/>
  <c r="F15" i="43"/>
  <c r="E15" i="43"/>
  <c r="D15" i="43"/>
  <c r="C15" i="43"/>
  <c r="C10" i="43"/>
  <c r="C11" i="43" s="1"/>
  <c r="C9" i="43"/>
  <c r="A7" i="43"/>
  <c r="F33" i="15"/>
  <c r="F61" i="15" s="1"/>
  <c r="M19" i="15"/>
  <c r="O10" i="1"/>
  <c r="B22" i="1"/>
  <c r="B23" i="1"/>
  <c r="B24" i="1"/>
  <c r="B43" i="1"/>
  <c r="D78" i="9" s="1"/>
  <c r="BQ14" i="3"/>
  <c r="BQ15" i="3"/>
  <c r="BQ16" i="3"/>
  <c r="BL16" i="3" s="1"/>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19" i="6"/>
  <c r="M18" i="9" s="1"/>
  <c r="B118" i="9" s="1"/>
  <c r="B14" i="74" s="1"/>
  <c r="B1" i="74" s="1"/>
  <c r="E20" i="6"/>
  <c r="E21" i="6"/>
  <c r="K8" i="1"/>
  <c r="M8" i="1" s="1"/>
  <c r="F23" i="15"/>
  <c r="D24" i="15"/>
  <c r="O8" i="1"/>
  <c r="P8" i="1"/>
  <c r="O13" i="1"/>
  <c r="P13" i="1"/>
  <c r="E22" i="6"/>
  <c r="E24" i="6"/>
  <c r="E25"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s="1"/>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81"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6" i="31"/>
  <c r="S518" i="31"/>
  <c r="S520" i="31"/>
  <c r="S522"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80" s="1"/>
  <c r="B88" i="43"/>
  <c r="G19" i="20"/>
  <c r="B85" i="80" s="1"/>
  <c r="B85" i="43"/>
  <c r="G16" i="20"/>
  <c r="B82" i="80" s="1"/>
  <c r="B82" i="43"/>
  <c r="G15" i="20"/>
  <c r="B81" i="80" s="1"/>
  <c r="B81" i="43"/>
  <c r="C24" i="20"/>
  <c r="B73" i="43"/>
  <c r="C21" i="20"/>
  <c r="B74" i="43"/>
  <c r="C20" i="20"/>
  <c r="B77" i="43"/>
  <c r="C18" i="20"/>
  <c r="B71" i="43"/>
  <c r="C17" i="20"/>
  <c r="B59" i="80" s="1"/>
  <c r="B59" i="43"/>
  <c r="C16" i="20"/>
  <c r="C17" i="39"/>
  <c r="C15" i="20"/>
  <c r="B70" i="80" s="1"/>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N7" i="43"/>
  <c r="F59"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2" i="6" s="1"/>
  <c r="E62" i="39" s="1"/>
  <c r="AZ317" i="3"/>
  <c r="AZ333" i="3"/>
  <c r="BQ5" i="3"/>
  <c r="F28" i="6" s="1"/>
  <c r="AC5" i="3"/>
  <c r="AZ549" i="3"/>
  <c r="AZ506" i="3"/>
  <c r="AZ496" i="3"/>
  <c r="G548" i="3"/>
  <c r="G538" i="3"/>
  <c r="G520" i="3"/>
  <c r="G502" i="3"/>
  <c r="BS5" i="3"/>
  <c r="BP5" i="3"/>
  <c r="G29" i="6" s="1"/>
  <c r="E29" i="6" s="1"/>
  <c r="BN5" i="3"/>
  <c r="AZ343" i="3"/>
  <c r="BK5" i="3"/>
  <c r="BI5" i="3"/>
  <c r="BG5" i="3"/>
  <c r="BE5" i="3"/>
  <c r="BC5" i="3"/>
  <c r="G17" i="3"/>
  <c r="BA17" i="3"/>
  <c r="BT5" i="3"/>
  <c r="AZ350" i="3"/>
  <c r="AZ352" i="3"/>
  <c r="AZ360" i="3"/>
  <c r="AZ368" i="3"/>
  <c r="BA15" i="3"/>
  <c r="AZ15" i="3"/>
  <c r="BB5" i="3"/>
  <c r="BR5" i="3"/>
  <c r="G28" i="6" s="1"/>
  <c r="G30" i="6" s="1"/>
  <c r="AZ380" i="3"/>
  <c r="AZ388" i="3"/>
  <c r="AZ396" i="3"/>
  <c r="AZ499" i="3"/>
  <c r="AZ509" i="3"/>
  <c r="E8" i="6"/>
  <c r="F27" i="6" s="1"/>
  <c r="G509" i="3"/>
  <c r="BL493" i="3"/>
  <c r="AZ491" i="3"/>
  <c r="AZ390" i="3"/>
  <c r="AZ493" i="3"/>
  <c r="U36" i="40"/>
  <c r="N4" i="43"/>
  <c r="F81" i="43"/>
  <c r="H83" i="43"/>
  <c r="H113" i="43"/>
  <c r="N6" i="43"/>
  <c r="F48" i="43"/>
  <c r="H52" i="43"/>
  <c r="F70" i="43"/>
  <c r="H73" i="43"/>
  <c r="M11" i="43"/>
  <c r="E17" i="43"/>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c r="P9" i="1"/>
  <c r="D93" i="9"/>
  <c r="E15" i="6"/>
  <c r="E60" i="40" s="1"/>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c r="D1" i="66"/>
  <c r="E10" i="66"/>
  <c r="AZ80" i="3"/>
  <c r="AZ84" i="3"/>
  <c r="AZ88" i="3"/>
  <c r="AZ107" i="3"/>
  <c r="AZ111" i="3"/>
  <c r="K12" i="1"/>
  <c r="M12" i="1" s="1"/>
  <c r="O12" i="1"/>
  <c r="P12" i="1"/>
  <c r="C42" i="1"/>
  <c r="H100" i="43"/>
  <c r="C30" i="66"/>
  <c r="E26" i="66" s="1"/>
  <c r="AC34" i="33"/>
  <c r="AA34" i="33"/>
  <c r="B41" i="1"/>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s="1"/>
  <c r="M20" i="67"/>
  <c r="F34" i="15"/>
  <c r="F62" i="15"/>
  <c r="E10" i="6"/>
  <c r="E11" i="6"/>
  <c r="E61" i="39" s="1"/>
  <c r="BL17" i="3"/>
  <c r="AZ17" i="3" s="1"/>
  <c r="E65" i="39"/>
  <c r="G31" i="6"/>
  <c r="J56" i="9"/>
  <c r="J57" i="9"/>
  <c r="A24" i="51"/>
  <c r="B18" i="72" s="1"/>
  <c r="U29" i="34"/>
  <c r="E14" i="6"/>
  <c r="E64" i="39"/>
  <c r="E5" i="6"/>
  <c r="D9" i="11"/>
  <c r="C9" i="11" s="1"/>
  <c r="P10" i="1"/>
  <c r="E32" i="6"/>
  <c r="L19" i="6"/>
  <c r="G1" i="68"/>
  <c r="K1" i="12"/>
  <c r="F30" i="6"/>
  <c r="E28" i="6"/>
  <c r="E57" i="40"/>
  <c r="E56" i="40"/>
  <c r="E19" i="69"/>
  <c r="E19" i="68"/>
  <c r="E19" i="11"/>
  <c r="E1" i="73"/>
  <c r="K1" i="73" s="1"/>
  <c r="G41" i="69"/>
  <c r="G22" i="69"/>
  <c r="G41" i="68"/>
  <c r="G22" i="68"/>
  <c r="G27" i="12"/>
  <c r="G26" i="12"/>
  <c r="G41" i="11"/>
  <c r="G22" i="11"/>
  <c r="G25" i="12"/>
  <c r="C100" i="43"/>
  <c r="E11" i="43"/>
  <c r="E10" i="43"/>
  <c r="E9" i="43"/>
  <c r="E8" i="43"/>
  <c r="E81" i="43"/>
  <c r="B79" i="43"/>
  <c r="E48" i="43"/>
  <c r="B46" i="43" s="1"/>
  <c r="E70" i="43"/>
  <c r="B68" i="43" s="1"/>
  <c r="F100" i="43"/>
  <c r="D9" i="53"/>
  <c r="B25" i="72"/>
  <c r="B24" i="72"/>
  <c r="G6" i="1"/>
  <c r="H85" i="43"/>
  <c r="H81" i="43"/>
  <c r="H84" i="43"/>
  <c r="H88" i="43"/>
  <c r="H53" i="43"/>
  <c r="H54" i="43"/>
  <c r="H78" i="43"/>
  <c r="H70" i="43"/>
  <c r="H71" i="43"/>
  <c r="M2" i="43"/>
  <c r="M10" i="43"/>
  <c r="N3" i="43"/>
  <c r="N11" i="43"/>
  <c r="M9" i="43"/>
  <c r="N12" i="43"/>
  <c r="N5" i="43"/>
  <c r="M5" i="43"/>
  <c r="M12" i="43"/>
  <c r="M4" i="43"/>
  <c r="B19" i="53"/>
  <c r="B37" i="72" s="1"/>
  <c r="C7" i="39"/>
  <c r="C68" i="39" s="1"/>
  <c r="C70" i="39"/>
  <c r="C7" i="35"/>
  <c r="C7" i="33"/>
  <c r="C58" i="33" s="1"/>
  <c r="D58" i="33" s="1"/>
  <c r="E58" i="33" s="1"/>
  <c r="F58" i="33" s="1"/>
  <c r="G58" i="33" s="1"/>
  <c r="H58" i="33" s="1"/>
  <c r="I58" i="33" s="1"/>
  <c r="J58" i="33" s="1"/>
  <c r="K58" i="33" s="1"/>
  <c r="L58" i="33" s="1"/>
  <c r="M58" i="33" s="1"/>
  <c r="N58" i="33" s="1"/>
  <c r="O58" i="33" s="1"/>
  <c r="C7" i="21"/>
  <c r="C7" i="40"/>
  <c r="C63" i="40"/>
  <c r="M47" i="9"/>
  <c r="T35" i="4"/>
  <c r="A19" i="51" s="1"/>
  <c r="B14" i="72"/>
  <c r="C46" i="36"/>
  <c r="D46" i="36"/>
  <c r="E46" i="36" s="1"/>
  <c r="C59" i="34"/>
  <c r="D59" i="34" s="1"/>
  <c r="C52" i="37"/>
  <c r="D52" i="37" s="1"/>
  <c r="A4" i="51"/>
  <c r="B6" i="72" s="1"/>
  <c r="C48" i="35"/>
  <c r="D48" i="35" s="1"/>
  <c r="C58" i="21"/>
  <c r="D58" i="21" s="1"/>
  <c r="C94" i="9"/>
  <c r="C4" i="12"/>
  <c r="C92" i="9"/>
  <c r="H66" i="43"/>
  <c r="H65" i="43"/>
  <c r="H64" i="43"/>
  <c r="H63" i="43"/>
  <c r="H55" i="43"/>
  <c r="H51" i="43"/>
  <c r="H56" i="43"/>
  <c r="H76" i="43"/>
  <c r="H72" i="43"/>
  <c r="H77" i="43"/>
  <c r="L20" i="6"/>
  <c r="E56" i="39"/>
  <c r="E51" i="40"/>
  <c r="B6" i="1"/>
  <c r="E6"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c r="M101" i="21" s="1"/>
  <c r="F33" i="21"/>
  <c r="J33" i="21"/>
  <c r="H33" i="21"/>
  <c r="AB33" i="21" s="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F30" i="68"/>
  <c r="C30" i="68"/>
  <c r="F30" i="11"/>
  <c r="C48" i="11"/>
  <c r="F28" i="67"/>
  <c r="C28" i="67"/>
  <c r="F31" i="12"/>
  <c r="F52" i="9"/>
  <c r="C31" i="12"/>
  <c r="M18" i="67"/>
  <c r="F32" i="67"/>
  <c r="F60" i="67"/>
  <c r="F30" i="69"/>
  <c r="C48" i="69"/>
  <c r="F32" i="15"/>
  <c r="F60" i="15"/>
  <c r="M18" i="15"/>
  <c r="F28" i="15"/>
  <c r="D19" i="12"/>
  <c r="C19" i="12" s="1"/>
  <c r="E59" i="40"/>
  <c r="D68" i="39"/>
  <c r="D70" i="39" s="1"/>
  <c r="C28" i="15"/>
  <c r="K15" i="1"/>
  <c r="C48" i="68"/>
  <c r="C77" i="9"/>
  <c r="C74" i="9"/>
  <c r="C30" i="69"/>
  <c r="D9" i="68"/>
  <c r="C9" i="68" s="1"/>
  <c r="E7" i="70"/>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K14" i="1"/>
  <c r="M14" i="1" s="1"/>
  <c r="O14" i="1"/>
  <c r="P14" i="1"/>
  <c r="BL5" i="3"/>
  <c r="J59" i="9"/>
  <c r="J61" i="9"/>
  <c r="O19" i="43"/>
  <c r="E52" i="37"/>
  <c r="F52" i="37"/>
  <c r="G52" i="37" s="1"/>
  <c r="F46" i="36"/>
  <c r="G46" i="36" s="1"/>
  <c r="E58" i="21"/>
  <c r="F58" i="21" s="1"/>
  <c r="E48" i="35"/>
  <c r="F48" i="35" s="1"/>
  <c r="G48" i="35" s="1"/>
  <c r="H48" i="35" s="1"/>
  <c r="I48" i="35" s="1"/>
  <c r="J48" i="35" s="1"/>
  <c r="K48" i="35" s="1"/>
  <c r="L48" i="35" s="1"/>
  <c r="M48" i="35" s="1"/>
  <c r="N48" i="35" s="1"/>
  <c r="O48" i="35" s="1"/>
  <c r="E59" i="34"/>
  <c r="F59" i="34"/>
  <c r="C65" i="40"/>
  <c r="D63" i="40"/>
  <c r="L27" i="6"/>
  <c r="AP7" i="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F1" i="15"/>
  <c r="Q52" i="15"/>
  <c r="H7" i="35"/>
  <c r="J7" i="35"/>
  <c r="F7" i="35"/>
  <c r="G59" i="34"/>
  <c r="H59" i="34"/>
  <c r="I59" i="34" s="1"/>
  <c r="G58" i="21"/>
  <c r="H58" i="21" s="1"/>
  <c r="E63" i="40"/>
  <c r="D65" i="40"/>
  <c r="E68" i="39"/>
  <c r="F68" i="39" s="1"/>
  <c r="C5" i="68"/>
  <c r="AC11" i="37"/>
  <c r="W11" i="37"/>
  <c r="W11" i="34"/>
  <c r="AC11" i="34"/>
  <c r="C13" i="12"/>
  <c r="P16" i="1"/>
  <c r="C11" i="12" s="1"/>
  <c r="F34" i="11"/>
  <c r="F11" i="12"/>
  <c r="C23" i="12" s="1"/>
  <c r="F34" i="68"/>
  <c r="C36" i="68" s="1"/>
  <c r="AB7" i="35"/>
  <c r="T38" i="35"/>
  <c r="G38" i="35" s="1"/>
  <c r="U7" i="35"/>
  <c r="AA7" i="35"/>
  <c r="R38" i="35" s="1"/>
  <c r="S7" i="35"/>
  <c r="AC7" i="35"/>
  <c r="V38" i="35"/>
  <c r="I38" i="35" s="1"/>
  <c r="W7" i="35"/>
  <c r="F63" i="40"/>
  <c r="F65" i="40" s="1"/>
  <c r="E65" i="40"/>
  <c r="E70" i="39"/>
  <c r="C36" i="11"/>
  <c r="G63" i="40"/>
  <c r="H63" i="40" s="1"/>
  <c r="G65" i="40"/>
  <c r="C19" i="69"/>
  <c r="AE7" i="1"/>
  <c r="AE8"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P21" i="43" s="1"/>
  <c r="D17" i="78" l="1"/>
  <c r="D18" i="78" s="1"/>
  <c r="R49" i="33"/>
  <c r="E48" i="33"/>
  <c r="I14" i="74"/>
  <c r="B8" i="74" s="1"/>
  <c r="D127" i="9"/>
  <c r="D13" i="52" s="1"/>
  <c r="D12" i="52"/>
  <c r="H65" i="40"/>
  <c r="I63" i="40"/>
  <c r="I42" i="35"/>
  <c r="J42" i="35" s="1"/>
  <c r="I58" i="21"/>
  <c r="J58" i="21" s="1"/>
  <c r="K58" i="21" s="1"/>
  <c r="L58" i="21" s="1"/>
  <c r="M58" i="21" s="1"/>
  <c r="N58" i="21" s="1"/>
  <c r="O58" i="21" s="1"/>
  <c r="F7" i="21"/>
  <c r="J7" i="21"/>
  <c r="H7" i="21"/>
  <c r="R39" i="35"/>
  <c r="E38" i="35"/>
  <c r="G42" i="35"/>
  <c r="H42" i="35" s="1"/>
  <c r="G43" i="35"/>
  <c r="H43" i="35" s="1"/>
  <c r="G68" i="39"/>
  <c r="F70" i="39"/>
  <c r="J59" i="34"/>
  <c r="K59" i="34" s="1"/>
  <c r="L59" i="34" s="1"/>
  <c r="M59" i="34" s="1"/>
  <c r="N59" i="34" s="1"/>
  <c r="O59" i="34" s="1"/>
  <c r="H7" i="34"/>
  <c r="F7" i="34"/>
  <c r="AC7" i="33"/>
  <c r="V48" i="33" s="1"/>
  <c r="I48" i="33" s="1"/>
  <c r="AB7" i="33"/>
  <c r="T48" i="33" s="1"/>
  <c r="G48" i="33" s="1"/>
  <c r="L67" i="9"/>
  <c r="M67" i="9" s="1"/>
  <c r="L63" i="9"/>
  <c r="M63" i="9" s="1"/>
  <c r="M69" i="9" s="1"/>
  <c r="N69" i="9" s="1"/>
  <c r="L64" i="9"/>
  <c r="M64" i="9" s="1"/>
  <c r="L66" i="9"/>
  <c r="M66" i="9" s="1"/>
  <c r="L65" i="9"/>
  <c r="M65" i="9" s="1"/>
  <c r="J7" i="34"/>
  <c r="H52" i="37"/>
  <c r="H46" i="36"/>
  <c r="H62" i="43"/>
  <c r="H61" i="43"/>
  <c r="H60" i="43"/>
  <c r="H59" i="43"/>
  <c r="H67" i="43"/>
  <c r="W29" i="21"/>
  <c r="AC29" i="21"/>
  <c r="AC9" i="34"/>
  <c r="W9" i="34"/>
  <c r="AC17" i="21"/>
  <c r="W17" i="21"/>
  <c r="E30" i="6"/>
  <c r="F31" i="6"/>
  <c r="AZ557" i="3"/>
  <c r="AA12" i="21"/>
  <c r="S12" i="21"/>
  <c r="F30" i="81"/>
  <c r="F32" i="79"/>
  <c r="F60" i="79" s="1"/>
  <c r="F28" i="79"/>
  <c r="C28" i="79" s="1"/>
  <c r="M18" i="79"/>
  <c r="H9" i="34"/>
  <c r="J34" i="35"/>
  <c r="H34" i="35"/>
  <c r="F34" i="35"/>
  <c r="F25" i="37"/>
  <c r="U32" i="37"/>
  <c r="U12" i="39"/>
  <c r="U35" i="40"/>
  <c r="F53" i="9"/>
  <c r="BA5" i="3"/>
  <c r="E27" i="6" s="1"/>
  <c r="E13" i="6"/>
  <c r="U12" i="37"/>
  <c r="W31" i="34"/>
  <c r="AA13" i="35"/>
  <c r="B71" i="80"/>
  <c r="B49" i="80"/>
  <c r="B60" i="80"/>
  <c r="B67" i="80"/>
  <c r="B77" i="80"/>
  <c r="B56" i="80"/>
  <c r="B74" i="80"/>
  <c r="B65" i="80"/>
  <c r="B54" i="80"/>
  <c r="B73" i="80"/>
  <c r="B52" i="80"/>
  <c r="B63" i="80"/>
  <c r="H36" i="35"/>
  <c r="J36" i="35"/>
  <c r="AZ489" i="3"/>
  <c r="AZ316" i="3"/>
  <c r="AZ231" i="3"/>
  <c r="AZ398" i="3"/>
  <c r="AZ405" i="3"/>
  <c r="AZ407" i="3"/>
  <c r="AZ410" i="3"/>
  <c r="AZ415" i="3"/>
  <c r="AZ420" i="3"/>
  <c r="AZ426" i="3"/>
  <c r="AZ431" i="3"/>
  <c r="AZ448" i="3"/>
  <c r="AZ452" i="3"/>
  <c r="AZ461" i="3"/>
  <c r="AZ463" i="3"/>
  <c r="AZ468" i="3"/>
  <c r="AZ470" i="3"/>
  <c r="AZ479" i="3"/>
  <c r="AZ485" i="3"/>
  <c r="AZ385" i="3"/>
  <c r="AZ210" i="3"/>
  <c r="AZ225" i="3"/>
  <c r="AZ239" i="3"/>
  <c r="AZ255" i="3"/>
  <c r="AZ300" i="3"/>
  <c r="AZ118" i="3"/>
  <c r="AZ121" i="3"/>
  <c r="AZ134" i="3"/>
  <c r="AZ137" i="3"/>
  <c r="AZ145" i="3"/>
  <c r="AZ161" i="3"/>
  <c r="AZ177" i="3"/>
  <c r="AZ193" i="3"/>
  <c r="AZ34" i="3"/>
  <c r="AZ38" i="3"/>
  <c r="AZ44" i="3"/>
  <c r="AZ48" i="3"/>
  <c r="AZ60" i="3"/>
  <c r="AZ64" i="3"/>
  <c r="AZ78" i="3"/>
  <c r="AZ91" i="3"/>
  <c r="F34" i="79"/>
  <c r="F62" i="79" s="1"/>
  <c r="M20" i="79"/>
  <c r="G22" i="81"/>
  <c r="G41" i="81"/>
  <c r="AZ267" i="3"/>
  <c r="AZ272" i="3"/>
  <c r="AZ284" i="3"/>
  <c r="AZ95" i="3"/>
  <c r="AZ98" i="3"/>
  <c r="AZ100" i="3"/>
  <c r="AZ104" i="3"/>
  <c r="G1" i="81"/>
  <c r="G1" i="79"/>
  <c r="F3" i="35"/>
  <c r="K10" i="1"/>
  <c r="B75" i="80"/>
  <c r="B66" i="80"/>
  <c r="B55" i="80"/>
  <c r="AA13" i="71"/>
  <c r="AA8" i="71"/>
  <c r="M100" i="43"/>
  <c r="I100" i="43"/>
  <c r="E100" i="43"/>
  <c r="D100" i="43"/>
  <c r="C40" i="68"/>
  <c r="M19" i="80"/>
  <c r="M19" i="43"/>
  <c r="AB8" i="71"/>
  <c r="E7" i="71"/>
  <c r="E6" i="71" s="1"/>
  <c r="V8" i="71"/>
  <c r="F51" i="71"/>
  <c r="AC10" i="43"/>
  <c r="P74" i="67"/>
  <c r="Y7" i="71"/>
  <c r="Z7" i="71" s="1"/>
  <c r="C8" i="71"/>
  <c r="Y8" i="71"/>
  <c r="Z8" i="71" s="1"/>
  <c r="Y5" i="71"/>
  <c r="Z5" i="71" s="1"/>
  <c r="AB7" i="71"/>
  <c r="AB5" i="71"/>
  <c r="G13" i="3"/>
  <c r="I4" i="6"/>
  <c r="AA5" i="71"/>
  <c r="AA7" i="71"/>
  <c r="X5" i="71"/>
  <c r="X7" i="71"/>
  <c r="B8" i="71"/>
  <c r="X8" i="71"/>
  <c r="AZ5" i="3"/>
  <c r="I20" i="80"/>
  <c r="I20" i="43"/>
  <c r="Y6" i="71"/>
  <c r="Z6" i="71" s="1"/>
  <c r="AB6" i="71"/>
  <c r="B29" i="31"/>
  <c r="C29" i="31" s="1"/>
  <c r="B27" i="31"/>
  <c r="C27" i="31" s="1"/>
  <c r="B25" i="31"/>
  <c r="B28" i="31"/>
  <c r="C28" i="31" s="1"/>
  <c r="B26" i="31"/>
  <c r="C26" i="31" s="1"/>
  <c r="AA6" i="71"/>
  <c r="C19" i="80" s="1"/>
  <c r="X6" i="71"/>
  <c r="P24" i="80"/>
  <c r="P22" i="80"/>
  <c r="P21" i="80"/>
  <c r="P23" i="80"/>
  <c r="O19" i="80"/>
  <c r="P25" i="80"/>
  <c r="E17" i="78"/>
  <c r="C8" i="82"/>
  <c r="C6" i="82"/>
  <c r="C4" i="82"/>
  <c r="C10" i="82" s="1"/>
  <c r="C7" i="82"/>
  <c r="C5" i="82"/>
  <c r="E5" i="71"/>
  <c r="P24" i="43"/>
  <c r="B66" i="40" s="1"/>
  <c r="P22" i="43"/>
  <c r="P25" i="43"/>
  <c r="P23" i="43"/>
  <c r="B71" i="39" s="1"/>
  <c r="C19" i="43"/>
  <c r="C7" i="74"/>
  <c r="C8" i="74"/>
  <c r="Q16" i="1"/>
  <c r="G16" i="1"/>
  <c r="C15" i="12"/>
  <c r="C12" i="12"/>
  <c r="K26" i="6"/>
  <c r="K23" i="6"/>
  <c r="D5" i="73"/>
  <c r="D3" i="73"/>
  <c r="F16" i="67"/>
  <c r="B13" i="76"/>
  <c r="B11" i="76"/>
  <c r="D2" i="37"/>
  <c r="E11" i="76"/>
  <c r="D6" i="73"/>
  <c r="F7" i="15"/>
  <c r="F37" i="15"/>
  <c r="L48" i="15"/>
  <c r="F27" i="69"/>
  <c r="M8" i="67"/>
  <c r="L47" i="67"/>
  <c r="F4" i="73"/>
  <c r="F41" i="15"/>
  <c r="D7" i="73"/>
  <c r="D35" i="9"/>
  <c r="E9" i="76"/>
  <c r="F7" i="67"/>
  <c r="F36" i="15"/>
  <c r="D9" i="69"/>
  <c r="F40" i="15"/>
  <c r="F26" i="15"/>
  <c r="F16" i="15"/>
  <c r="E13" i="76"/>
  <c r="F42" i="15"/>
  <c r="C36" i="69"/>
  <c r="F38" i="67"/>
  <c r="E12" i="76"/>
  <c r="E7" i="76"/>
  <c r="F5" i="73"/>
  <c r="M9" i="67"/>
  <c r="F9" i="15"/>
  <c r="M22" i="67"/>
  <c r="M23" i="67"/>
  <c r="F6" i="73"/>
  <c r="L47" i="15"/>
  <c r="E8" i="76"/>
  <c r="M28" i="67"/>
  <c r="D34" i="9"/>
  <c r="D2" i="34"/>
  <c r="B10" i="76"/>
  <c r="M24" i="15"/>
  <c r="C76" i="15"/>
  <c r="E10" i="76"/>
  <c r="M26" i="15"/>
  <c r="M24" i="67"/>
  <c r="AO7" i="1"/>
  <c r="F6" i="67"/>
  <c r="F43" i="15"/>
  <c r="J15" i="15"/>
  <c r="F20" i="31"/>
  <c r="F9" i="67"/>
  <c r="B9" i="76"/>
  <c r="M6" i="67"/>
  <c r="F38" i="15"/>
  <c r="M8" i="15"/>
  <c r="M29" i="67"/>
  <c r="B8" i="76"/>
  <c r="F13" i="67"/>
  <c r="F42" i="67"/>
  <c r="J15" i="67"/>
  <c r="D2" i="33"/>
  <c r="AO8" i="1"/>
  <c r="F8" i="15"/>
  <c r="F7" i="73"/>
  <c r="F8" i="67"/>
  <c r="F37" i="67"/>
  <c r="AO13" i="1"/>
  <c r="D4" i="73"/>
  <c r="E2" i="68"/>
  <c r="F26" i="67"/>
  <c r="AO10" i="1"/>
  <c r="F13" i="15"/>
  <c r="C76" i="67"/>
  <c r="M28" i="15"/>
  <c r="B7" i="76"/>
  <c r="B12" i="76"/>
  <c r="AO11" i="1"/>
  <c r="M23" i="15"/>
  <c r="M9" i="15"/>
  <c r="F36" i="67"/>
  <c r="L48" i="67"/>
  <c r="M6" i="15"/>
  <c r="F40" i="67"/>
  <c r="M22" i="15"/>
  <c r="D2" i="36"/>
  <c r="F43" i="67"/>
  <c r="D2" i="21"/>
  <c r="F3" i="73"/>
  <c r="F6" i="15"/>
  <c r="M29" i="15"/>
  <c r="M26" i="67"/>
  <c r="AO12" i="1"/>
  <c r="M27" i="15"/>
  <c r="G1" i="73"/>
  <c r="D2" i="35"/>
  <c r="B12" i="70" l="1"/>
  <c r="Q71" i="15"/>
  <c r="C6" i="15"/>
  <c r="F71" i="67"/>
  <c r="F68" i="67"/>
  <c r="L59" i="15"/>
  <c r="M59" i="15"/>
  <c r="L58" i="15"/>
  <c r="N59" i="15"/>
  <c r="J57" i="67"/>
  <c r="J55" i="67" s="1"/>
  <c r="J58" i="67" s="1"/>
  <c r="Q50" i="67" s="1"/>
  <c r="L56" i="67"/>
  <c r="I54" i="67"/>
  <c r="J53" i="67"/>
  <c r="Q52" i="67" s="1"/>
  <c r="F64" i="67"/>
  <c r="B11" i="70"/>
  <c r="F66" i="67"/>
  <c r="Q71" i="67"/>
  <c r="B10" i="70"/>
  <c r="C27" i="67"/>
  <c r="C27" i="15"/>
  <c r="E20" i="80"/>
  <c r="N17" i="80" s="1"/>
  <c r="G20" i="80" s="1"/>
  <c r="C20" i="80" s="1"/>
  <c r="E20" i="43"/>
  <c r="F68" i="15"/>
  <c r="B13" i="70"/>
  <c r="C9" i="69"/>
  <c r="F65" i="67"/>
  <c r="F64" i="15"/>
  <c r="F51" i="67"/>
  <c r="F50" i="67"/>
  <c r="C49" i="67" s="1"/>
  <c r="M7" i="67"/>
  <c r="J6" i="67" s="1"/>
  <c r="F51" i="15"/>
  <c r="B8" i="70"/>
  <c r="F69" i="15"/>
  <c r="I1" i="73"/>
  <c r="B39" i="1" s="1"/>
  <c r="L59" i="67"/>
  <c r="Q74" i="67" s="1"/>
  <c r="N59" i="67"/>
  <c r="L58" i="67"/>
  <c r="Q73" i="67" s="1"/>
  <c r="M59" i="67"/>
  <c r="C47" i="69"/>
  <c r="D45" i="69" s="1"/>
  <c r="C29" i="69"/>
  <c r="D27" i="69" s="1"/>
  <c r="I54" i="15"/>
  <c r="J59" i="15"/>
  <c r="J60" i="15"/>
  <c r="Q48" i="15" s="1"/>
  <c r="J57" i="15"/>
  <c r="J55" i="15" s="1"/>
  <c r="J58" i="15" s="1"/>
  <c r="Q50" i="15" s="1"/>
  <c r="L56" i="15"/>
  <c r="F65" i="15"/>
  <c r="F66" i="15"/>
  <c r="M7" i="15"/>
  <c r="J6" i="15" s="1"/>
  <c r="F50" i="15"/>
  <c r="F71" i="15"/>
  <c r="C6" i="67"/>
  <c r="B7" i="70"/>
  <c r="E11" i="49"/>
  <c r="B8" i="49"/>
  <c r="E5" i="49"/>
  <c r="E10" i="49"/>
  <c r="E8" i="49"/>
  <c r="E16" i="49"/>
  <c r="B9" i="49"/>
  <c r="B5" i="49"/>
  <c r="E22" i="49"/>
  <c r="B14" i="49"/>
  <c r="B7" i="49"/>
  <c r="B22" i="49"/>
  <c r="E4" i="49"/>
  <c r="B4" i="49"/>
  <c r="E9" i="49"/>
  <c r="E21" i="49"/>
  <c r="B11" i="49"/>
  <c r="B13" i="49"/>
  <c r="B6" i="49"/>
  <c r="E4" i="4" s="1"/>
  <c r="B5" i="62" s="1"/>
  <c r="B73" i="72" s="1"/>
  <c r="E6" i="49"/>
  <c r="E7" i="49"/>
  <c r="B16" i="49"/>
  <c r="B10" i="49"/>
  <c r="C4" i="4" s="1"/>
  <c r="B40" i="1"/>
  <c r="F22" i="81" s="1"/>
  <c r="B22" i="31"/>
  <c r="C25" i="31"/>
  <c r="G3" i="80"/>
  <c r="G3" i="43"/>
  <c r="C7" i="71"/>
  <c r="T8" i="71"/>
  <c r="D8" i="71"/>
  <c r="U8" i="71" s="1"/>
  <c r="F50" i="71"/>
  <c r="Q51" i="71"/>
  <c r="AC36" i="35"/>
  <c r="W36" i="35"/>
  <c r="K25" i="6"/>
  <c r="K19" i="6"/>
  <c r="K27" i="6" s="1"/>
  <c r="K21" i="6"/>
  <c r="K20" i="6"/>
  <c r="E31" i="6"/>
  <c r="AA34" i="35"/>
  <c r="S34" i="35"/>
  <c r="W34" i="35"/>
  <c r="AC34" i="35"/>
  <c r="K22" i="6"/>
  <c r="K24" i="6"/>
  <c r="I52" i="37"/>
  <c r="W7" i="34"/>
  <c r="AC7" i="34"/>
  <c r="V49" i="34" s="1"/>
  <c r="I49" i="34" s="1"/>
  <c r="G52" i="33"/>
  <c r="H52" i="33" s="1"/>
  <c r="G53" i="33"/>
  <c r="H53" i="33" s="1"/>
  <c r="S7" i="34"/>
  <c r="AA7" i="34"/>
  <c r="R49" i="34" s="1"/>
  <c r="H68" i="39"/>
  <c r="G70" i="39"/>
  <c r="C38" i="35"/>
  <c r="C39" i="35"/>
  <c r="B2" i="35" s="1"/>
  <c r="B3" i="35" s="1"/>
  <c r="AC7" i="21"/>
  <c r="V48" i="21" s="1"/>
  <c r="I48" i="21" s="1"/>
  <c r="W7" i="21"/>
  <c r="J63" i="40"/>
  <c r="I65" i="40"/>
  <c r="C48" i="33"/>
  <c r="C49" i="33"/>
  <c r="E3" i="6"/>
  <c r="B7" i="71"/>
  <c r="B6" i="71" s="1"/>
  <c r="B5" i="71" s="1"/>
  <c r="S8" i="71"/>
  <c r="G5" i="3"/>
  <c r="B3" i="3" s="1"/>
  <c r="M10" i="1"/>
  <c r="M16" i="1" s="1"/>
  <c r="H16" i="1"/>
  <c r="AB36" i="35"/>
  <c r="U36" i="35"/>
  <c r="E63" i="39"/>
  <c r="E66" i="39" s="1"/>
  <c r="E58" i="40"/>
  <c r="E16" i="6"/>
  <c r="AA25" i="37"/>
  <c r="S25" i="37"/>
  <c r="AB34" i="35"/>
  <c r="U34" i="35"/>
  <c r="AB9" i="34"/>
  <c r="U9" i="34"/>
  <c r="C48" i="81"/>
  <c r="C30" i="81"/>
  <c r="K16" i="1"/>
  <c r="I46" i="36"/>
  <c r="J46" i="36" s="1"/>
  <c r="K46" i="36" s="1"/>
  <c r="L46" i="36" s="1"/>
  <c r="M46" i="36" s="1"/>
  <c r="N46" i="36" s="1"/>
  <c r="O46" i="36" s="1"/>
  <c r="H7" i="36"/>
  <c r="J7" i="36"/>
  <c r="I52" i="33"/>
  <c r="J52" i="33" s="1"/>
  <c r="I53" i="33"/>
  <c r="J53" i="33" s="1"/>
  <c r="U7" i="34"/>
  <c r="AB7" i="34"/>
  <c r="T49" i="34" s="1"/>
  <c r="G49" i="34" s="1"/>
  <c r="E43" i="35"/>
  <c r="F43" i="35" s="1"/>
  <c r="E42" i="35"/>
  <c r="F42" i="35" s="1"/>
  <c r="AB7" i="21"/>
  <c r="T48" i="21" s="1"/>
  <c r="G48" i="21" s="1"/>
  <c r="U7" i="21"/>
  <c r="S7" i="21"/>
  <c r="AA7" i="21"/>
  <c r="R48" i="21" s="1"/>
  <c r="I43" i="35"/>
  <c r="J43" i="35" s="1"/>
  <c r="E53" i="33"/>
  <c r="F53" i="33" s="1"/>
  <c r="E52" i="33"/>
  <c r="F52" i="33" s="1"/>
  <c r="F24" i="79"/>
  <c r="C24" i="79" s="1"/>
  <c r="P17" i="80"/>
  <c r="M11" i="79"/>
  <c r="F11" i="79"/>
  <c r="H10" i="40"/>
  <c r="F10" i="39"/>
  <c r="J10" i="40"/>
  <c r="J10" i="39"/>
  <c r="H10" i="39"/>
  <c r="F10" i="40"/>
  <c r="F27" i="68"/>
  <c r="F28" i="12"/>
  <c r="C29" i="12" s="1"/>
  <c r="D28" i="12" s="1"/>
  <c r="F27" i="11"/>
  <c r="S13" i="1"/>
  <c r="M26" i="6"/>
  <c r="I26" i="6" s="1"/>
  <c r="S10" i="1"/>
  <c r="M23" i="6"/>
  <c r="I23" i="6" s="1"/>
  <c r="Q73" i="15"/>
  <c r="Q60" i="15"/>
  <c r="M11" i="15"/>
  <c r="J10" i="15" s="1"/>
  <c r="J5" i="15" s="1"/>
  <c r="F11" i="67"/>
  <c r="M11" i="67"/>
  <c r="J10" i="67" s="1"/>
  <c r="J5" i="67" s="1"/>
  <c r="F11" i="15"/>
  <c r="F1" i="67"/>
  <c r="Q74" i="15"/>
  <c r="Q61" i="15"/>
  <c r="N17" i="43"/>
  <c r="G20" i="43" s="1"/>
  <c r="C20" i="43" s="1"/>
  <c r="O17" i="43"/>
  <c r="M17" i="43"/>
  <c r="P17" i="43"/>
  <c r="F8" i="79"/>
  <c r="L47" i="79"/>
  <c r="M9" i="79"/>
  <c r="J15" i="79"/>
  <c r="F41" i="79"/>
  <c r="F37" i="79"/>
  <c r="M26" i="79"/>
  <c r="C17" i="15"/>
  <c r="M28" i="79"/>
  <c r="F43" i="79"/>
  <c r="C16" i="15"/>
  <c r="M8" i="79"/>
  <c r="M6" i="79"/>
  <c r="F40" i="79"/>
  <c r="F41" i="67"/>
  <c r="C76" i="79"/>
  <c r="F16" i="79"/>
  <c r="M24" i="79"/>
  <c r="C36" i="81"/>
  <c r="F9" i="79"/>
  <c r="F42" i="79"/>
  <c r="M29" i="79"/>
  <c r="AE6" i="1"/>
  <c r="L48" i="79"/>
  <c r="F36" i="79"/>
  <c r="F13" i="79"/>
  <c r="F7" i="79"/>
  <c r="M23" i="79"/>
  <c r="F26" i="79"/>
  <c r="F27" i="81"/>
  <c r="C16" i="67"/>
  <c r="F6" i="79"/>
  <c r="D9" i="81"/>
  <c r="M22" i="79"/>
  <c r="F38" i="79"/>
  <c r="C49" i="15" l="1"/>
  <c r="Q60" i="67"/>
  <c r="Q61" i="67"/>
  <c r="O17" i="80"/>
  <c r="M17" i="80"/>
  <c r="B4" i="62"/>
  <c r="B71" i="72" s="1"/>
  <c r="K4" i="4"/>
  <c r="B46" i="48" s="1"/>
  <c r="B4" i="72" s="1"/>
  <c r="C53" i="67"/>
  <c r="F25" i="12"/>
  <c r="C26" i="12" s="1"/>
  <c r="D25" i="12" s="1"/>
  <c r="F22" i="69"/>
  <c r="C24" i="69" s="1"/>
  <c r="F22" i="68"/>
  <c r="C44" i="68" s="1"/>
  <c r="D41" i="68" s="1"/>
  <c r="F24" i="15"/>
  <c r="C24" i="15" s="1"/>
  <c r="F22" i="11"/>
  <c r="C24" i="11" s="1"/>
  <c r="F24" i="67"/>
  <c r="C24" i="67" s="1"/>
  <c r="F50" i="79"/>
  <c r="M7" i="79"/>
  <c r="J6" i="79" s="1"/>
  <c r="J10" i="79" s="1"/>
  <c r="J5" i="79" s="1"/>
  <c r="F66" i="79"/>
  <c r="F69" i="79"/>
  <c r="F64" i="79"/>
  <c r="F71" i="79"/>
  <c r="L56" i="79"/>
  <c r="I54" i="79"/>
  <c r="J57" i="79"/>
  <c r="J55" i="79" s="1"/>
  <c r="J58" i="79" s="1"/>
  <c r="Q50" i="79" s="1"/>
  <c r="L57" i="79"/>
  <c r="L60" i="79"/>
  <c r="J53" i="79"/>
  <c r="Q71" i="79"/>
  <c r="C9" i="81"/>
  <c r="C47" i="81"/>
  <c r="D45" i="81" s="1"/>
  <c r="C29" i="81"/>
  <c r="D27" i="81" s="1"/>
  <c r="F68" i="79"/>
  <c r="C6" i="79"/>
  <c r="C10" i="79" s="1"/>
  <c r="C5" i="79" s="1"/>
  <c r="C38" i="79" s="1"/>
  <c r="C27" i="79"/>
  <c r="M59" i="79"/>
  <c r="L59" i="79"/>
  <c r="N59" i="79"/>
  <c r="L58" i="79"/>
  <c r="F65" i="79"/>
  <c r="F51" i="79"/>
  <c r="R49" i="21"/>
  <c r="E48" i="21"/>
  <c r="U7" i="36"/>
  <c r="AB7" i="36"/>
  <c r="T36" i="36" s="1"/>
  <c r="G36" i="36" s="1"/>
  <c r="N16" i="1"/>
  <c r="C34" i="11"/>
  <c r="C34" i="68"/>
  <c r="L16" i="1"/>
  <c r="E69" i="3"/>
  <c r="E237" i="3"/>
  <c r="E53"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3" i="34"/>
  <c r="D3" i="33"/>
  <c r="E6" i="6"/>
  <c r="C17" i="4"/>
  <c r="B4" i="52" s="1"/>
  <c r="B43" i="72" s="1"/>
  <c r="D3" i="37"/>
  <c r="D3" i="21"/>
  <c r="D19" i="11"/>
  <c r="C19" i="11" s="1"/>
  <c r="C20" i="11" s="1"/>
  <c r="D37" i="11"/>
  <c r="C37" i="11" s="1"/>
  <c r="D14" i="12"/>
  <c r="J65" i="40"/>
  <c r="K63" i="40"/>
  <c r="I52" i="21"/>
  <c r="J52" i="21" s="1"/>
  <c r="I53" i="21"/>
  <c r="J53" i="21" s="1"/>
  <c r="I68" i="39"/>
  <c r="H70" i="39"/>
  <c r="S11" i="1"/>
  <c r="M24" i="6"/>
  <c r="I24" i="6" s="1"/>
  <c r="S24" i="6" s="1"/>
  <c r="M21" i="6"/>
  <c r="I21" i="6" s="1"/>
  <c r="S21" i="6" s="1"/>
  <c r="S8" i="1"/>
  <c r="S12" i="1"/>
  <c r="M25" i="6"/>
  <c r="I25" i="6" s="1"/>
  <c r="S25" i="6" s="1"/>
  <c r="C6" i="71"/>
  <c r="D7" i="71"/>
  <c r="J22" i="80"/>
  <c r="AI11" i="80"/>
  <c r="AI13" i="80" s="1"/>
  <c r="AE11" i="80"/>
  <c r="AE13" i="80" s="1"/>
  <c r="AA11" i="80"/>
  <c r="AA13" i="80" s="1"/>
  <c r="S5" i="80"/>
  <c r="S3" i="80"/>
  <c r="S6" i="80"/>
  <c r="AG11" i="80"/>
  <c r="AG13" i="80" s="1"/>
  <c r="AC11" i="80"/>
  <c r="AC13" i="80" s="1"/>
  <c r="Y11" i="80"/>
  <c r="Y13" i="80" s="1"/>
  <c r="N101" i="80"/>
  <c r="J101" i="80"/>
  <c r="F101" i="80"/>
  <c r="B113" i="80"/>
  <c r="K101" i="80"/>
  <c r="G101" i="80"/>
  <c r="C101" i="80"/>
  <c r="F22" i="80"/>
  <c r="Z7" i="80"/>
  <c r="AB11" i="80"/>
  <c r="AB13" i="80" s="1"/>
  <c r="AF11" i="80"/>
  <c r="AF13" i="80" s="1"/>
  <c r="AJ11" i="80"/>
  <c r="AJ13" i="80" s="1"/>
  <c r="C23" i="80"/>
  <c r="E22" i="80"/>
  <c r="S2" i="80"/>
  <c r="L101" i="80"/>
  <c r="H101" i="80"/>
  <c r="D101" i="80"/>
  <c r="M101" i="80"/>
  <c r="I101" i="80"/>
  <c r="E101" i="80"/>
  <c r="H22" i="80"/>
  <c r="S4" i="80"/>
  <c r="S7" i="80"/>
  <c r="Z11" i="80"/>
  <c r="Z13" i="80" s="1"/>
  <c r="AD11" i="80"/>
  <c r="AD13" i="80" s="1"/>
  <c r="AH11" i="80"/>
  <c r="AH13" i="80" s="1"/>
  <c r="G22" i="80"/>
  <c r="G52" i="21"/>
  <c r="H52" i="21" s="1"/>
  <c r="G53" i="21"/>
  <c r="H53" i="21" s="1"/>
  <c r="G53" i="34"/>
  <c r="H53" i="34" s="1"/>
  <c r="G54" i="34"/>
  <c r="H54" i="34" s="1"/>
  <c r="AC7" i="36"/>
  <c r="V36" i="36" s="1"/>
  <c r="I36" i="36" s="1"/>
  <c r="W7" i="36"/>
  <c r="E13" i="3"/>
  <c r="AY6" i="3"/>
  <c r="B2" i="33"/>
  <c r="B3" i="33" s="1"/>
  <c r="E49" i="34"/>
  <c r="I54" i="34" s="1"/>
  <c r="J54" i="34" s="1"/>
  <c r="R50" i="34"/>
  <c r="I53" i="34"/>
  <c r="J53" i="34" s="1"/>
  <c r="J52" i="37"/>
  <c r="S9" i="1"/>
  <c r="M22" i="6"/>
  <c r="I22" i="6" s="1"/>
  <c r="S22" i="6" s="1"/>
  <c r="M20" i="6"/>
  <c r="I20" i="6" s="1"/>
  <c r="S20" i="6" s="1"/>
  <c r="S7" i="1"/>
  <c r="M19" i="6"/>
  <c r="I19" i="6" s="1"/>
  <c r="S6" i="1"/>
  <c r="Q50" i="71"/>
  <c r="Q49" i="71"/>
  <c r="C23" i="43"/>
  <c r="B113" i="43"/>
  <c r="F101" i="43"/>
  <c r="E22" i="43"/>
  <c r="C101" i="43"/>
  <c r="N104" i="46"/>
  <c r="H22" i="43"/>
  <c r="D101" i="43"/>
  <c r="I101" i="43"/>
  <c r="G22" i="43"/>
  <c r="AH11" i="43"/>
  <c r="AH13" i="43" s="1"/>
  <c r="AD11" i="43"/>
  <c r="AD13" i="43" s="1"/>
  <c r="Z11" i="43"/>
  <c r="Z13" i="43" s="1"/>
  <c r="S5" i="43"/>
  <c r="AG11" i="43"/>
  <c r="AG13" i="43" s="1"/>
  <c r="AC11" i="43"/>
  <c r="AC13" i="43" s="1"/>
  <c r="Y11" i="43"/>
  <c r="Y13" i="43" s="1"/>
  <c r="F22" i="43"/>
  <c r="K101" i="43"/>
  <c r="N101" i="43"/>
  <c r="G101" i="43"/>
  <c r="J101" i="43"/>
  <c r="H101" i="43"/>
  <c r="E101" i="43"/>
  <c r="S2" i="43"/>
  <c r="AJ11" i="43"/>
  <c r="AJ13" i="43" s="1"/>
  <c r="AB11" i="43"/>
  <c r="AB13" i="43" s="1"/>
  <c r="AI11" i="43"/>
  <c r="AI13" i="43" s="1"/>
  <c r="AA11" i="43"/>
  <c r="AA13" i="43" s="1"/>
  <c r="S6" i="43"/>
  <c r="S3" i="43"/>
  <c r="T3" i="43" s="1"/>
  <c r="V3" i="43" s="1"/>
  <c r="J22" i="43"/>
  <c r="L101" i="43"/>
  <c r="M101" i="43"/>
  <c r="AF11" i="43"/>
  <c r="AF13" i="43" s="1"/>
  <c r="Z7" i="43"/>
  <c r="AE11" i="43"/>
  <c r="AE13" i="43" s="1"/>
  <c r="S4" i="43"/>
  <c r="S7" i="43"/>
  <c r="T7" i="43" s="1"/>
  <c r="V7" i="43" s="1"/>
  <c r="F7" i="36"/>
  <c r="C24" i="81"/>
  <c r="C26" i="81"/>
  <c r="D22" i="81" s="1"/>
  <c r="C44" i="81"/>
  <c r="D41" i="81" s="1"/>
  <c r="C33" i="80"/>
  <c r="C35" i="80"/>
  <c r="C39" i="80"/>
  <c r="T15" i="80"/>
  <c r="V15" i="80" s="1"/>
  <c r="T13" i="80"/>
  <c r="V13" i="80" s="1"/>
  <c r="T9" i="80"/>
  <c r="V9" i="80" s="1"/>
  <c r="T6" i="80"/>
  <c r="V6" i="80" s="1"/>
  <c r="T3" i="80"/>
  <c r="V3" i="80" s="1"/>
  <c r="T11" i="80"/>
  <c r="V11" i="80" s="1"/>
  <c r="T4" i="80"/>
  <c r="V4" i="80" s="1"/>
  <c r="T7" i="80"/>
  <c r="V7" i="80" s="1"/>
  <c r="C34" i="80"/>
  <c r="C37" i="80"/>
  <c r="T14" i="80"/>
  <c r="V14" i="80" s="1"/>
  <c r="T12" i="80"/>
  <c r="V12" i="80" s="1"/>
  <c r="T8" i="80"/>
  <c r="V8" i="80" s="1"/>
  <c r="T5" i="80"/>
  <c r="V5" i="80" s="1"/>
  <c r="T16" i="80"/>
  <c r="V16" i="80" s="1"/>
  <c r="T10" i="80"/>
  <c r="V10" i="80" s="1"/>
  <c r="C38" i="80"/>
  <c r="T2" i="80"/>
  <c r="V2" i="80" s="1"/>
  <c r="C36" i="80"/>
  <c r="C48" i="67"/>
  <c r="C66" i="67" s="1"/>
  <c r="S16" i="1"/>
  <c r="AA10" i="40"/>
  <c r="S10" i="40"/>
  <c r="W10" i="39"/>
  <c r="AC10" i="39"/>
  <c r="AA10" i="39"/>
  <c r="S10" i="39"/>
  <c r="C29" i="11"/>
  <c r="D27" i="11" s="1"/>
  <c r="C47" i="11"/>
  <c r="D45" i="11" s="1"/>
  <c r="C28" i="11"/>
  <c r="C27" i="11" s="1"/>
  <c r="C29" i="68"/>
  <c r="D27" i="68" s="1"/>
  <c r="C47" i="68"/>
  <c r="D45" i="68" s="1"/>
  <c r="AB10" i="39"/>
  <c r="U10" i="39"/>
  <c r="W10" i="40"/>
  <c r="AC10" i="40"/>
  <c r="U10" i="40"/>
  <c r="AB10" i="40"/>
  <c r="I27" i="6"/>
  <c r="M27" i="6"/>
  <c r="AQ10" i="1"/>
  <c r="AR10" i="1"/>
  <c r="T10" i="1"/>
  <c r="S23" i="6"/>
  <c r="S26" i="6"/>
  <c r="AR13" i="1"/>
  <c r="AQ13" i="1"/>
  <c r="T13" i="1"/>
  <c r="AG6" i="1"/>
  <c r="C10" i="67"/>
  <c r="C5" i="67" s="1"/>
  <c r="C32" i="67" s="1"/>
  <c r="F69" i="67"/>
  <c r="J24" i="67"/>
  <c r="J18" i="67"/>
  <c r="J24" i="15"/>
  <c r="J18" i="15"/>
  <c r="J26" i="15"/>
  <c r="J29" i="15" s="1"/>
  <c r="C26" i="11"/>
  <c r="D22" i="11" s="1"/>
  <c r="C34" i="43"/>
  <c r="C36" i="43"/>
  <c r="C38" i="43"/>
  <c r="T16" i="43"/>
  <c r="V16" i="43" s="1"/>
  <c r="T12" i="43"/>
  <c r="V12" i="43" s="1"/>
  <c r="T2" i="43"/>
  <c r="V2" i="43" s="1"/>
  <c r="T15" i="43"/>
  <c r="V15" i="43" s="1"/>
  <c r="T10" i="43"/>
  <c r="V10" i="43" s="1"/>
  <c r="T6" i="43"/>
  <c r="V6" i="43" s="1"/>
  <c r="T14" i="43"/>
  <c r="V14" i="43" s="1"/>
  <c r="T13" i="43"/>
  <c r="V13" i="43" s="1"/>
  <c r="T4" i="43"/>
  <c r="V4" i="43" s="1"/>
  <c r="C33" i="43"/>
  <c r="C35" i="43"/>
  <c r="C37" i="43"/>
  <c r="C39" i="43"/>
  <c r="T11" i="43"/>
  <c r="V11" i="43" s="1"/>
  <c r="T9" i="43"/>
  <c r="V9" i="43" s="1"/>
  <c r="T8" i="43"/>
  <c r="V8" i="43" s="1"/>
  <c r="T5" i="43"/>
  <c r="V5" i="43" s="1"/>
  <c r="C10" i="15"/>
  <c r="C5" i="15" s="1"/>
  <c r="C53" i="15"/>
  <c r="M27" i="67"/>
  <c r="D10" i="81"/>
  <c r="C16" i="79"/>
  <c r="C34" i="81"/>
  <c r="C17" i="67"/>
  <c r="C17" i="79"/>
  <c r="C34" i="69"/>
  <c r="C14" i="15"/>
  <c r="C14" i="79"/>
  <c r="C14" i="67"/>
  <c r="C23" i="68" l="1"/>
  <c r="C44" i="11"/>
  <c r="D41" i="11" s="1"/>
  <c r="C44" i="69"/>
  <c r="D41" i="69" s="1"/>
  <c r="C48" i="15"/>
  <c r="C26" i="68"/>
  <c r="D22" i="68" s="1"/>
  <c r="C23" i="11"/>
  <c r="C25" i="11"/>
  <c r="C26" i="69"/>
  <c r="D22" i="69" s="1"/>
  <c r="C49" i="79"/>
  <c r="J24" i="79"/>
  <c r="J18" i="79"/>
  <c r="C60" i="67"/>
  <c r="C18" i="67"/>
  <c r="C15" i="67"/>
  <c r="C35" i="69"/>
  <c r="C38" i="69"/>
  <c r="C10" i="69"/>
  <c r="C8" i="69" s="1"/>
  <c r="D19" i="69"/>
  <c r="D37" i="69" s="1"/>
  <c r="C37" i="69" s="1"/>
  <c r="C38" i="81"/>
  <c r="C35" i="81"/>
  <c r="C10" i="81"/>
  <c r="C8" i="81" s="1"/>
  <c r="D19" i="81"/>
  <c r="D37" i="81" s="1"/>
  <c r="C37" i="81" s="1"/>
  <c r="C18" i="79"/>
  <c r="C15" i="79"/>
  <c r="S7" i="36"/>
  <c r="AA7" i="36"/>
  <c r="R36" i="36" s="1"/>
  <c r="M109" i="43"/>
  <c r="M107" i="43"/>
  <c r="M104" i="43"/>
  <c r="M105" i="43"/>
  <c r="M106" i="43"/>
  <c r="M103" i="43"/>
  <c r="M102" i="43"/>
  <c r="E102" i="43"/>
  <c r="E104" i="43"/>
  <c r="E105" i="43"/>
  <c r="E109" i="43"/>
  <c r="E107" i="43"/>
  <c r="E103" i="43"/>
  <c r="E106" i="43"/>
  <c r="J104" i="43"/>
  <c r="J103" i="43"/>
  <c r="J106" i="43"/>
  <c r="J107" i="43"/>
  <c r="J102" i="43"/>
  <c r="J109" i="43"/>
  <c r="J105" i="43"/>
  <c r="N102" i="43"/>
  <c r="N103" i="43"/>
  <c r="N106" i="43"/>
  <c r="N107" i="43"/>
  <c r="N109" i="43"/>
  <c r="N104" i="43"/>
  <c r="N105" i="43"/>
  <c r="D22" i="43"/>
  <c r="D109" i="43"/>
  <c r="D106" i="43"/>
  <c r="D105" i="43"/>
  <c r="D102" i="43"/>
  <c r="D104" i="43"/>
  <c r="D107" i="43"/>
  <c r="D103" i="43"/>
  <c r="B115" i="43"/>
  <c r="I118" i="43"/>
  <c r="J118" i="43" s="1"/>
  <c r="K118" i="43" s="1"/>
  <c r="L118" i="43" s="1"/>
  <c r="M118" i="43" s="1"/>
  <c r="D118" i="43"/>
  <c r="E118" i="43" s="1"/>
  <c r="F118" i="43" s="1"/>
  <c r="B117" i="43"/>
  <c r="C117" i="43" s="1"/>
  <c r="I116" i="43"/>
  <c r="J116" i="43" s="1"/>
  <c r="K116" i="43" s="1"/>
  <c r="L116" i="43" s="1"/>
  <c r="M116" i="43" s="1"/>
  <c r="D115" i="43"/>
  <c r="E115" i="43" s="1"/>
  <c r="F115" i="43" s="1"/>
  <c r="G115" i="43" s="1"/>
  <c r="H115" i="43" s="1"/>
  <c r="D116" i="43"/>
  <c r="E116" i="43" s="1"/>
  <c r="F116" i="43" s="1"/>
  <c r="G116" i="43" s="1"/>
  <c r="H116" i="43" s="1"/>
  <c r="B116" i="43"/>
  <c r="C116" i="43" s="1"/>
  <c r="I117" i="43"/>
  <c r="J117" i="43" s="1"/>
  <c r="K117" i="43" s="1"/>
  <c r="L117" i="43" s="1"/>
  <c r="M117" i="43" s="1"/>
  <c r="I115" i="43"/>
  <c r="J115" i="43" s="1"/>
  <c r="K115" i="43" s="1"/>
  <c r="L115" i="43" s="1"/>
  <c r="M115" i="43" s="1"/>
  <c r="G118" i="43"/>
  <c r="H118" i="43" s="1"/>
  <c r="B118" i="43"/>
  <c r="C118" i="43" s="1"/>
  <c r="D117" i="43"/>
  <c r="E117" i="43" s="1"/>
  <c r="F117" i="43" s="1"/>
  <c r="G117" i="43" s="1"/>
  <c r="H117" i="43" s="1"/>
  <c r="E6" i="70"/>
  <c r="T6" i="1"/>
  <c r="AR6" i="1"/>
  <c r="AQ6" i="1"/>
  <c r="AQ7" i="1"/>
  <c r="T7" i="1"/>
  <c r="AR7" i="1"/>
  <c r="C50" i="34"/>
  <c r="B2" i="34" s="1"/>
  <c r="B3" i="34" s="1"/>
  <c r="C49" i="34"/>
  <c r="I40" i="36"/>
  <c r="J40" i="36" s="1"/>
  <c r="E107" i="80"/>
  <c r="E105" i="80"/>
  <c r="E103" i="80"/>
  <c r="E109" i="80"/>
  <c r="E106" i="80"/>
  <c r="E104" i="80"/>
  <c r="E102" i="80"/>
  <c r="M107" i="80"/>
  <c r="M105" i="80"/>
  <c r="M103" i="80"/>
  <c r="M109" i="80"/>
  <c r="M106" i="80"/>
  <c r="M104" i="80"/>
  <c r="M102" i="80"/>
  <c r="H107" i="80"/>
  <c r="H105" i="80"/>
  <c r="H103" i="80"/>
  <c r="H109" i="80"/>
  <c r="H106" i="80"/>
  <c r="H104" i="80"/>
  <c r="H102" i="80"/>
  <c r="C109" i="80"/>
  <c r="C107" i="80"/>
  <c r="C105" i="80"/>
  <c r="C103" i="80"/>
  <c r="C106" i="80"/>
  <c r="C104" i="80"/>
  <c r="C102" i="80"/>
  <c r="K109" i="80"/>
  <c r="K107" i="80"/>
  <c r="K105" i="80"/>
  <c r="K103" i="80"/>
  <c r="K106" i="80"/>
  <c r="K104" i="80"/>
  <c r="K102" i="80"/>
  <c r="F109" i="80"/>
  <c r="F106" i="80"/>
  <c r="F104" i="80"/>
  <c r="F102" i="80"/>
  <c r="F107" i="80"/>
  <c r="F105" i="80"/>
  <c r="F103" i="80"/>
  <c r="N109" i="80"/>
  <c r="N106" i="80"/>
  <c r="N104" i="80"/>
  <c r="N102" i="80"/>
  <c r="N107" i="80"/>
  <c r="N105" i="80"/>
  <c r="N103" i="80"/>
  <c r="D6" i="71"/>
  <c r="C5" i="71"/>
  <c r="AQ12" i="1"/>
  <c r="AR12" i="1"/>
  <c r="T12" i="1"/>
  <c r="L63" i="40"/>
  <c r="K65" i="40"/>
  <c r="D17" i="12"/>
  <c r="C17" i="12" s="1"/>
  <c r="C14" i="12"/>
  <c r="C16" i="12" s="1"/>
  <c r="D10" i="68"/>
  <c r="D10" i="11"/>
  <c r="C10" i="11" s="1"/>
  <c r="D20" i="12"/>
  <c r="C20" i="12" s="1"/>
  <c r="C18" i="12" s="1"/>
  <c r="H6" i="3"/>
  <c r="C35" i="68"/>
  <c r="C38" i="68"/>
  <c r="F50" i="81"/>
  <c r="F50" i="11"/>
  <c r="F50" i="69"/>
  <c r="F50" i="68"/>
  <c r="C49" i="21"/>
  <c r="B2" i="21" s="1"/>
  <c r="B3" i="21" s="1"/>
  <c r="C48" i="21"/>
  <c r="Q57" i="79"/>
  <c r="Q66" i="79"/>
  <c r="L109" i="43"/>
  <c r="L102" i="43"/>
  <c r="L105" i="43"/>
  <c r="L104" i="43"/>
  <c r="L106" i="43"/>
  <c r="L107" i="43"/>
  <c r="L103" i="43"/>
  <c r="H102" i="43"/>
  <c r="H103" i="43"/>
  <c r="H104" i="43"/>
  <c r="H107" i="43"/>
  <c r="H106" i="43"/>
  <c r="H105" i="43"/>
  <c r="H109" i="43"/>
  <c r="G105" i="43"/>
  <c r="G102" i="43"/>
  <c r="G103" i="43"/>
  <c r="G107" i="43"/>
  <c r="G106" i="43"/>
  <c r="G104" i="43"/>
  <c r="G109" i="43"/>
  <c r="K103" i="43"/>
  <c r="K107" i="43"/>
  <c r="K104" i="43"/>
  <c r="K106" i="43"/>
  <c r="K102" i="43"/>
  <c r="K105" i="43"/>
  <c r="K109" i="43"/>
  <c r="I109" i="43"/>
  <c r="I104" i="43"/>
  <c r="I105" i="43"/>
  <c r="I107" i="43"/>
  <c r="I103" i="43"/>
  <c r="I102" i="43"/>
  <c r="I106" i="43"/>
  <c r="C104" i="43"/>
  <c r="C105" i="43"/>
  <c r="C102" i="43"/>
  <c r="C109" i="43"/>
  <c r="C103" i="43"/>
  <c r="C107" i="43"/>
  <c r="C106" i="43"/>
  <c r="F104" i="43"/>
  <c r="F107" i="43"/>
  <c r="F106" i="43"/>
  <c r="F103" i="43"/>
  <c r="F109" i="43"/>
  <c r="F102" i="43"/>
  <c r="F105" i="43"/>
  <c r="C21" i="43"/>
  <c r="C29" i="43" s="1"/>
  <c r="C6" i="69" s="1"/>
  <c r="L18" i="9"/>
  <c r="S19" i="6"/>
  <c r="AR9" i="1"/>
  <c r="T9" i="1"/>
  <c r="AQ9" i="1"/>
  <c r="E9" i="70"/>
  <c r="K52" i="37"/>
  <c r="L52" i="37" s="1"/>
  <c r="M52" i="37" s="1"/>
  <c r="N52" i="37" s="1"/>
  <c r="O52" i="37" s="1"/>
  <c r="J7" i="37"/>
  <c r="F7"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86" i="3"/>
  <c r="AY49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67" i="3"/>
  <c r="I107" i="80"/>
  <c r="I105" i="80"/>
  <c r="I103" i="80"/>
  <c r="I109" i="80"/>
  <c r="I106" i="80"/>
  <c r="I104" i="80"/>
  <c r="I102" i="80"/>
  <c r="D109" i="80"/>
  <c r="D107" i="80"/>
  <c r="D105" i="80"/>
  <c r="D103" i="80"/>
  <c r="D106" i="80"/>
  <c r="D104" i="80"/>
  <c r="D102" i="80"/>
  <c r="L107" i="80"/>
  <c r="L105" i="80"/>
  <c r="L103" i="80"/>
  <c r="L109" i="80"/>
  <c r="L106" i="80"/>
  <c r="L104" i="80"/>
  <c r="L102" i="80"/>
  <c r="D22" i="80"/>
  <c r="C21" i="80" s="1"/>
  <c r="C29" i="80" s="1"/>
  <c r="C30" i="80" s="1"/>
  <c r="E30" i="80" s="1"/>
  <c r="G109" i="80"/>
  <c r="G107" i="80"/>
  <c r="G105" i="80"/>
  <c r="G103" i="80"/>
  <c r="G106" i="80"/>
  <c r="G104" i="80"/>
  <c r="G102" i="80"/>
  <c r="I118" i="80"/>
  <c r="J118" i="80" s="1"/>
  <c r="K118" i="80" s="1"/>
  <c r="L118" i="80" s="1"/>
  <c r="M118" i="80" s="1"/>
  <c r="I117" i="80"/>
  <c r="J117" i="80" s="1"/>
  <c r="K117" i="80" s="1"/>
  <c r="L117" i="80" s="1"/>
  <c r="M117" i="80" s="1"/>
  <c r="I115" i="80"/>
  <c r="J115" i="80" s="1"/>
  <c r="K115" i="80" s="1"/>
  <c r="L115" i="80" s="1"/>
  <c r="M115" i="80" s="1"/>
  <c r="B118" i="80"/>
  <c r="C118" i="80" s="1"/>
  <c r="B117" i="80"/>
  <c r="C117" i="80" s="1"/>
  <c r="B116" i="80"/>
  <c r="C116" i="80" s="1"/>
  <c r="B115" i="80"/>
  <c r="G118" i="80"/>
  <c r="H118" i="80" s="1"/>
  <c r="I116" i="80"/>
  <c r="J116" i="80" s="1"/>
  <c r="K116" i="80" s="1"/>
  <c r="L116" i="80" s="1"/>
  <c r="M116" i="80" s="1"/>
  <c r="D118" i="80"/>
  <c r="E118" i="80" s="1"/>
  <c r="F118" i="80" s="1"/>
  <c r="D117" i="80"/>
  <c r="E117" i="80" s="1"/>
  <c r="F117" i="80" s="1"/>
  <c r="G117" i="80" s="1"/>
  <c r="H117" i="80" s="1"/>
  <c r="D116" i="80"/>
  <c r="E116" i="80" s="1"/>
  <c r="F116" i="80" s="1"/>
  <c r="G116" i="80" s="1"/>
  <c r="H116" i="80" s="1"/>
  <c r="D115" i="80"/>
  <c r="E115" i="80" s="1"/>
  <c r="F115" i="80" s="1"/>
  <c r="G115" i="80" s="1"/>
  <c r="H115" i="80" s="1"/>
  <c r="J109" i="80"/>
  <c r="J106" i="80"/>
  <c r="J104" i="80"/>
  <c r="J102" i="80"/>
  <c r="J107" i="80"/>
  <c r="J105" i="80"/>
  <c r="J103" i="80"/>
  <c r="AR8" i="1"/>
  <c r="AQ8" i="1"/>
  <c r="T8" i="1"/>
  <c r="T11" i="1"/>
  <c r="AQ11" i="1"/>
  <c r="AR11" i="1"/>
  <c r="J68" i="39"/>
  <c r="I70" i="39"/>
  <c r="AC6" i="3"/>
  <c r="C35" i="11"/>
  <c r="C38" i="11"/>
  <c r="C33" i="11" s="1"/>
  <c r="G40" i="36"/>
  <c r="H40" i="36" s="1"/>
  <c r="G41" i="36"/>
  <c r="H41" i="36" s="1"/>
  <c r="E52" i="21"/>
  <c r="F52" i="21" s="1"/>
  <c r="E53" i="21"/>
  <c r="F53" i="21" s="1"/>
  <c r="Q73" i="79"/>
  <c r="Q60" i="79"/>
  <c r="Q74" i="79"/>
  <c r="Q61" i="79"/>
  <c r="Q52" i="79"/>
  <c r="F1" i="79"/>
  <c r="C38" i="67"/>
  <c r="C6" i="81"/>
  <c r="G37" i="80"/>
  <c r="I37" i="80" s="1"/>
  <c r="E37" i="80"/>
  <c r="G34" i="80"/>
  <c r="I34" i="80" s="1"/>
  <c r="E34" i="80"/>
  <c r="G35" i="80"/>
  <c r="I35" i="80" s="1"/>
  <c r="E35" i="80"/>
  <c r="G36" i="80"/>
  <c r="I36" i="80" s="1"/>
  <c r="E36" i="80"/>
  <c r="G38" i="80"/>
  <c r="I38" i="80" s="1"/>
  <c r="E38" i="80"/>
  <c r="G39" i="80"/>
  <c r="I39" i="80" s="1"/>
  <c r="E39" i="80"/>
  <c r="G33" i="80"/>
  <c r="I33" i="80" s="1"/>
  <c r="E33" i="80"/>
  <c r="C33" i="79"/>
  <c r="C32" i="79"/>
  <c r="C15" i="15"/>
  <c r="C18" i="15"/>
  <c r="S27" i="6"/>
  <c r="C60" i="15"/>
  <c r="C66" i="15"/>
  <c r="E39" i="43"/>
  <c r="G39" i="43"/>
  <c r="I39" i="43" s="1"/>
  <c r="E35" i="43"/>
  <c r="G35" i="43"/>
  <c r="I35" i="43" s="1"/>
  <c r="G38" i="43"/>
  <c r="I38" i="43" s="1"/>
  <c r="E38" i="43"/>
  <c r="G34" i="43"/>
  <c r="I34" i="43" s="1"/>
  <c r="E34" i="43"/>
  <c r="C33" i="67"/>
  <c r="C32" i="15"/>
  <c r="C38" i="15"/>
  <c r="E37" i="43"/>
  <c r="G37" i="43"/>
  <c r="I37" i="43" s="1"/>
  <c r="E33" i="43"/>
  <c r="G33" i="43"/>
  <c r="I33" i="43" s="1"/>
  <c r="E36" i="43"/>
  <c r="G36" i="43"/>
  <c r="I36" i="43" s="1"/>
  <c r="AE9" i="1"/>
  <c r="C22" i="11" l="1"/>
  <c r="C31" i="11" s="1"/>
  <c r="C53" i="79"/>
  <c r="C48" i="79" s="1"/>
  <c r="C30" i="43"/>
  <c r="E30" i="43" s="1"/>
  <c r="C27" i="43" s="1"/>
  <c r="E29" i="43"/>
  <c r="C26" i="43" s="1"/>
  <c r="C19" i="67"/>
  <c r="C20" i="67" s="1"/>
  <c r="C26" i="67" s="1"/>
  <c r="E29" i="80"/>
  <c r="C26" i="80" s="1"/>
  <c r="B2" i="80" s="1"/>
  <c r="B3" i="80" s="1"/>
  <c r="C19" i="79"/>
  <c r="C33" i="81"/>
  <c r="C42" i="81" s="1"/>
  <c r="C33" i="69"/>
  <c r="C42" i="69" s="1"/>
  <c r="AG9" i="1"/>
  <c r="C20" i="79"/>
  <c r="K68" i="39"/>
  <c r="J70" i="39"/>
  <c r="D113" i="80"/>
  <c r="C115" i="80"/>
  <c r="AA7" i="37"/>
  <c r="R42" i="37" s="1"/>
  <c r="S7" i="37"/>
  <c r="E6" i="3"/>
  <c r="C21" i="12"/>
  <c r="D5" i="71"/>
  <c r="M20" i="80"/>
  <c r="M20" i="43"/>
  <c r="T16" i="1"/>
  <c r="C115" i="43"/>
  <c r="D113" i="43"/>
  <c r="C39" i="11"/>
  <c r="C42" i="11"/>
  <c r="D25" i="6"/>
  <c r="D22" i="6"/>
  <c r="D23" i="6"/>
  <c r="D26" i="6"/>
  <c r="D24" i="6"/>
  <c r="D19" i="6"/>
  <c r="C18" i="4"/>
  <c r="D21" i="6"/>
  <c r="D20" i="6"/>
  <c r="D6" i="6"/>
  <c r="D9" i="6"/>
  <c r="D10" i="6"/>
  <c r="D29" i="6"/>
  <c r="H19" i="6"/>
  <c r="D15" i="6"/>
  <c r="D8" i="6"/>
  <c r="D16" i="6" s="1"/>
  <c r="D14" i="6"/>
  <c r="D5" i="6"/>
  <c r="D12" i="6"/>
  <c r="D11" i="6"/>
  <c r="D13" i="6"/>
  <c r="D28" i="6"/>
  <c r="D30" i="6" s="1"/>
  <c r="E61" i="40"/>
  <c r="H22" i="6"/>
  <c r="R22" i="6" s="1"/>
  <c r="R9" i="1" s="1"/>
  <c r="H21" i="6"/>
  <c r="H24" i="6"/>
  <c r="R24" i="6" s="1"/>
  <c r="R11" i="1" s="1"/>
  <c r="H25" i="6"/>
  <c r="R25" i="6" s="1"/>
  <c r="R12" i="1" s="1"/>
  <c r="H23" i="6"/>
  <c r="R23" i="6" s="1"/>
  <c r="R10" i="1" s="1"/>
  <c r="H26" i="6"/>
  <c r="H20" i="6"/>
  <c r="W7" i="37"/>
  <c r="AC7" i="37"/>
  <c r="V42" i="37" s="1"/>
  <c r="I42" i="37" s="1"/>
  <c r="D19" i="68"/>
  <c r="C10" i="68"/>
  <c r="L65" i="40"/>
  <c r="M63" i="40"/>
  <c r="E2" i="70"/>
  <c r="R37" i="36"/>
  <c r="E36" i="36"/>
  <c r="H7" i="37"/>
  <c r="C7" i="81"/>
  <c r="C5" i="81" s="1"/>
  <c r="C27" i="80"/>
  <c r="C19" i="15"/>
  <c r="C20" i="15" s="1"/>
  <c r="M27" i="79"/>
  <c r="E6" i="76"/>
  <c r="F35" i="79"/>
  <c r="M21" i="79"/>
  <c r="C39" i="81" l="1"/>
  <c r="C43" i="81" s="1"/>
  <c r="C66" i="79"/>
  <c r="C60" i="79"/>
  <c r="C23" i="79"/>
  <c r="C39" i="69"/>
  <c r="C43" i="69" s="1"/>
  <c r="C41" i="69" s="1"/>
  <c r="C26" i="79"/>
  <c r="C41" i="81"/>
  <c r="C23" i="67"/>
  <c r="C29" i="67" s="1"/>
  <c r="J20" i="79"/>
  <c r="F63" i="79"/>
  <c r="C62" i="79" s="1"/>
  <c r="C34" i="79"/>
  <c r="C31" i="79" s="1"/>
  <c r="U7" i="37"/>
  <c r="AB7" i="37"/>
  <c r="T42" i="37" s="1"/>
  <c r="G42" i="37" s="1"/>
  <c r="C37" i="36"/>
  <c r="B2" i="36" s="1"/>
  <c r="B3" i="36" s="1"/>
  <c r="C36" i="36"/>
  <c r="N63" i="40"/>
  <c r="M65" i="40"/>
  <c r="I46" i="37"/>
  <c r="J46" i="37" s="1"/>
  <c r="M19" i="9"/>
  <c r="C118" i="9" s="1"/>
  <c r="C14" i="74" s="1"/>
  <c r="B2" i="74" s="1"/>
  <c r="L19" i="9"/>
  <c r="D27" i="6"/>
  <c r="D31" i="6" s="1"/>
  <c r="R19" i="6"/>
  <c r="C22" i="12"/>
  <c r="C30" i="12" s="1"/>
  <c r="C28" i="12" s="1"/>
  <c r="R43" i="37"/>
  <c r="E42" i="37"/>
  <c r="L68" i="39"/>
  <c r="K70" i="39"/>
  <c r="H27" i="6"/>
  <c r="E40" i="36"/>
  <c r="F40" i="36" s="1"/>
  <c r="E41" i="36"/>
  <c r="F41" i="36" s="1"/>
  <c r="I41" i="36"/>
  <c r="J41" i="36" s="1"/>
  <c r="C19" i="68"/>
  <c r="D37" i="68"/>
  <c r="C37" i="68" s="1"/>
  <c r="C33" i="68" s="1"/>
  <c r="R26" i="6"/>
  <c r="R13" i="1" s="1"/>
  <c r="R21" i="6"/>
  <c r="R8" i="1" s="1"/>
  <c r="R20" i="6"/>
  <c r="R7" i="1" s="1"/>
  <c r="A7" i="51"/>
  <c r="B7" i="72" s="1"/>
  <c r="C4" i="52"/>
  <c r="B45" i="72" s="1"/>
  <c r="A10" i="51"/>
  <c r="B9" i="72" s="1"/>
  <c r="C46" i="11"/>
  <c r="C45" i="11" s="1"/>
  <c r="C43" i="11"/>
  <c r="C41" i="11" s="1"/>
  <c r="C49" i="11" s="1"/>
  <c r="C51" i="11" s="1"/>
  <c r="C23" i="81"/>
  <c r="C20" i="81"/>
  <c r="C25" i="81" s="1"/>
  <c r="C26" i="15"/>
  <c r="C23" i="15"/>
  <c r="E2" i="76"/>
  <c r="B2" i="43"/>
  <c r="C7" i="69"/>
  <c r="C5" i="69" s="1"/>
  <c r="B6" i="76"/>
  <c r="F35" i="15"/>
  <c r="M21" i="15"/>
  <c r="C46" i="81" l="1"/>
  <c r="C45" i="81" s="1"/>
  <c r="C49" i="81" s="1"/>
  <c r="C51" i="81" s="1"/>
  <c r="C29" i="79"/>
  <c r="Q49" i="79" s="1"/>
  <c r="C46" i="69"/>
  <c r="C45" i="69" s="1"/>
  <c r="C49" i="69" s="1"/>
  <c r="C51" i="69" s="1"/>
  <c r="C13" i="79"/>
  <c r="C56" i="79" s="1"/>
  <c r="C65" i="79" s="1"/>
  <c r="C27" i="12"/>
  <c r="C25" i="12" s="1"/>
  <c r="C32" i="12" s="1"/>
  <c r="B2" i="12" s="1"/>
  <c r="B3" i="12" s="1"/>
  <c r="C13" i="67"/>
  <c r="Q49" i="67"/>
  <c r="J19" i="67"/>
  <c r="J14" i="67"/>
  <c r="J59" i="67"/>
  <c r="J60" i="67" s="1"/>
  <c r="Q48" i="67" s="1"/>
  <c r="C57" i="67"/>
  <c r="C36" i="67"/>
  <c r="J20" i="15"/>
  <c r="C34" i="15"/>
  <c r="F63" i="15"/>
  <c r="C62" i="15" s="1"/>
  <c r="C52" i="11"/>
  <c r="B2" i="11" s="1"/>
  <c r="B3" i="11" s="1"/>
  <c r="C20" i="68"/>
  <c r="C25" i="68" s="1"/>
  <c r="C24" i="68"/>
  <c r="M68" i="39"/>
  <c r="L70" i="39"/>
  <c r="C42" i="37"/>
  <c r="C43" i="37"/>
  <c r="B2" i="37" s="1"/>
  <c r="B3" i="37" s="1"/>
  <c r="G47" i="37"/>
  <c r="H47" i="37" s="1"/>
  <c r="G46" i="37"/>
  <c r="H46" i="37" s="1"/>
  <c r="R6" i="1"/>
  <c r="R27" i="6"/>
  <c r="C39" i="68"/>
  <c r="C42" i="68"/>
  <c r="E47" i="37"/>
  <c r="F47" i="37" s="1"/>
  <c r="E46" i="37"/>
  <c r="F46" i="37" s="1"/>
  <c r="I6" i="6"/>
  <c r="I5" i="6"/>
  <c r="D8" i="74"/>
  <c r="D7" i="74"/>
  <c r="I47" i="37"/>
  <c r="J47" i="37" s="1"/>
  <c r="O63" i="40"/>
  <c r="O65" i="40" s="1"/>
  <c r="N65" i="40"/>
  <c r="H7" i="40" s="1"/>
  <c r="C28" i="81"/>
  <c r="C27" i="81" s="1"/>
  <c r="C22" i="81"/>
  <c r="C37" i="79"/>
  <c r="C29" i="15"/>
  <c r="L57" i="67"/>
  <c r="L60" i="67" s="1"/>
  <c r="B2" i="76"/>
  <c r="B3" i="76" s="1"/>
  <c r="C23" i="69"/>
  <c r="C20" i="69"/>
  <c r="C25" i="69" s="1"/>
  <c r="B3" i="43"/>
  <c r="M21" i="67"/>
  <c r="F35" i="67"/>
  <c r="C57" i="79" l="1"/>
  <c r="C64" i="79" s="1"/>
  <c r="J19" i="79"/>
  <c r="J17" i="79" s="1"/>
  <c r="C36" i="79"/>
  <c r="C30" i="79" s="1"/>
  <c r="C39" i="79" s="1"/>
  <c r="C40" i="79" s="1"/>
  <c r="J14" i="79"/>
  <c r="J22" i="79" s="1"/>
  <c r="J59" i="79"/>
  <c r="J60" i="79" s="1"/>
  <c r="L46" i="79" s="1"/>
  <c r="J13" i="79"/>
  <c r="J23" i="79" s="1"/>
  <c r="C28" i="68"/>
  <c r="C27" i="68" s="1"/>
  <c r="Q70" i="79"/>
  <c r="C75" i="79"/>
  <c r="C22" i="68"/>
  <c r="C56" i="11"/>
  <c r="C57" i="11" s="1"/>
  <c r="C61" i="67"/>
  <c r="C64" i="67"/>
  <c r="J13" i="67"/>
  <c r="J23" i="67" s="1"/>
  <c r="J22" i="67"/>
  <c r="C56" i="67"/>
  <c r="C65" i="67" s="1"/>
  <c r="C75" i="67"/>
  <c r="Q70" i="67"/>
  <c r="C37" i="67"/>
  <c r="C34" i="67"/>
  <c r="C31" i="67" s="1"/>
  <c r="F63" i="67"/>
  <c r="C62" i="67" s="1"/>
  <c r="J20" i="67"/>
  <c r="J17" i="67" s="1"/>
  <c r="AB7" i="40"/>
  <c r="T42" i="40" s="1"/>
  <c r="G42" i="40" s="1"/>
  <c r="U7" i="40"/>
  <c r="C31" i="81"/>
  <c r="C52" i="81" s="1"/>
  <c r="J7" i="40"/>
  <c r="F7" i="40"/>
  <c r="C46" i="68"/>
  <c r="C45" i="68" s="1"/>
  <c r="C43" i="68"/>
  <c r="C41" i="68" s="1"/>
  <c r="R16" i="1"/>
  <c r="N68" i="39"/>
  <c r="M70" i="39"/>
  <c r="C33" i="15"/>
  <c r="C31" i="15" s="1"/>
  <c r="J19" i="15"/>
  <c r="J17" i="15" s="1"/>
  <c r="C57" i="15"/>
  <c r="J14" i="15"/>
  <c r="Q49" i="15"/>
  <c r="C13" i="15"/>
  <c r="C36" i="15"/>
  <c r="C28" i="69"/>
  <c r="C27" i="69" s="1"/>
  <c r="C22" i="69"/>
  <c r="Q57" i="67"/>
  <c r="Q66" i="67"/>
  <c r="L46" i="67"/>
  <c r="L51" i="79"/>
  <c r="J16" i="79" l="1"/>
  <c r="J25" i="79" s="1"/>
  <c r="J26" i="79" s="1"/>
  <c r="J29" i="79" s="1"/>
  <c r="D2" i="79" s="1"/>
  <c r="B2" i="79" s="1"/>
  <c r="C61" i="79"/>
  <c r="C59" i="79" s="1"/>
  <c r="C58" i="79" s="1"/>
  <c r="C67" i="79" s="1"/>
  <c r="C68" i="79" s="1"/>
  <c r="C71" i="79" s="1"/>
  <c r="Q48" i="79"/>
  <c r="C57" i="81"/>
  <c r="C56" i="81" s="1"/>
  <c r="C31" i="68"/>
  <c r="Q67" i="79"/>
  <c r="C80" i="79"/>
  <c r="C79" i="79" s="1"/>
  <c r="Q69" i="79"/>
  <c r="Q68" i="79" s="1"/>
  <c r="J16" i="67"/>
  <c r="J25" i="67" s="1"/>
  <c r="J26" i="67" s="1"/>
  <c r="J29" i="67" s="1"/>
  <c r="C30" i="67"/>
  <c r="C39" i="67" s="1"/>
  <c r="Q69" i="67" s="1"/>
  <c r="Q68" i="67" s="1"/>
  <c r="C49" i="68"/>
  <c r="C51" i="68" s="1"/>
  <c r="C59" i="67"/>
  <c r="C58" i="67" s="1"/>
  <c r="C67" i="67" s="1"/>
  <c r="C68" i="67" s="1"/>
  <c r="C71" i="67" s="1"/>
  <c r="O68" i="39"/>
  <c r="O70" i="39" s="1"/>
  <c r="J7" i="39" s="1"/>
  <c r="N70" i="39"/>
  <c r="H7" i="39"/>
  <c r="F7" i="39"/>
  <c r="S7" i="40"/>
  <c r="AA7" i="40"/>
  <c r="R42" i="40" s="1"/>
  <c r="G46" i="40"/>
  <c r="H46" i="40" s="1"/>
  <c r="W7" i="40"/>
  <c r="AC7" i="40"/>
  <c r="V42" i="40" s="1"/>
  <c r="I42" i="40" s="1"/>
  <c r="C83" i="79"/>
  <c r="C82" i="79" s="1"/>
  <c r="C43" i="79"/>
  <c r="C75" i="15"/>
  <c r="C56" i="15"/>
  <c r="C65" i="15" s="1"/>
  <c r="Q70" i="15"/>
  <c r="C37" i="15"/>
  <c r="C30" i="15" s="1"/>
  <c r="C39" i="15" s="1"/>
  <c r="J13" i="15"/>
  <c r="J23" i="15" s="1"/>
  <c r="J22" i="15"/>
  <c r="C61" i="15"/>
  <c r="C59" i="15" s="1"/>
  <c r="C64" i="15"/>
  <c r="C31" i="69"/>
  <c r="C52" i="69" s="1"/>
  <c r="C57" i="69" s="1"/>
  <c r="C56" i="69" s="1"/>
  <c r="AO9" i="1"/>
  <c r="L51" i="15"/>
  <c r="L51" i="67"/>
  <c r="Q56" i="79" l="1"/>
  <c r="Q62" i="79" s="1"/>
  <c r="Q65" i="79"/>
  <c r="Q75" i="79" s="1"/>
  <c r="Q47" i="79"/>
  <c r="Q53" i="79" s="1"/>
  <c r="C52" i="68"/>
  <c r="B2" i="68" s="1"/>
  <c r="B3" i="68" s="1"/>
  <c r="C45" i="79"/>
  <c r="C46" i="79" s="1"/>
  <c r="C57" i="68"/>
  <c r="C56" i="68" s="1"/>
  <c r="B3" i="79"/>
  <c r="C40" i="67"/>
  <c r="Q56" i="67" s="1"/>
  <c r="Q62" i="67" s="1"/>
  <c r="C80" i="67"/>
  <c r="C79" i="67" s="1"/>
  <c r="Q67" i="67"/>
  <c r="AB7" i="39"/>
  <c r="T47" i="39" s="1"/>
  <c r="G47" i="39" s="1"/>
  <c r="U7" i="39"/>
  <c r="I46" i="40"/>
  <c r="J46" i="40" s="1"/>
  <c r="G47" i="40"/>
  <c r="H47" i="40" s="1"/>
  <c r="E42" i="40"/>
  <c r="R43" i="40"/>
  <c r="S7" i="39"/>
  <c r="AA7" i="39"/>
  <c r="R47" i="39" s="1"/>
  <c r="AC7" i="39"/>
  <c r="V47" i="39" s="1"/>
  <c r="I47" i="39" s="1"/>
  <c r="W7" i="39"/>
  <c r="B9" i="70"/>
  <c r="C58" i="15"/>
  <c r="C67" i="15" s="1"/>
  <c r="C68" i="15" s="1"/>
  <c r="C71" i="15" s="1"/>
  <c r="J16" i="15"/>
  <c r="J25" i="15" s="1"/>
  <c r="Q67" i="15"/>
  <c r="L57" i="15"/>
  <c r="L60" i="15" s="1"/>
  <c r="Q69" i="15"/>
  <c r="Q68" i="15" s="1"/>
  <c r="C40" i="15"/>
  <c r="C80" i="15"/>
  <c r="C79" i="15" s="1"/>
  <c r="E2" i="81"/>
  <c r="B2" i="81" l="1"/>
  <c r="Q65" i="67"/>
  <c r="Q75" i="67" s="1"/>
  <c r="D2" i="67"/>
  <c r="B2" i="67" s="1"/>
  <c r="C45" i="67"/>
  <c r="C46" i="67" s="1"/>
  <c r="C83" i="67"/>
  <c r="C82" i="67" s="1"/>
  <c r="C43" i="67"/>
  <c r="Q47" i="67"/>
  <c r="Q53" i="67" s="1"/>
  <c r="I51" i="39"/>
  <c r="J51" i="39" s="1"/>
  <c r="I52" i="39"/>
  <c r="J52" i="39" s="1"/>
  <c r="E46" i="40"/>
  <c r="F46" i="40" s="1"/>
  <c r="E47" i="40"/>
  <c r="F47" i="40" s="1"/>
  <c r="I47" i="40"/>
  <c r="J47" i="40" s="1"/>
  <c r="R48" i="39"/>
  <c r="E47" i="39"/>
  <c r="C42" i="40"/>
  <c r="C43" i="40"/>
  <c r="G52" i="39"/>
  <c r="H52" i="39" s="1"/>
  <c r="G51" i="39"/>
  <c r="H51" i="39" s="1"/>
  <c r="C46" i="15"/>
  <c r="Q65" i="15"/>
  <c r="Q56" i="15"/>
  <c r="C43" i="15"/>
  <c r="Q47" i="15"/>
  <c r="Q53" i="15" s="1"/>
  <c r="C83" i="15"/>
  <c r="C82" i="15" s="1"/>
  <c r="L46" i="15"/>
  <c r="B2" i="15" s="1"/>
  <c r="B3" i="15" s="1"/>
  <c r="Q66" i="15"/>
  <c r="Q57" i="15"/>
  <c r="Q62" i="15" s="1"/>
  <c r="B3" i="81"/>
  <c r="E2" i="69"/>
  <c r="AO6" i="1"/>
  <c r="D19" i="9"/>
  <c r="D9" i="82" l="1"/>
  <c r="E9" i="82" s="1"/>
  <c r="D20" i="74" s="1"/>
  <c r="B2" i="69"/>
  <c r="B3" i="67"/>
  <c r="B6" i="70"/>
  <c r="B2" i="70" s="1"/>
  <c r="B3" i="70" s="1"/>
  <c r="D102" i="9"/>
  <c r="D21" i="9"/>
  <c r="Q75" i="15"/>
  <c r="C47" i="39"/>
  <c r="C48" i="39"/>
  <c r="B53" i="40"/>
  <c r="F53" i="40" s="1"/>
  <c r="B57" i="40"/>
  <c r="F57" i="40" s="1"/>
  <c r="B59" i="40"/>
  <c r="F59" i="40" s="1"/>
  <c r="B56" i="40"/>
  <c r="F56" i="40" s="1"/>
  <c r="B54" i="40"/>
  <c r="F54" i="40" s="1"/>
  <c r="B60" i="40"/>
  <c r="F60" i="40" s="1"/>
  <c r="F61" i="40"/>
  <c r="B2" i="40" s="1"/>
  <c r="B3" i="40" s="1"/>
  <c r="B58" i="40"/>
  <c r="F58" i="40" s="1"/>
  <c r="B52" i="40"/>
  <c r="F52" i="40" s="1"/>
  <c r="B51" i="40"/>
  <c r="F51" i="40" s="1"/>
  <c r="B55" i="40"/>
  <c r="F55" i="40" s="1"/>
  <c r="E51" i="39"/>
  <c r="F51" i="39" s="1"/>
  <c r="E52" i="39"/>
  <c r="F52" i="39" s="1"/>
  <c r="B3" i="69"/>
  <c r="C20" i="9" s="1"/>
  <c r="C19" i="9"/>
  <c r="D20" i="9"/>
  <c r="E20" i="74" l="1"/>
  <c r="F20" i="74"/>
  <c r="C21" i="9"/>
  <c r="C102" i="9"/>
  <c r="D22" i="9"/>
  <c r="G19" i="9"/>
  <c r="C103" i="9"/>
  <c r="D103" i="9"/>
  <c r="G20" i="9"/>
  <c r="R24" i="31" s="1"/>
  <c r="D3" i="82" s="1"/>
  <c r="E3" i="82"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G21" i="9" l="1"/>
  <c r="C32" i="9"/>
  <c r="S24" i="31"/>
  <c r="R26" i="31"/>
  <c r="S26" i="31" s="1"/>
  <c r="R29" i="31"/>
  <c r="D8" i="82" s="1"/>
  <c r="E8" i="82" s="1"/>
  <c r="D19" i="74" s="1"/>
  <c r="R28" i="31"/>
  <c r="D7" i="82" s="1"/>
  <c r="E7" i="82" s="1"/>
  <c r="D18" i="74" s="1"/>
  <c r="R27" i="31"/>
  <c r="S27" i="31" s="1"/>
  <c r="R25" i="31"/>
  <c r="S25" i="31" s="1"/>
  <c r="S29" i="31"/>
  <c r="E19" i="74" l="1"/>
  <c r="F19" i="74"/>
  <c r="E18" i="74"/>
  <c r="F18" i="74"/>
  <c r="H118" i="9"/>
  <c r="C35" i="9"/>
  <c r="D4" i="82"/>
  <c r="E4" i="82" s="1"/>
  <c r="D15" i="74" s="1"/>
  <c r="D5" i="82"/>
  <c r="E5" i="82" s="1"/>
  <c r="D16" i="74" s="1"/>
  <c r="S28" i="31"/>
  <c r="S22" i="31" s="1"/>
  <c r="B20" i="31" s="1"/>
  <c r="D6" i="82"/>
  <c r="E6" i="82" s="1"/>
  <c r="D17" i="74" s="1"/>
  <c r="E17" i="74" l="1"/>
  <c r="F17" i="74"/>
  <c r="E16" i="74"/>
  <c r="F16" i="74"/>
  <c r="E15" i="74"/>
  <c r="F15" i="74"/>
  <c r="F118" i="9"/>
  <c r="C34" i="9"/>
  <c r="D118" i="9" s="1"/>
  <c r="C104" i="9"/>
  <c r="H4" i="52"/>
  <c r="H101" i="9"/>
  <c r="I118" i="9"/>
  <c r="H119" i="9"/>
  <c r="H5" i="52" s="1"/>
  <c r="D14" i="74"/>
  <c r="E10" i="82"/>
  <c r="R22" i="31"/>
  <c r="B21" i="31" s="1"/>
  <c r="E14" i="74" l="1"/>
  <c r="F14" i="74"/>
  <c r="B5" i="74"/>
  <c r="H102" i="9"/>
  <c r="D7" i="53" s="1"/>
  <c r="B21" i="72" s="1"/>
  <c r="C105" i="9"/>
  <c r="I4" i="52"/>
  <c r="D4" i="52"/>
  <c r="B47" i="72" s="1"/>
  <c r="D119" i="9"/>
  <c r="D5" i="52" s="1"/>
  <c r="B49" i="72" s="1"/>
  <c r="M48" i="9"/>
  <c r="D45" i="9"/>
  <c r="H107" i="9"/>
  <c r="D5" i="53"/>
  <c r="F4" i="52"/>
  <c r="B51" i="72" s="1"/>
  <c r="F119" i="9"/>
  <c r="F5" i="52" s="1"/>
  <c r="B53" i="72" s="1"/>
  <c r="G118" i="9"/>
  <c r="G4" i="52" s="1"/>
  <c r="B52" i="72" s="1"/>
  <c r="D13" i="53" l="1"/>
  <c r="H108" i="9"/>
  <c r="D15" i="53" s="1"/>
  <c r="B31" i="72" s="1"/>
  <c r="D122" i="9"/>
  <c r="E118" i="9"/>
  <c r="E4" i="52" s="1"/>
  <c r="B48" i="72" s="1"/>
  <c r="B20" i="72"/>
  <c r="D6" i="53"/>
  <c r="B22" i="72" s="1"/>
  <c r="C78" i="9"/>
  <c r="C73" i="9" s="1"/>
  <c r="C93" i="9"/>
  <c r="C86" i="9" s="1"/>
  <c r="C85" i="9"/>
  <c r="D53" i="9"/>
  <c r="D55" i="9"/>
  <c r="M53" i="9" s="1"/>
  <c r="D52" i="9"/>
  <c r="C64" i="9"/>
  <c r="C63" i="9" s="1"/>
  <c r="C67" i="9" s="1"/>
  <c r="C68" i="9" s="1"/>
  <c r="D54" i="9" s="1"/>
  <c r="C72" i="9"/>
  <c r="C5" i="74"/>
  <c r="D5" i="74"/>
  <c r="C79" i="9" l="1"/>
  <c r="C95" i="9"/>
  <c r="G14" i="74"/>
  <c r="B6" i="74" s="1"/>
  <c r="D8" i="52"/>
  <c r="D123" i="9"/>
  <c r="D9" i="52" s="1"/>
  <c r="D14" i="53"/>
  <c r="B32" i="72" s="1"/>
  <c r="B30" i="72"/>
  <c r="C80" i="9" l="1"/>
  <c r="E80" i="9" s="1"/>
  <c r="E81" i="9" s="1"/>
  <c r="C6" i="74"/>
  <c r="D6" i="74"/>
  <c r="C96" i="9"/>
  <c r="E96" i="9" s="1"/>
  <c r="E97" i="9" s="1"/>
  <c r="C81" i="9" l="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<sst xmlns="http://schemas.openxmlformats.org/spreadsheetml/2006/main" count="8235" uniqueCount="3138">
  <si>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</si>
  <si>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</si>
  <si>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</si>
  <si>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</si>
  <si>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</si>
  <si>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</si>
  <si>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</si>
  <si>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</si>
  <si>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</si>
  <si>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</si>
  <si>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</si>
  <si>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</si>
  <si>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</si>
  <si>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</si>
  <si>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</si>
  <si>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</si>
  <si>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</si>
  <si>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</si>
  <si>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</si>
  <si>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</si>
  <si>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</si>
  <si>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</si>
  <si>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</si>
  <si>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</si>
  <si>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</si>
  <si>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</si>
  <si>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</si>
  <si>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</si>
  <si>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</si>
  <si>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</si>
  <si>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</si>
  <si>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</si>
  <si>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</si>
  <si>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</si>
  <si>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</si>
  <si>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</si>
  <si>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</si>
  <si>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</si>
  <si>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</si>
  <si>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</si>
  <si>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</si>
  <si>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</si>
  <si>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</si>
  <si>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</si>
  <si>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</si>
  <si>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</si>
  <si>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</si>
  <si>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</si>
  <si>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</si>
  <si>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</si>
  <si>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</si>
  <si>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</si>
  <si>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</si>
  <si>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</si>
  <si>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</si>
  <si>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</si>
  <si>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</si>
  <si>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</si>
  <si>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</si>
  <si>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</si>
  <si>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</si>
  <si>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</si>
  <si>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</si>
  <si>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</si>
  <si>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</si>
  <si>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</si>
  <si>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</si>
  <si>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</si>
  <si>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</si>
  <si>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</si>
  <si>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</si>
  <si>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</si>
  <si>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</si>
  <si>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</si>
  <si>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</si>
  <si>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</si>
  <si>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</si>
  <si>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</si>
  <si>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</si>
  <si>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</si>
  <si>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</si>
  <si>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</si>
  <si>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</si>
  <si>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</si>
  <si>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</si>
  <si>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</si>
  <si>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</si>
  <si>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</si>
  <si>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</si>
  <si>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</si>
  <si>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</si>
  <si>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</si>
  <si>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</si>
  <si>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</si>
  <si>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</si>
  <si>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</si>
  <si>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</si>
  <si>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</si>
  <si>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</si>
  <si>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</si>
  <si>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</si>
  <si>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</si>
  <si>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</si>
  <si>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</si>
  <si>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</si>
  <si>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</si>
  <si>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</si>
  <si>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</si>
  <si>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</si>
  <si>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</si>
  <si>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</si>
  <si>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</si>
  <si>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</si>
  <si>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</si>
  <si>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</si>
  <si>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</si>
  <si>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</si>
  <si>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</si>
  <si>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</si>
  <si>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</si>
  <si>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</si>
  <si>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</si>
  <si>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</si>
  <si>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</si>
  <si>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</si>
  <si>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</si>
  <si>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</si>
  <si>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</si>
  <si>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</si>
  <si>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</si>
  <si>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</si>
  <si>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</si>
  <si>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</si>
  <si>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</si>
  <si>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</si>
  <si>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</si>
  <si>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</si>
  <si>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</si>
  <si>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</si>
  <si>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</si>
  <si>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</si>
  <si>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</si>
  <si>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</si>
  <si>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</si>
  <si>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</si>
  <si>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</si>
  <si>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</si>
  <si>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</si>
  <si>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</si>
  <si>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</si>
  <si>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</si>
  <si>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</si>
  <si>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</si>
  <si>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</si>
  <si>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</si>
  <si>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</si>
  <si>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</si>
  <si>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</si>
  <si>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</si>
  <si>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</si>
  <si>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</si>
  <si>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</si>
  <si>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</si>
  <si>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</si>
  <si>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</si>
  <si>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</si>
  <si>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</si>
  <si>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</si>
  <si>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</si>
  <si>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</si>
  <si>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</si>
  <si>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</si>
  <si>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</si>
  <si>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</si>
  <si>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</si>
  <si>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</si>
  <si>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</si>
  <si>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</si>
  <si>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</si>
  <si>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</si>
  <si>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</si>
  <si>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</si>
  <si>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</si>
  <si>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</si>
  <si>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</si>
  <si>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</si>
  <si>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</si>
  <si>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</si>
  <si>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</si>
  <si>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</si>
  <si>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</si>
  <si>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</si>
  <si>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</si>
  <si>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</si>
  <si>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</si>
  <si>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</si>
  <si>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</si>
  <si>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</si>
  <si>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</si>
  <si>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</si>
  <si>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</si>
  <si>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</si>
  <si>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</si>
  <si>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</si>
  <si>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</si>
  <si>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</si>
  <si>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</si>
  <si>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</si>
  <si>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</si>
  <si>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</si>
  <si>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</si>
  <si>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</si>
  <si>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</si>
  <si>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</si>
  <si>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</si>
  <si>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</si>
  <si>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</si>
  <si>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</si>
  <si>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</si>
  <si>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</si>
  <si>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</si>
  <si>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</si>
  <si>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</si>
  <si>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</si>
  <si>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</si>
  <si>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</si>
  <si>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</si>
  <si>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</si>
  <si>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</si>
  <si>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</si>
  <si>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</si>
  <si>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</si>
  <si>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</si>
  <si>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</si>
  <si>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</si>
  <si>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</si>
  <si>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</si>
  <si>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</si>
  <si>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</si>
  <si>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</si>
  <si>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</si>
  <si>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</si>
  <si>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</si>
  <si>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</si>
  <si>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</si>
  <si>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</si>
  <si>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</si>
  <si>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</si>
  <si>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</si>
  <si>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</si>
  <si>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</si>
  <si>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</si>
  <si>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</si>
  <si>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</si>
  <si>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</si>
  <si>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</si>
  <si>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</si>
  <si>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</si>
  <si>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</si>
  <si>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</si>
  <si>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</si>
  <si>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</si>
  <si>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</si>
  <si>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</si>
  <si>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</si>
  <si>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</si>
  <si>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</si>
  <si>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</si>
  <si>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</si>
  <si>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</si>
  <si>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</si>
  <si>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</si>
  <si>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</si>
  <si>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</si>
  <si>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</si>
  <si>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</si>
  <si>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</si>
  <si>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</si>
  <si>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</si>
  <si>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</si>
  <si>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</si>
  <si>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</si>
  <si>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</si>
  <si>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</si>
  <si>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</si>
  <si>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</si>
  <si>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</si>
  <si>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</si>
  <si>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</si>
  <si>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</si>
  <si>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</si>
  <si>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</si>
  <si>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</si>
  <si>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</si>
  <si>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</si>
  <si>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</si>
  <si>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</si>
  <si>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</si>
  <si>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</si>
  <si>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</si>
  <si>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</si>
  <si>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</si>
  <si>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</si>
  <si>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</si>
  <si>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</si>
  <si>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</si>
  <si>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</si>
  <si>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</si>
  <si>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</si>
  <si>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</si>
  <si>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</si>
  <si>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</si>
  <si>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</si>
  <si>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</si>
  <si>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</si>
  <si>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</si>
  <si>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</si>
  <si>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</si>
  <si>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</si>
  <si>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</si>
  <si>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</si>
  <si>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</si>
  <si>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</si>
  <si>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</si>
  <si>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</si>
  <si>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</si>
  <si>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</si>
  <si>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</si>
  <si>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</si>
  <si>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</si>
  <si>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</si>
  <si>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</si>
  <si>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</si>
  <si>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</si>
  <si>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</si>
  <si>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</si>
  <si>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</si>
  <si>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</si>
  <si>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</si>
  <si>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</si>
  <si>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</si>
  <si>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</si>
  <si>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</si>
  <si>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</si>
  <si>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</si>
  <si>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</si>
  <si>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</si>
  <si>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</si>
  <si>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</si>
  <si>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</si>
  <si>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</si>
  <si>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</si>
  <si>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</si>
  <si>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</si>
  <si>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</si>
  <si>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</si>
  <si>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</si>
  <si>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</si>
  <si>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</si>
  <si>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</si>
  <si>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</si>
  <si>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</si>
  <si>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</si>
  <si>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</si>
  <si>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</si>
  <si>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</si>
  <si>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</si>
  <si>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</si>
  <si>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</si>
  <si>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</si>
  <si>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</si>
  <si>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</si>
  <si>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</si>
  <si>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</si>
  <si>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</si>
  <si>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</si>
  <si>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</si>
  <si>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</si>
  <si>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</si>
  <si>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</si>
  <si>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</si>
  <si>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</si>
  <si>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</si>
  <si>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</si>
  <si>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</si>
  <si>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</si>
  <si>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</si>
  <si>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</si>
  <si>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</si>
  <si>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</si>
  <si>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</si>
  <si>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</si>
  <si>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</si>
  <si>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</si>
  <si>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</si>
  <si>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</si>
  <si>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</si>
  <si>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</si>
  <si>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</si>
  <si>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</si>
  <si>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</si>
  <si>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</si>
  <si>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</si>
  <si>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</si>
  <si>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</si>
  <si>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</si>
  <si>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</si>
  <si>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</si>
  <si>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</si>
  <si>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</si>
  <si>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</si>
  <si>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</si>
  <si>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</si>
  <si>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</si>
  <si>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</si>
  <si>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</si>
  <si>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</si>
  <si>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</si>
  <si>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</si>
  <si>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</si>
  <si>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</si>
  <si>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</si>
  <si>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</si>
  <si>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</si>
  <si>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</si>
  <si>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</si>
  <si>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</si>
  <si>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</si>
  <si>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</si>
  <si>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</si>
  <si>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</si>
  <si>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</si>
  <si>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</si>
  <si>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</si>
  <si>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</si>
  <si>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</si>
  <si>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</si>
  <si>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</si>
  <si>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</si>
  <si>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</si>
  <si>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</si>
  <si>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</si>
  <si>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</si>
  <si>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</si>
  <si>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</si>
  <si>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</si>
  <si>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</si>
  <si>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</si>
  <si>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</si>
  <si>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</si>
  <si>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</si>
  <si>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</si>
  <si>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</si>
  <si>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</si>
  <si>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</si>
  <si>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</si>
  <si>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</si>
  <si>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</si>
  <si>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</si>
  <si>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</si>
  <si>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</si>
  <si>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</si>
  <si>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</si>
  <si>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</si>
  <si>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</si>
  <si>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</si>
  <si>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</si>
  <si>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</si>
  <si>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</si>
  <si>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</si>
  <si>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</si>
  <si>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</si>
  <si>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</si>
  <si>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</si>
  <si>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</si>
  <si>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</si>
  <si>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</si>
  <si>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</si>
  <si>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</si>
  <si>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</si>
  <si>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</si>
  <si>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</si>
  <si>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</si>
  <si>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</si>
  <si>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</si>
  <si>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</si>
  <si>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</si>
  <si>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</si>
  <si>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</si>
  <si>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</si>
  <si>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</si>
  <si>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</si>
  <si>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</si>
  <si>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</si>
  <si>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</si>
  <si>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</si>
  <si>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</si>
  <si>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</si>
  <si>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</si>
  <si>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</si>
  <si>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</si>
  <si>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</si>
  <si>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</si>
  <si>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</si>
  <si>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</si>
  <si>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</si>
  <si>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</si>
  <si>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</si>
  <si>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</si>
  <si>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</si>
  <si>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</si>
  <si>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</si>
  <si>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</si>
  <si>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</si>
  <si>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</si>
  <si>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</si>
  <si>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</si>
  <si>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</si>
  <si>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</si>
  <si>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</si>
  <si>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</si>
  <si>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</si>
  <si>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</si>
  <si>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</si>
  <si>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</si>
  <si>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</si>
  <si>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</si>
  <si>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</si>
  <si>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</si>
  <si>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</si>
  <si>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</si>
  <si>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</si>
  <si>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</si>
  <si>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</si>
  <si>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</si>
  <si>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</si>
  <si>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</si>
  <si>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</si>
  <si>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</si>
  <si>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</si>
  <si>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</si>
  <si>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</si>
  <si>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</si>
  <si>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</si>
  <si>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</si>
  <si>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</si>
  <si>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</si>
  <si>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</si>
  <si>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</si>
  <si>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</si>
  <si>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</si>
  <si>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</si>
  <si>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</si>
  <si>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</si>
  <si>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</si>
  <si>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</si>
  <si>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</si>
  <si>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</si>
  <si>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</si>
  <si>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</si>
  <si>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</si>
  <si>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</si>
  <si>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</si>
  <si>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</si>
  <si>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</si>
  <si>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</si>
  <si>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</si>
  <si>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</si>
  <si>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</si>
  <si>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</si>
  <si>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</si>
  <si>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</si>
  <si>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</si>
  <si>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</si>
  <si>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</si>
  <si>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</si>
  <si>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</si>
  <si>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</si>
  <si>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</si>
  <si>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</si>
  <si>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</si>
  <si>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</si>
  <si>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</si>
  <si>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</si>
  <si>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</si>
  <si>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</si>
  <si>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</si>
  <si>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</si>
  <si>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</si>
  <si>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</si>
  <si>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</si>
  <si>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</si>
  <si>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</si>
  <si>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</si>
  <si>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</si>
  <si>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</si>
  <si>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</si>
  <si>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</si>
  <si>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</si>
  <si>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</si>
  <si>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</si>
  <si>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</si>
  <si>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</si>
  <si>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</si>
  <si>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</si>
  <si>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</si>
  <si>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</si>
  <si>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</si>
  <si>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</si>
  <si>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</si>
  <si>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</si>
  <si>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</si>
  <si>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</si>
  <si>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</si>
  <si>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</si>
  <si>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</si>
  <si>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</si>
  <si>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</si>
  <si>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</si>
  <si>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</si>
  <si>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</si>
  <si>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</si>
  <si>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</si>
  <si>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</si>
  <si>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</si>
  <si>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</si>
  <si>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</si>
  <si>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</si>
  <si>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</si>
  <si>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</si>
  <si>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</si>
  <si>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</si>
  <si>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</si>
  <si>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</si>
  <si>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</si>
  <si>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</si>
  <si>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</si>
  <si>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</si>
  <si>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</si>
  <si>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</si>
  <si>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</si>
  <si>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</si>
  <si>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</si>
  <si>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</si>
  <si>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</si>
  <si>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</si>
  <si>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</si>
  <si>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</si>
  <si>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</si>
  <si>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</si>
  <si>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</si>
  <si>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</si>
  <si>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</si>
  <si>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</si>
  <si>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</si>
  <si>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</si>
  <si>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</si>
  <si>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</si>
  <si>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</si>
  <si>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</si>
  <si>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</si>
  <si>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</si>
  <si>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</si>
  <si>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</si>
  <si>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</si>
  <si>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</si>
  <si>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</si>
  <si>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</si>
  <si>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</si>
  <si>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</si>
  <si>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</si>
  <si>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</si>
  <si>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</si>
  <si>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</si>
  <si>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</si>
  <si>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</si>
  <si>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</si>
  <si>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</si>
  <si>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</si>
  <si>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</si>
  <si>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</si>
  <si>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</si>
  <si>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</si>
  <si>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</si>
  <si>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</si>
  <si>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</si>
  <si>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</si>
  <si>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</si>
  <si>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</si>
  <si>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</si>
  <si>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</si>
  <si>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</si>
  <si>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</si>
  <si>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</si>
  <si>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</si>
  <si>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</si>
  <si>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</si>
  <si>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</si>
  <si>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</si>
  <si>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</si>
  <si>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</si>
  <si>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</si>
  <si>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</si>
  <si>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</si>
  <si>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</si>
  <si>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</si>
  <si>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</si>
  <si>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</si>
  <si>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</si>
  <si>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</si>
  <si>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</si>
  <si>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</si>
  <si>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</si>
  <si>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</si>
  <si>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</si>
  <si>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</si>
  <si>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</si>
  <si>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</si>
  <si>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</si>
  <si>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</si>
  <si>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</si>
  <si>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</si>
  <si>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</si>
  <si>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</si>
  <si>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</si>
  <si>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</si>
  <si>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</si>
  <si>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</si>
  <si>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</si>
  <si>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</si>
  <si>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</si>
  <si>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</si>
  <si>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</si>
  <si>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</si>
  <si>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</si>
  <si>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</si>
  <si>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</si>
  <si>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</si>
  <si>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</si>
  <si>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</si>
  <si>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</si>
  <si>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</si>
  <si>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</si>
  <si>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</si>
  <si>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</si>
  <si>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</si>
  <si>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</si>
  <si>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</si>
  <si>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</si>
  <si>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</si>
  <si>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</si>
  <si>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</si>
  <si>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</si>
  <si>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</si>
  <si>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</si>
  <si>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</si>
  <si>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</si>
  <si>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</si>
  <si>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</si>
  <si>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</si>
  <si>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</si>
  <si>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</si>
  <si>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</si>
  <si>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</si>
  <si>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</si>
  <si>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</si>
  <si>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</si>
  <si>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</si>
  <si>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</si>
  <si>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</si>
  <si>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</si>
  <si>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</si>
  <si>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</si>
  <si>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</si>
  <si>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</si>
  <si>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</si>
  <si>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</si>
  <si>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</si>
  <si>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</si>
  <si>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</si>
  <si>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</si>
  <si>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</si>
  <si>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</si>
  <si>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</si>
  <si>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</si>
  <si>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</si>
  <si>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</si>
  <si>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</si>
  <si>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</si>
  <si>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</si>
  <si>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</si>
  <si>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</si>
  <si>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</si>
  <si>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</si>
  <si>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</si>
  <si>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</si>
  <si>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</si>
  <si>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</si>
  <si>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</si>
  <si>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</si>
  <si>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</si>
  <si>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</si>
  <si>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</si>
  <si>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</si>
  <si>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</si>
  <si>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</si>
  <si>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</si>
  <si>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</si>
  <si>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</si>
  <si>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</si>
  <si>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</si>
  <si>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</si>
  <si>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</si>
  <si>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</si>
  <si>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</si>
  <si>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</si>
  <si>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</si>
  <si>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</si>
  <si>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</si>
  <si>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</si>
  <si>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</si>
  <si>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</si>
  <si>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</si>
  <si>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</si>
  <si>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</si>
  <si>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</si>
  <si>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</si>
  <si>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</si>
  <si>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</si>
  <si>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</si>
  <si>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</si>
  <si>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</si>
  <si>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</si>
  <si>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</si>
  <si>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</si>
  <si>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</si>
  <si>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</si>
  <si>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</si>
  <si>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</si>
  <si>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</si>
  <si>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</si>
  <si>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</si>
  <si>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</si>
  <si>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</si>
  <si>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</si>
  <si>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</si>
  <si>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</si>
  <si>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</si>
  <si>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</si>
  <si>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</si>
  <si>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</si>
  <si>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</si>
  <si>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</si>
  <si>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</si>
  <si>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</si>
  <si>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</si>
  <si>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</si>
  <si>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</si>
  <si>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</si>
  <si>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</si>
  <si>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</si>
  <si>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</si>
  <si>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</si>
  <si>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</si>
  <si>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</si>
  <si>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</si>
  <si>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</si>
  <si>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</si>
  <si>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</si>
  <si>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</si>
  <si>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</si>
  <si>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</si>
  <si>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</si>
  <si>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</si>
  <si>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</si>
  <si>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</si>
  <si>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</si>
  <si>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</si>
  <si>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</si>
  <si>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</si>
  <si>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</si>
  <si>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</si>
  <si>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</si>
  <si>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</si>
  <si>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</si>
  <si>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</si>
  <si>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</si>
  <si>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</si>
  <si>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</si>
  <si>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</si>
  <si>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</si>
  <si>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</si>
  <si>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</si>
  <si>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</si>
  <si>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</si>
  <si>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</si>
  <si>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</si>
  <si>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</si>
  <si>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</si>
  <si>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</si>
  <si>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</si>
  <si>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</si>
  <si>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</si>
  <si>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</si>
  <si>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</si>
  <si>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</si>
  <si>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</si>
  <si>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</si>
  <si>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</si>
  <si>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</si>
  <si>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</si>
  <si>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</si>
  <si>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</si>
  <si>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</si>
  <si>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</si>
  <si>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</si>
  <si>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</si>
  <si>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</si>
  <si>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</si>
  <si>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</si>
  <si>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</si>
  <si>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</si>
  <si>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</si>
  <si>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</si>
  <si>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</si>
  <si>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</si>
  <si>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</si>
  <si>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</si>
  <si>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</si>
  <si>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</si>
  <si>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</si>
  <si>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</si>
  <si>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</si>
  <si>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</si>
  <si>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</si>
  <si>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</si>
  <si>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</si>
  <si>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</si>
  <si>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</si>
  <si>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</si>
  <si>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</si>
  <si>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</si>
  <si>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</si>
  <si>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</si>
  <si>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</si>
  <si>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</si>
  <si>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</si>
  <si>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</si>
  <si>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</si>
  <si>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</si>
  <si>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</si>
  <si>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</si>
  <si>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</si>
  <si>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</si>
  <si>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</si>
  <si>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</si>
  <si>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</si>
  <si>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</si>
  <si>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</si>
  <si>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</si>
  <si>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</si>
  <si>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</si>
  <si>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</si>
  <si>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</si>
  <si>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</si>
  <si>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</si>
  <si>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</si>
  <si>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</si>
  <si>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</si>
  <si>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</si>
  <si>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</si>
  <si>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</si>
  <si>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</si>
  <si>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</si>
  <si>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</si>
  <si>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</si>
  <si>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</si>
  <si>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</si>
  <si>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</si>
  <si>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</si>
  <si>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</si>
  <si>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</si>
  <si>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</si>
  <si>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</si>
  <si>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</si>
  <si>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</si>
  <si>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</si>
  <si>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</si>
  <si>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</si>
  <si>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</si>
  <si>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</si>
  <si>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</si>
  <si>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</si>
  <si>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</si>
  <si>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</si>
  <si>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</si>
  <si>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</si>
  <si>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</si>
  <si>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</si>
  <si>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</si>
  <si>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</si>
  <si>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</si>
  <si>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</si>
  <si>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</si>
  <si>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</si>
  <si>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</si>
  <si>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</si>
  <si>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</si>
  <si>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</si>
  <si>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</si>
  <si>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</si>
  <si>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</si>
  <si>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</si>
  <si>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</si>
  <si>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</si>
  <si>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</si>
  <si>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</si>
  <si>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</si>
  <si>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</si>
  <si>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</si>
  <si>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</si>
  <si>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</si>
  <si>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</si>
  <si>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</si>
  <si>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</si>
  <si>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</si>
  <si>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</si>
  <si>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</si>
  <si>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</si>
  <si>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</si>
  <si>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</si>
  <si>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</si>
  <si>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</si>
  <si>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</si>
  <si>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</si>
  <si>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</si>
  <si>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</si>
  <si>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</si>
  <si>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</si>
  <si>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</si>
  <si>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</si>
  <si>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</si>
  <si>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</si>
  <si>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</si>
  <si>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</si>
  <si>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</si>
  <si>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</si>
  <si>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</si>
  <si>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</si>
  <si>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</si>
  <si>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</si>
  <si>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</si>
  <si>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</si>
  <si>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</si>
  <si>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</si>
  <si>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</si>
  <si>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</si>
  <si>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</si>
  <si>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</si>
  <si>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</si>
  <si>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</si>
  <si>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</si>
  <si>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</si>
  <si>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</si>
  <si>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</si>
  <si>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</si>
  <si>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</si>
  <si>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</si>
  <si>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</si>
  <si>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</si>
  <si>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</si>
  <si>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</si>
  <si>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</si>
  <si>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</si>
  <si>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</si>
  <si>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</si>
  <si>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</si>
  <si>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</si>
  <si>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</si>
  <si>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</si>
  <si>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</si>
  <si>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</si>
  <si>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</si>
  <si>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</si>
  <si>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</si>
  <si>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</si>
  <si>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</si>
  <si>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</si>
  <si>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</si>
  <si>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</si>
  <si>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</si>
  <si>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</si>
  <si>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</si>
  <si>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</si>
  <si>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</si>
  <si>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</si>
  <si>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</si>
  <si>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</si>
  <si>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</si>
  <si>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</si>
  <si>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</si>
  <si>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</si>
  <si>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</si>
  <si>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</si>
  <si>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</si>
  <si>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</si>
  <si>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</si>
  <si>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</si>
  <si>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</si>
  <si>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</si>
  <si>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</si>
  <si>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</si>
  <si>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</si>
  <si>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</si>
  <si>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</si>
  <si>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</si>
  <si>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</si>
  <si>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</si>
  <si>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</si>
  <si>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</si>
  <si>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</si>
  <si>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</si>
  <si>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</si>
  <si>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</si>
  <si>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</si>
  <si>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</si>
  <si>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</si>
  <si>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</si>
  <si>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</si>
  <si>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</si>
  <si>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</si>
  <si>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</si>
  <si>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</si>
  <si>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</si>
  <si>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</si>
  <si>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</si>
  <si>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</si>
  <si>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</si>
  <si>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</si>
  <si>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</si>
  <si>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</si>
  <si>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</si>
  <si>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</si>
  <si>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</si>
  <si>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</si>
  <si>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</si>
  <si>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</si>
  <si>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</si>
  <si>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</si>
  <si>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</si>
  <si>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</si>
  <si>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</si>
  <si>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</si>
  <si>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</si>
  <si>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</si>
  <si>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</si>
  <si>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</si>
  <si>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</si>
  <si>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</si>
  <si>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</si>
  <si>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</si>
  <si>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</si>
  <si>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</si>
  <si>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</si>
  <si>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</si>
  <si>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</si>
  <si>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</si>
  <si>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</si>
  <si>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</si>
  <si>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</si>
  <si>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</si>
  <si>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</si>
  <si>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</si>
  <si>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</si>
  <si>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</si>
  <si>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</si>
  <si>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</si>
  <si>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</si>
  <si>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</si>
  <si>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</si>
  <si>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</si>
  <si>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</si>
  <si>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</si>
  <si>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</si>
  <si>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</si>
  <si>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</si>
  <si>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</si>
  <si>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</si>
  <si>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</si>
  <si>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</si>
  <si>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</si>
  <si>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</si>
  <si>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</si>
  <si>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</si>
  <si>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</si>
  <si>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</si>
  <si>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</si>
  <si>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</si>
  <si>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</si>
  <si>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</si>
  <si>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</si>
  <si>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</si>
  <si>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</si>
  <si>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</si>
  <si>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</si>
  <si>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</si>
  <si>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</si>
  <si>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</si>
  <si>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</si>
  <si>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</si>
  <si>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</si>
  <si>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</si>
  <si>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</si>
  <si>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</si>
  <si>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</si>
  <si>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</si>
  <si>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</si>
  <si>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</si>
  <si>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</si>
  <si>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</si>
  <si>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</si>
  <si>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</si>
  <si>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</si>
  <si>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</si>
  <si>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</si>
  <si>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</si>
  <si>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</si>
  <si>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</si>
  <si>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</si>
  <si>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</si>
  <si>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</si>
  <si>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</si>
  <si>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</si>
  <si>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</si>
  <si>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</si>
  <si>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</si>
  <si>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</si>
  <si>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</si>
  <si>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</si>
  <si>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</si>
  <si>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</si>
  <si>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</si>
  <si>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</si>
  <si>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</si>
  <si>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</si>
  <si>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</si>
  <si>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</si>
  <si>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</si>
  <si>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</si>
  <si>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</si>
  <si>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</si>
  <si>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</si>
  <si>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</si>
  <si>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</si>
  <si>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</si>
  <si>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</si>
  <si>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</si>
  <si>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</si>
  <si>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</si>
  <si>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</si>
  <si>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</si>
  <si>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</si>
  <si>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</si>
  <si>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</si>
  <si>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</si>
  <si>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</si>
  <si>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</si>
  <si>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</si>
  <si>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</si>
  <si>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</si>
  <si>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</si>
  <si>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</si>
  <si>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</si>
  <si>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</si>
  <si>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</si>
  <si>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</si>
  <si>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</si>
  <si>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</si>
  <si>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</si>
  <si>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</si>
  <si>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</si>
  <si>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</si>
  <si>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</si>
  <si>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</si>
  <si>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</si>
  <si>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</si>
  <si>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</si>
  <si>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</si>
  <si>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</si>
  <si>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</si>
  <si>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</si>
  <si>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</si>
  <si>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</si>
  <si>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</si>
  <si>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</si>
  <si>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</si>
  <si>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</si>
  <si>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</si>
  <si>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</si>
  <si>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</si>
  <si>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</si>
  <si>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</si>
  <si>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</si>
  <si>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</si>
  <si>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</si>
  <si>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</si>
  <si>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</si>
  <si>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</si>
  <si>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</si>
  <si>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</si>
  <si>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</si>
  <si>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</si>
  <si>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</si>
  <si>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</si>
  <si>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</si>
  <si>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</si>
  <si>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</si>
  <si>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</si>
  <si>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</si>
  <si>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</si>
  <si>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</si>
  <si>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</si>
  <si>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</si>
  <si>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</si>
  <si>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</si>
  <si>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</si>
  <si>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</si>
  <si>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</si>
  <si>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</si>
  <si>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</si>
  <si>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</si>
  <si>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</si>
  <si>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</si>
  <si>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</si>
  <si>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</si>
  <si>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</si>
  <si>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</si>
  <si>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</si>
  <si>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</si>
  <si>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</si>
  <si>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</si>
  <si>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</si>
  <si>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</si>
  <si>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</si>
  <si>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</si>
  <si>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</si>
  <si>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</si>
  <si>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</si>
  <si>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</si>
  <si>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</si>
  <si>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</si>
  <si>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</si>
  <si>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</si>
  <si>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</si>
  <si>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</si>
  <si>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</si>
  <si>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</si>
  <si>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</si>
  <si>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</si>
  <si>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</si>
  <si>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</si>
  <si>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</si>
  <si>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</si>
  <si>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</si>
  <si>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</si>
  <si>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</si>
  <si>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</si>
  <si>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</si>
  <si>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</si>
  <si>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</si>
  <si>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</si>
  <si>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</si>
  <si>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</si>
  <si>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</si>
  <si>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</si>
  <si>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</si>
  <si>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</si>
  <si>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</si>
  <si>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</si>
  <si>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</si>
  <si>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</si>
  <si>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</si>
  <si>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</si>
  <si>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</si>
  <si>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</si>
  <si>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</si>
  <si>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</si>
  <si>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</si>
  <si>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</si>
  <si>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</si>
  <si>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</si>
  <si>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</si>
  <si>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</si>
  <si>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</si>
  <si>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</si>
  <si>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</si>
  <si>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</si>
  <si>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</si>
  <si>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</si>
  <si>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</si>
  <si>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</si>
  <si>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</si>
  <si>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</si>
  <si>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</si>
  <si>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</si>
  <si>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</si>
  <si>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</si>
  <si>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</si>
  <si>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</si>
  <si>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</si>
  <si>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</si>
  <si>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</si>
  <si>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</si>
  <si>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</si>
  <si>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</si>
  <si>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</si>
  <si>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</si>
  <si>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</si>
  <si>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</si>
  <si>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</si>
  <si>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</si>
  <si>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</si>
  <si>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</si>
  <si>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</si>
  <si>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</si>
  <si>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</si>
  <si>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</si>
  <si>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</si>
  <si>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</si>
  <si>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</si>
  <si>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</si>
  <si>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</si>
  <si>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</si>
  <si>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</si>
  <si>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</si>
  <si>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</si>
  <si>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</si>
  <si>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</si>
  <si>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</si>
  <si>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</si>
  <si>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</si>
  <si>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</si>
  <si>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</si>
  <si>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</si>
  <si>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</si>
  <si>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</si>
  <si>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</si>
  <si>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</si>
  <si>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</si>
  <si>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</si>
  <si>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</si>
  <si>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</si>
  <si>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</si>
  <si>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</si>
  <si>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</si>
  <si>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</si>
  <si>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</si>
  <si>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</si>
  <si>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</si>
  <si>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</si>
  <si>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</si>
  <si>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</si>
  <si>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</si>
  <si>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</si>
  <si>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</si>
  <si>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</si>
  <si>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</si>
  <si>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</si>
  <si>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</si>
  <si>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</si>
  <si>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</si>
  <si>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</si>
  <si>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</si>
  <si>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</si>
  <si>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</si>
  <si>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</si>
  <si>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</si>
  <si>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</si>
  <si>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</si>
  <si>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</si>
  <si>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</si>
  <si>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</si>
  <si>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</si>
  <si>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</si>
  <si>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</si>
  <si>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</si>
  <si>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</si>
  <si>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</si>
  <si>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</si>
  <si>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</si>
  <si>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</si>
  <si>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</si>
  <si>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</si>
  <si>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</si>
  <si>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</si>
  <si>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</si>
  <si>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</si>
  <si>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</si>
  <si>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</si>
  <si>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</si>
  <si>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</si>
  <si>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</si>
  <si>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</si>
  <si>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</si>
  <si>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</si>
  <si>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</si>
  <si>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</si>
  <si>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</si>
  <si>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</si>
  <si>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</si>
  <si>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</si>
  <si>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</si>
  <si>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</si>
  <si>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</si>
  <si>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</si>
  <si>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</si>
  <si>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</si>
  <si>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</si>
  <si>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</si>
  <si>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</si>
  <si>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</si>
  <si>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</si>
  <si>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</si>
  <si>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</si>
  <si>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</si>
  <si>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</si>
  <si>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</si>
  <si>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</si>
  <si>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</si>
  <si>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</si>
  <si>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</si>
  <si>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</si>
  <si>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</si>
  <si>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</si>
  <si>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</si>
  <si>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</si>
  <si>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</si>
  <si>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</si>
  <si>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</si>
  <si>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</si>
  <si>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</si>
  <si>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</si>
  <si>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</si>
  <si>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</si>
  <si>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</si>
  <si>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</si>
  <si>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</si>
  <si>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</si>
  <si>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</si>
  <si>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</si>
  <si>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</si>
  <si>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</si>
  <si>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</si>
  <si>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</si>
  <si>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</si>
  <si>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</si>
  <si>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</si>
  <si>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</si>
  <si>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</si>
  <si>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</si>
  <si>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</si>
  <si>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</si>
  <si>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</si>
  <si>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</si>
  <si>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</si>
  <si>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</si>
  <si>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</si>
  <si>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</si>
  <si>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</si>
  <si>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</si>
  <si>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</si>
  <si>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</si>
  <si>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</si>
  <si>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</si>
  <si>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</si>
  <si>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</si>
  <si>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</si>
  <si>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</si>
  <si>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</si>
  <si>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</si>
  <si>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</si>
  <si>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</si>
  <si>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</si>
  <si>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</si>
  <si>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</si>
  <si>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</si>
  <si>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</si>
  <si>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</si>
  <si>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</si>
  <si>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</si>
  <si>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</si>
  <si>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</si>
  <si>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</si>
  <si>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</si>
  <si>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</si>
  <si>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</si>
  <si>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</si>
  <si>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</si>
  <si>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</si>
  <si>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</si>
  <si>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</si>
  <si>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</si>
  <si>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</si>
  <si>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</si>
  <si>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</si>
  <si>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</si>
  <si>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</si>
  <si>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</si>
  <si>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</si>
  <si>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</si>
  <si>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</si>
  <si>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</si>
  <si>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</si>
  <si>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</si>
  <si>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</si>
  <si>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</si>
  <si>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</si>
  <si>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</si>
  <si>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</si>
  <si>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</si>
  <si>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</si>
  <si>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</si>
  <si>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</si>
  <si>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</si>
  <si>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</si>
  <si>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</si>
  <si>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</si>
  <si>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</si>
  <si>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</si>
  <si>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</si>
  <si>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</si>
  <si>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</si>
  <si>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</si>
  <si>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</si>
  <si>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</si>
  <si>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</si>
  <si>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</si>
  <si>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</si>
  <si>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</si>
  <si>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</si>
  <si>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</si>
  <si>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</si>
  <si>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</si>
  <si>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</si>
  <si>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</si>
  <si>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</si>
  <si>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</si>
  <si>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</si>
  <si>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</si>
  <si>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</si>
  <si>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</si>
  <si>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</si>
  <si>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</si>
  <si>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</si>
  <si>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</si>
  <si>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</si>
  <si>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</si>
  <si>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</si>
  <si>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</si>
  <si>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</si>
  <si>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</si>
  <si>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</si>
  <si>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</si>
  <si>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</si>
  <si>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</si>
  <si>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</si>
  <si>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</si>
  <si>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</si>
  <si>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</si>
  <si>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</si>
  <si>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</si>
  <si>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</si>
  <si>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</si>
  <si>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</si>
  <si>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</si>
  <si>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</si>
  <si>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</si>
  <si>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</si>
  <si>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</si>
  <si>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</si>
  <si>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</si>
  <si>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</si>
  <si>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</si>
  <si>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</si>
  <si>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</si>
  <si>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</si>
  <si>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</si>
  <si>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</si>
  <si>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</si>
  <si>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</si>
  <si>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</si>
  <si>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</si>
  <si>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</si>
  <si>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</si>
  <si>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</si>
  <si>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</si>
  <si>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</si>
  <si>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</si>
  <si>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</si>
  <si>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</si>
  <si>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</si>
  <si>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</si>
  <si>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</si>
  <si>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</si>
  <si>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</si>
  <si>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</si>
  <si>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</si>
  <si>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</si>
  <si>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</si>
  <si>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</si>
  <si>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</si>
  <si>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</si>
  <si>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</si>
  <si>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</si>
  <si>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</si>
  <si>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</si>
  <si>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</si>
  <si>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</si>
  <si>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</si>
  <si>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</si>
  <si>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</si>
  <si>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</si>
  <si>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</si>
  <si>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</si>
  <si>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</si>
  <si>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</si>
  <si>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</si>
  <si>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</si>
  <si>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</si>
  <si>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</si>
  <si>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</si>
  <si>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</si>
  <si>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</si>
  <si>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</si>
  <si>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</si>
  <si>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</si>
  <si>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</si>
  <si>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</si>
  <si>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</si>
  <si>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</si>
  <si>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</si>
  <si>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</si>
  <si>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</si>
  <si>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</si>
  <si>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</si>
  <si>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</si>
  <si>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</si>
  <si>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</si>
  <si>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</si>
  <si>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</si>
  <si>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</si>
  <si>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</si>
  <si>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</si>
  <si>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</si>
  <si>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</si>
  <si>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</si>
  <si>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</si>
  <si>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</si>
  <si>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</si>
  <si>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</si>
  <si>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</si>
  <si>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</si>
  <si>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</si>
  <si>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</si>
  <si>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</si>
  <si>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</si>
  <si>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</si>
  <si>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</si>
  <si>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</si>
  <si>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</si>
  <si>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</si>
  <si>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</si>
  <si>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</si>
  <si>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</si>
  <si>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</si>
  <si>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</si>
  <si>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</si>
  <si>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</si>
  <si>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</si>
  <si>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</si>
  <si>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</si>
  <si>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</si>
  <si>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</si>
  <si>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</si>
  <si>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</si>
  <si>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</si>
  <si>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</si>
  <si>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</si>
  <si>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</si>
  <si>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</si>
  <si>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</si>
  <si>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</si>
  <si>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</si>
  <si>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</si>
  <si>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</si>
  <si>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</si>
  <si>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</si>
  <si>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</si>
  <si>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</si>
  <si>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</si>
  <si>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</si>
  <si>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</si>
  <si>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</si>
  <si>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</si>
  <si>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</si>
  <si>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</si>
  <si>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</si>
  <si>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</si>
  <si>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</si>
  <si>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</si>
  <si>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</si>
  <si>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</si>
  <si>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</si>
  <si>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</si>
  <si>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</si>
  <si>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</si>
  <si>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</si>
  <si>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</si>
  <si>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</si>
  <si>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</si>
  <si>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</si>
  <si>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</si>
  <si>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</si>
  <si>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</si>
  <si>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</si>
  <si>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</si>
  <si>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</si>
  <si>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</si>
  <si>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</si>
  <si>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</si>
  <si>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</si>
  <si>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</si>
  <si>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</si>
  <si>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</si>
  <si>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</si>
  <si>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</si>
  <si>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</si>
  <si>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</si>
  <si>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</si>
  <si>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</si>
  <si>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</si>
  <si>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</si>
  <si>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</si>
  <si>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</si>
  <si>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</si>
  <si>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</si>
  <si>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</si>
  <si>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</si>
  <si>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</si>
  <si>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</si>
  <si>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</si>
  <si>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</si>
  <si>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</si>
  <si>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</si>
  <si>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</si>
  <si>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</si>
  <si>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</si>
  <si>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</si>
  <si>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</si>
  <si>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</si>
  <si>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</si>
  <si>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</si>
  <si>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</si>
  <si>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</si>
  <si>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</si>
  <si>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</si>
  <si>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</si>
  <si>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</si>
  <si>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</si>
  <si>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</si>
  <si>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</si>
  <si>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</si>
  <si>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</si>
  <si>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</si>
  <si>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</si>
  <si>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</si>
  <si>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</si>
  <si>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</si>
  <si>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</si>
  <si>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</si>
  <si>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</si>
  <si>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</si>
  <si>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</si>
  <si>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</si>
  <si>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</si>
  <si>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</si>
  <si>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</si>
  <si>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</si>
  <si>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</si>
  <si>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</si>
  <si>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</si>
  <si>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</si>
  <si>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</si>
  <si>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</si>
  <si>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</si>
  <si>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</si>
  <si>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</si>
  <si>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</si>
  <si>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</si>
  <si>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</si>
  <si>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</si>
  <si>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</si>
  <si>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</si>
  <si>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</si>
  <si>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</si>
  <si>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</si>
  <si>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</si>
  <si>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</si>
  <si>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</si>
  <si>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</si>
  <si>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</si>
  <si>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</si>
  <si>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</si>
  <si>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</si>
  <si>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</si>
  <si>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</si>
  <si>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</si>
  <si>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</si>
  <si>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</si>
  <si>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</si>
  <si>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</si>
  <si>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</si>
  <si>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</si>
  <si>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</si>
  <si>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</si>
  <si>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</si>
  <si>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</si>
  <si>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</si>
  <si>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</si>
  <si>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</si>
  <si>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</si>
  <si>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</si>
  <si>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</si>
  <si>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</si>
  <si>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</si>
  <si>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</si>
  <si>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</si>
  <si>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</si>
  <si>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</si>
  <si>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</si>
  <si>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</si>
  <si>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</si>
  <si>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</si>
  <si>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</si>
  <si>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</si>
  <si>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</si>
  <si>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</si>
  <si>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</si>
  <si>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</si>
  <si>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</si>
  <si>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</si>
  <si>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</si>
  <si>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</si>
  <si>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</si>
  <si>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</si>
  <si>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</si>
  <si>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</si>
  <si>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</si>
  <si>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</si>
  <si>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</si>
  <si>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</si>
  <si>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</si>
  <si>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</si>
  <si>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</si>
  <si>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</si>
  <si>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</si>
  <si>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</si>
  <si>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</si>
  <si>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</si>
  <si>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</si>
  <si>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</si>
  <si>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</si>
  <si>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</si>
  <si>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</si>
  <si>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</si>
  <si>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</si>
  <si>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</si>
  <si>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</si>
  <si>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</si>
  <si>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</si>
  <si>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</si>
  <si>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</si>
  <si>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</si>
  <si>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</si>
  <si>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</si>
  <si>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</si>
  <si>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</si>
  <si>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</si>
  <si>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</si>
  <si>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</si>
  <si>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</si>
  <si>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</si>
  <si>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</si>
  <si>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</si>
  <si>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</si>
  <si>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</si>
  <si>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</si>
  <si>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</si>
  <si>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</si>
  <si>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</si>
  <si>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</si>
  <si>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</si>
  <si>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</si>
  <si>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</si>
  <si>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</si>
  <si>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</si>
  <si>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</si>
  <si>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</si>
  <si>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</si>
  <si>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</si>
  <si>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</si>
  <si>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</si>
  <si>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</si>
  <si>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</si>
  <si>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</si>
  <si>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</si>
  <si>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</si>
  <si>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</si>
  <si>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</si>
  <si>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</si>
  <si>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</si>
  <si>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</si>
  <si>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</si>
  <si>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</si>
  <si>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</si>
  <si>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</si>
  <si>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</si>
  <si>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</si>
  <si>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</si>
  <si>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</si>
  <si>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</si>
  <si>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</si>
  <si>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</si>
  <si>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</si>
  <si>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</si>
  <si>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</si>
  <si>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</si>
  <si>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</si>
  <si>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</si>
  <si>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</si>
  <si>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</si>
  <si>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</si>
  <si>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</si>
  <si>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</si>
  <si>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</si>
  <si>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</si>
  <si>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</si>
  <si>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</si>
  <si>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</si>
  <si>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</si>
  <si>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</si>
  <si>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</si>
  <si>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</si>
  <si>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</si>
  <si>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</si>
  <si>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</si>
  <si>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</si>
  <si>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</si>
  <si>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</si>
  <si>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</si>
  <si>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</si>
  <si>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</si>
  <si>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</si>
  <si>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</si>
  <si>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</si>
  <si>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</si>
  <si>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</si>
  <si>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</si>
  <si>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</si>
  <si>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</si>
  <si>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</si>
  <si>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</si>
  <si>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</si>
  <si>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</si>
  <si>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</si>
  <si>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</si>
  <si>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</si>
  <si>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</si>
  <si>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</si>
  <si>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</si>
  <si>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</si>
  <si>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</si>
  <si>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</si>
  <si>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</si>
  <si>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</si>
  <si>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</si>
  <si>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</si>
  <si>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</si>
  <si>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</si>
  <si>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</si>
  <si>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</si>
  <si>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</si>
  <si>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</si>
  <si>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</si>
  <si>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</si>
  <si>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</si>
  <si>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</si>
  <si>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</si>
  <si>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</si>
  <si>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</si>
  <si>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</si>
  <si>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</si>
  <si>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</si>
  <si>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</si>
  <si>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</si>
  <si>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</si>
  <si>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</si>
  <si>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</si>
  <si>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</si>
  <si>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</si>
  <si>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</si>
  <si>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</si>
  <si>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</si>
  <si>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</si>
  <si>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</si>
  <si>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</si>
  <si>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</si>
  <si>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</si>
  <si>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</si>
  <si>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</si>
  <si>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</si>
  <si>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</si>
  <si>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</si>
  <si>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</si>
  <si>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</si>
  <si>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</si>
  <si>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</si>
  <si>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</si>
  <si>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</si>
  <si>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</si>
  <si>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</si>
  <si>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</si>
  <si>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</si>
  <si>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</si>
  <si>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</si>
  <si>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</si>
  <si>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</si>
  <si>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</si>
  <si>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</si>
  <si>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</si>
  <si>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</si>
  <si>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</si>
  <si>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</si>
  <si>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</si>
  <si>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</si>
  <si>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</si>
  <si>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</si>
  <si>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</si>
  <si>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</si>
  <si>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</si>
  <si>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</si>
  <si>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</si>
  <si>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</si>
  <si>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</si>
  <si>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</si>
  <si>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</si>
  <si>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</si>
  <si>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</si>
  <si>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</si>
  <si>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</si>
  <si>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</si>
  <si>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</si>
  <si>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</si>
  <si>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</si>
  <si>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</si>
  <si>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</si>
  <si>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</si>
  <si>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</si>
  <si>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</si>
  <si>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</si>
  <si>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</si>
  <si>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</si>
  <si>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</si>
  <si>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</si>
  <si>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</si>
  <si>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</si>
  <si>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</si>
  <si>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</si>
  <si>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</si>
  <si>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</si>
  <si>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</si>
  <si>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</si>
  <si>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</si>
  <si>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</si>
  <si>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</si>
  <si>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</si>
  <si>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</si>
  <si>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</si>
  <si>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</si>
  <si>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</si>
  <si>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</si>
  <si>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</si>
  <si>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</si>
  <si>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</si>
  <si>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</si>
  <si>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</si>
  <si>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</si>
  <si>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</si>
  <si>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</si>
  <si>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</si>
  <si>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</si>
  <si>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</si>
  <si>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</si>
  <si>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</si>
  <si>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</si>
  <si>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</si>
  <si>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</si>
  <si>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</si>
  <si>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</si>
  <si>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</si>
  <si>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</si>
  <si>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</si>
  <si>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</si>
  <si>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</si>
  <si>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</si>
  <si>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</si>
  <si>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</si>
  <si>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</si>
  <si>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</si>
  <si>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</si>
  <si>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</si>
  <si>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</si>
  <si>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</si>
  <si>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</si>
  <si>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</si>
  <si>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</si>
  <si>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</si>
  <si>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</si>
  <si>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</si>
  <si>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</si>
  <si>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</si>
  <si>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</si>
  <si>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</si>
  <si>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</si>
  <si>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</si>
  <si>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</si>
  <si>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</si>
  <si>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</si>
  <si>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</si>
  <si>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</si>
  <si>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</si>
  <si>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</si>
  <si>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</si>
  <si>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</si>
  <si>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</si>
  <si>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</si>
  <si>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</si>
  <si>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</si>
  <si>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</si>
  <si>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</si>
  <si>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</si>
  <si>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</si>
  <si>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</si>
  <si>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</si>
  <si>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</si>
  <si>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</si>
  <si>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</si>
  <si>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</si>
  <si>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</si>
  <si>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</si>
  <si>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</si>
  <si>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</si>
  <si>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</si>
  <si>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</si>
  <si>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</si>
  <si>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</si>
  <si>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</si>
  <si>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</si>
  <si>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</si>
  <si>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</si>
  <si>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</si>
  <si>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</si>
  <si>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</si>
  <si>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</si>
  <si>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</si>
  <si>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</si>
  <si>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</si>
  <si>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</si>
  <si>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</si>
  <si>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</si>
  <si>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</si>
  <si>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</si>
  <si>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</si>
  <si>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</si>
  <si>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</si>
  <si>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</si>
  <si>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</si>
  <si>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</si>
  <si>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</si>
  <si>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</si>
  <si>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</si>
  <si>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</si>
  <si>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</si>
  <si>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</si>
  <si>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</si>
  <si>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</si>
  <si>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</si>
  <si>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</si>
  <si>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</si>
  <si>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</si>
  <si>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</si>
  <si>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</si>
  <si>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</si>
  <si>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</si>
  <si>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</si>
  <si>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</si>
  <si>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</si>
  <si>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</si>
  <si>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</si>
  <si>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</si>
  <si>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</si>
  <si>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</si>
  <si>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</si>
  <si>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</si>
  <si>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</si>
  <si>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</si>
  <si>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</si>
  <si>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</si>
  <si>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</si>
  <si>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</si>
  <si>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</si>
  <si>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</si>
  <si>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</si>
  <si>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</si>
  <si>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</si>
  <si>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</si>
  <si>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</si>
  <si>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</si>
  <si>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</si>
  <si>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</si>
  <si>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</si>
  <si>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</si>
  <si>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</si>
  <si>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</si>
  <si>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</si>
  <si>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</si>
  <si>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</si>
  <si>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</si>
  <si>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</si>
  <si>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</si>
  <si>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</si>
  <si>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</si>
  <si>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</si>
  <si>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</si>
  <si>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</si>
  <si>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</si>
  <si>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</si>
  <si>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</si>
  <si>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</si>
  <si>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</si>
  <si>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</si>
  <si>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</si>
  <si>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</si>
  <si>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</si>
  <si>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</si>
  <si>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</si>
  <si>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</si>
  <si>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</si>
  <si>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</si>
  <si>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</si>
  <si>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</si>
  <si>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</si>
  <si>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</si>
  <si>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</si>
  <si>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</si>
  <si>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</si>
  <si>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</si>
  <si>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</si>
  <si>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</si>
  <si>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</si>
  <si>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</si>
  <si>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</si>
  <si>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</si>
  <si>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</si>
  <si>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</si>
  <si>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</si>
  <si>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</si>
  <si>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</si>
  <si>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</si>
  <si>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</si>
  <si>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</si>
  <si>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</si>
  <si>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</si>
  <si>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</si>
  <si>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</si>
  <si>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</si>
  <si>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</si>
  <si>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</si>
  <si>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</si>
  <si>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</si>
  <si>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</si>
  <si>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</si>
  <si>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</si>
  <si>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</si>
  <si>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</si>
  <si>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</si>
  <si>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</si>
  <si>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</si>
  <si>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</si>
  <si>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</si>
  <si>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</si>
  <si>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</si>
  <si>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</si>
  <si>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</si>
  <si>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</si>
  <si>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</si>
  <si>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</si>
  <si>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</si>
  <si>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</si>
  <si>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</si>
  <si>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</si>
  <si>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</si>
  <si>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</si>
  <si>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</si>
  <si>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</si>
  <si>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</si>
  <si>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</si>
  <si>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</si>
  <si>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</si>
  <si>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</si>
  <si>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</si>
  <si>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</si>
  <si>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</si>
  <si>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</si>
  <si>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</si>
  <si>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</si>
  <si>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</si>
  <si>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</si>
  <si>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</si>
  <si>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</si>
  <si>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</si>
  <si>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</si>
  <si>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</si>
  <si>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</si>
  <si>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</si>
  <si>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</si>
  <si>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</si>
  <si>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</si>
  <si>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</si>
  <si>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</si>
  <si>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</si>
  <si>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</si>
  <si>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</si>
  <si>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</si>
  <si>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</si>
  <si>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</si>
  <si>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</si>
  <si>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</si>
  <si>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</si>
  <si>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</si>
  <si>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</si>
  <si>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</si>
  <si>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</si>
  <si>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</si>
  <si>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</si>
  <si>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</si>
  <si>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</si>
  <si>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</si>
  <si>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</si>
  <si>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</si>
  <si>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</si>
  <si>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</si>
  <si>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</si>
  <si>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</si>
  <si>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</si>
  <si>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</si>
  <si>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</si>
  <si>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</si>
  <si>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</si>
  <si>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</si>
  <si>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</si>
  <si>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</si>
  <si>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</si>
  <si>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</si>
  <si>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</si>
  <si>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</si>
  <si>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</si>
  <si>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</si>
  <si>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</si>
  <si>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</si>
  <si>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</si>
  <si>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</si>
  <si>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</si>
  <si>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</si>
  <si>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</si>
  <si>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</si>
  <si>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</si>
  <si>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</si>
  <si>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</si>
  <si>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</si>
  <si>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</si>
  <si>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</si>
  <si>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</si>
  <si>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</si>
  <si>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</si>
  <si>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</si>
  <si>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</si>
  <si>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</si>
  <si>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</si>
  <si>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</si>
  <si>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</si>
  <si>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</si>
  <si>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</si>
  <si>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</si>
  <si>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</si>
  <si>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</si>
  <si>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</si>
  <si>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</si>
  <si>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</si>
  <si>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</si>
  <si>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</si>
  <si>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</si>
  <si>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</si>
  <si>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</si>
  <si>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</si>
  <si>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</si>
  <si>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</si>
  <si>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</si>
  <si>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</si>
  <si>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</si>
  <si>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</si>
  <si>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</si>
  <si>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</si>
  <si>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</si>
  <si>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</si>
  <si>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</si>
  <si>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</si>
  <si>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</si>
  <si>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</si>
  <si>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</si>
  <si>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</si>
  <si>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</si>
  <si>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</si>
  <si>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</si>
  <si>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</si>
  <si>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</si>
  <si>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</si>
  <si>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</si>
  <si>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</si>
  <si>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</si>
  <si>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</si>
  <si>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</si>
  <si>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</si>
  <si>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</si>
  <si>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</si>
  <si>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</si>
  <si>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</si>
  <si>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</si>
  <si>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</si>
  <si>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</si>
  <si>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</si>
  <si>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</si>
  <si>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</si>
  <si>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</si>
  <si>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</si>
  <si>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</si>
  <si>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</si>
  <si>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</si>
  <si>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</si>
  <si>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</si>
  <si>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</si>
  <si>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</si>
  <si>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</si>
  <si>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</si>
  <si>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</si>
  <si>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</si>
  <si>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</si>
  <si>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</si>
  <si>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</si>
  <si>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</si>
  <si>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</si>
  <si>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</si>
  <si>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</si>
  <si>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</si>
  <si>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</si>
  <si>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</si>
  <si>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</si>
  <si>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</si>
  <si>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</si>
  <si>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</si>
  <si>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</si>
  <si>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</si>
  <si>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</si>
  <si>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</si>
  <si>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</si>
  <si>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</si>
  <si>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</si>
  <si>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</si>
  <si>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</si>
  <si>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</si>
  <si>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</si>
  <si>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</si>
  <si>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</si>
  <si>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</si>
  <si>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</si>
  <si>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</si>
  <si>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</si>
  <si>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</si>
  <si>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</si>
  <si>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</si>
  <si>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</si>
  <si>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</si>
  <si>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</si>
  <si>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</si>
  <si>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</si>
  <si>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</si>
  <si>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</si>
  <si>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</si>
  <si>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</si>
  <si>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</si>
  <si>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</si>
  <si>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</si>
  <si>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</si>
  <si>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</si>
  <si>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</si>
  <si>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</si>
  <si>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</si>
  <si>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</si>
  <si>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</si>
  <si>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</si>
  <si>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</si>
  <si>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</si>
  <si>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</si>
  <si>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</si>
  <si>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</si>
  <si>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</si>
  <si>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</si>
  <si>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</si>
  <si>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</si>
  <si>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</si>
  <si>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</si>
  <si>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</si>
  <si>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</si>
  <si>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</si>
  <si>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</si>
  <si>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</si>
  <si>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</si>
  <si>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</si>
  <si>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</si>
  <si>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</si>
  <si>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</si>
  <si>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</si>
  <si>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</si>
  <si>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</si>
  <si>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</si>
  <si>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</si>
  <si>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</si>
  <si>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</si>
  <si>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</si>
  <si>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</si>
  <si>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</si>
  <si>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</si>
  <si>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</si>
  <si>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</si>
  <si>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</si>
  <si>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</si>
  <si>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</si>
  <si>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</si>
  <si>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</si>
  <si>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</si>
  <si>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</si>
  <si>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</si>
  <si>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</si>
  <si>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</si>
  <si>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</si>
  <si>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</si>
  <si>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</si>
  <si>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</si>
  <si>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</si>
  <si>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</si>
  <si>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</si>
  <si>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</si>
  <si>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</si>
  <si>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</si>
  <si>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</si>
  <si>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</si>
  <si>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</si>
  <si>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</si>
  <si>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</si>
  <si>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</si>
  <si>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</si>
  <si>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</si>
  <si>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</si>
  <si>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</si>
  <si>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</si>
  <si>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</si>
  <si>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</si>
  <si>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</si>
  <si>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</si>
  <si>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</si>
  <si>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</si>
  <si>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</si>
  <si>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</si>
  <si>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</si>
  <si>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</si>
  <si>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</si>
  <si>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</si>
  <si>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</si>
  <si>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</si>
  <si>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</si>
  <si>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</si>
  <si>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</si>
  <si>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</si>
  <si>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</si>
  <si>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</si>
  <si>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</si>
  <si>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</si>
  <si>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</si>
  <si>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</si>
  <si>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</si>
  <si>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</si>
  <si>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</si>
  <si>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</si>
  <si>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</si>
  <si>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</si>
  <si>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</si>
  <si>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</si>
  <si>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</si>
  <si>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</si>
  <si>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</si>
  <si>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</si>
  <si>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</si>
  <si>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</si>
  <si>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</si>
  <si>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</si>
  <si>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</si>
  <si>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</si>
  <si>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</si>
  <si>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</si>
  <si>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</si>
  <si>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</si>
  <si>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</si>
  <si>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</si>
  <si>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</si>
  <si>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</si>
  <si>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</si>
  <si>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</si>
  <si>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</si>
  <si>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</si>
  <si>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</si>
  <si>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</si>
  <si>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</si>
  <si>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</si>
  <si>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</si>
  <si>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</si>
  <si>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</si>
  <si>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</si>
  <si>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</si>
  <si>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</si>
  <si>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</si>
  <si>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</si>
  <si>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</si>
  <si>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</si>
  <si>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</si>
  <si>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</si>
  <si>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</si>
  <si>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</si>
  <si>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</si>
  <si>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</si>
  <si>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</si>
  <si>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</si>
  <si>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</si>
  <si>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</si>
  <si>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</si>
  <si>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</si>
  <si>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</si>
  <si>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</si>
  <si>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</si>
  <si>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</si>
  <si>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</si>
  <si>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</si>
  <si>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</si>
  <si>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</si>
  <si>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</si>
  <si>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</si>
  <si>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</si>
  <si>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</si>
  <si>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</si>
  <si>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</si>
  <si>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</si>
  <si>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</si>
  <si>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</si>
  <si>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</si>
  <si>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</si>
  <si>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</si>
  <si>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</si>
  <si>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</si>
  <si>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</si>
  <si>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</si>
  <si>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</si>
  <si>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</si>
  <si>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</si>
  <si>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</si>
  <si>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</si>
  <si>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</si>
  <si>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</si>
  <si>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</si>
  <si>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</si>
  <si>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</si>
  <si>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</si>
  <si>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</si>
  <si>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</si>
  <si>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</si>
  <si>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</si>
  <si>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</si>
  <si>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</si>
  <si>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</si>
  <si>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</si>
  <si>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</si>
  <si>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</si>
  <si>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</si>
  <si>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</si>
  <si>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</si>
  <si>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</si>
  <si>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</si>
  <si>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</si>
  <si>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</si>
  <si>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</si>
  <si>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</si>
  <si>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</si>
  <si>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</si>
  <si>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</si>
  <si>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</si>
  <si>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</si>
  <si>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</si>
  <si>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</si>
  <si>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</si>
  <si>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</si>
  <si>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</si>
  <si>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</si>
  <si>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</si>
  <si>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</si>
  <si>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</si>
  <si>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</si>
  <si>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</si>
  <si>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</si>
  <si>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</si>
  <si>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</si>
  <si>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</si>
  <si>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</si>
  <si>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</si>
  <si>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</si>
  <si>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</si>
  <si>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</si>
  <si>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</si>
  <si>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</si>
  <si>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</si>
  <si>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</si>
  <si>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</si>
  <si>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</si>
  <si>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</si>
  <si>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</si>
  <si>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</si>
  <si>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</si>
  <si>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</si>
  <si>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</si>
  <si>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</si>
  <si>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</si>
  <si>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</si>
  <si>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</si>
  <si>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</si>
  <si>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</si>
  <si>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</si>
  <si>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</si>
  <si>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</si>
  <si>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</si>
  <si>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</si>
  <si>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</si>
  <si>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</si>
  <si>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</si>
  <si>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</si>
  <si>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</si>
  <si>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</si>
  <si>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</si>
  <si>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</si>
  <si>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</si>
  <si>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</si>
  <si>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</si>
  <si>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</si>
  <si>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</si>
  <si>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</si>
  <si>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</si>
  <si>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</si>
  <si>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</si>
  <si>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</si>
  <si>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</si>
  <si>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</si>
  <si>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</si>
  <si>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</si>
  <si>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</si>
  <si>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</si>
  <si>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</si>
  <si>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</si>
  <si>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</si>
  <si>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</si>
  <si>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</si>
  <si>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</si>
  <si>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</si>
  <si>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</si>
  <si>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</si>
  <si>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</si>
  <si>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</si>
  <si>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</si>
  <si>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</si>
  <si>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</si>
  <si>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</si>
  <si>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</si>
  <si>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</si>
  <si>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</si>
  <si>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</si>
  <si>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</si>
  <si>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</si>
  <si>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</si>
  <si>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</si>
  <si>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</si>
  <si>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</si>
  <si>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</si>
  <si>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</si>
  <si>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</si>
  <si>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</si>
  <si>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</si>
  <si>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</si>
  <si>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</si>
  <si>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</si>
  <si>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</si>
  <si>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</si>
  <si>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</si>
  <si>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</si>
  <si>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</si>
  <si>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</si>
  <si>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</si>
  <si>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</si>
  <si>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</si>
  <si>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</si>
  <si>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</si>
  <si>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</si>
  <si>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</si>
  <si>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</si>
  <si>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</si>
  <si>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</si>
  <si>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</si>
  <si>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</si>
  <si>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</si>
  <si>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</si>
  <si>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</si>
  <si>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</si>
  <si>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</si>
  <si>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</si>
  <si>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</si>
  <si>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</si>
  <si>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</si>
  <si>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</si>
  <si>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</si>
  <si>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</si>
  <si>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</si>
  <si>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</si>
  <si>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</si>
  <si>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</si>
  <si>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</si>
  <si>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</si>
  <si>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</si>
  <si>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</si>
  <si>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</si>
  <si>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</si>
  <si>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</si>
  <si>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</si>
  <si>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</si>
  <si>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</si>
  <si>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</si>
  <si>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</si>
  <si>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</si>
  <si>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</si>
  <si>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</si>
  <si>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</si>
  <si>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</si>
  <si>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</si>
  <si>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</si>
  <si>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</si>
  <si>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</si>
  <si>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</si>
  <si>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</si>
  <si>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</si>
  <si>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</si>
  <si>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</si>
  <si>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</si>
  <si>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</si>
  <si>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</si>
  <si>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</si>
  <si>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</si>
  <si>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</si>
  <si>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</si>
  <si>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</si>
  <si>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</si>
  <si>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</si>
  <si>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</si>
  <si>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</si>
  <si>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</si>
  <si>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</si>
  <si>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</si>
  <si>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</si>
  <si>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</si>
  <si>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</si>
  <si>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</si>
  <si>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</si>
  <si>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</si>
  <si>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</si>
  <si>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</si>
  <si>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</si>
  <si>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</si>
  <si>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</si>
  <si>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</si>
  <si>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</si>
  <si>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</si>
  <si>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</si>
  <si>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</si>
  <si>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</si>
  <si>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</si>
  <si>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</si>
  <si>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</si>
  <si>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</si>
  <si>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</si>
  <si>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</si>
  <si>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</si>
  <si>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</si>
  <si>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</si>
  <si>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</si>
  <si>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</si>
  <si>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</si>
  <si>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</si>
  <si>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</si>
  <si>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</si>
  <si>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</si>
  <si>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</si>
  <si>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</si>
  <si>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</si>
  <si>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</si>
  <si>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</si>
  <si>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</si>
  <si>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</si>
  <si>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</si>
  <si>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</si>
  <si>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</si>
  <si>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</si>
  <si>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</si>
  <si>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</si>
  <si>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</si>
  <si>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陈颖</t>
  </si>
  <si>
    <t>叶凌</t>
  </si>
  <si>
    <t>核定资产</t>
  </si>
  <si>
    <t>房地产市场价值</t>
  </si>
  <si>
    <t>北京市</t>
  </si>
  <si>
    <t>企业</t>
  </si>
  <si>
    <t>出让</t>
  </si>
  <si>
    <t>是</t>
  </si>
  <si>
    <t>地上</t>
  </si>
  <si>
    <t>地下</t>
  </si>
  <si>
    <t>成新度</t>
  </si>
  <si>
    <t>现房</t>
  </si>
  <si>
    <t>不临58条商业街</t>
  </si>
  <si>
    <t>按公示增长率计算</t>
  </si>
  <si>
    <t>七通一平</t>
  </si>
  <si>
    <t>一致</t>
  </si>
  <si>
    <t>未包含在土地购买价格中</t>
  </si>
  <si>
    <t>已包含在土地取得成本中</t>
  </si>
  <si>
    <t>二层</t>
    <phoneticPr fontId="7" type="noConversion"/>
  </si>
  <si>
    <t>三层</t>
    <phoneticPr fontId="7" type="noConversion"/>
  </si>
  <si>
    <t>地下</t>
    <phoneticPr fontId="7" type="noConversion"/>
  </si>
  <si>
    <t>一层</t>
  </si>
  <si>
    <t>一层</t>
    <phoneticPr fontId="7" type="noConversion"/>
  </si>
  <si>
    <t>大兴区黄村镇兴华园8号楼-1至7层8-1</t>
    <phoneticPr fontId="6" type="noConversion"/>
  </si>
  <si>
    <r>
      <rPr>
        <sz val="10"/>
        <color indexed="8"/>
        <rFont val="宋体"/>
        <family val="3"/>
        <charset val="134"/>
      </rPr>
      <t>京兴国用（</t>
    </r>
    <r>
      <rPr>
        <sz val="10"/>
        <color indexed="8"/>
        <rFont val="Arial"/>
        <family val="2"/>
      </rPr>
      <t>2014</t>
    </r>
    <r>
      <rPr>
        <sz val="10"/>
        <color indexed="8"/>
        <rFont val="宋体"/>
        <family val="3"/>
        <charset val="134"/>
      </rPr>
      <t>出）第</t>
    </r>
    <r>
      <rPr>
        <sz val="10"/>
        <color indexed="8"/>
        <rFont val="Arial"/>
        <family val="2"/>
      </rPr>
      <t>00044</t>
    </r>
    <r>
      <rPr>
        <sz val="10"/>
        <color indexed="8"/>
        <rFont val="宋体"/>
        <family val="3"/>
        <charset val="134"/>
      </rPr>
      <t>号</t>
    </r>
    <phoneticPr fontId="3" type="noConversion"/>
  </si>
  <si>
    <r>
      <t>X</t>
    </r>
    <r>
      <rPr>
        <sz val="10"/>
        <color indexed="8"/>
        <rFont val="宋体"/>
        <family val="3"/>
        <charset val="134"/>
      </rPr>
      <t>京房权证兴字第</t>
    </r>
    <r>
      <rPr>
        <sz val="10"/>
        <color indexed="8"/>
        <rFont val="Arial"/>
        <family val="2"/>
      </rPr>
      <t>131948</t>
    </r>
    <r>
      <rPr>
        <sz val="10"/>
        <color indexed="8"/>
        <rFont val="宋体"/>
        <family val="3"/>
        <charset val="134"/>
      </rPr>
      <t>号</t>
    </r>
    <phoneticPr fontId="3" type="noConversion"/>
  </si>
  <si>
    <t>Ⅶ-兴1</t>
  </si>
  <si>
    <t>四层</t>
    <phoneticPr fontId="7" type="noConversion"/>
  </si>
  <si>
    <t>五层</t>
    <phoneticPr fontId="7" type="noConversion"/>
  </si>
  <si>
    <t>六层</t>
    <phoneticPr fontId="7" type="noConversion"/>
  </si>
  <si>
    <t>收益法 (元)</t>
  </si>
  <si>
    <t>商务金融用地（办公类）</t>
  </si>
  <si>
    <t>一般</t>
  </si>
  <si>
    <t>较好</t>
  </si>
  <si>
    <t>押一</t>
  </si>
  <si>
    <r>
      <t>2018/10/25</t>
    </r>
    <r>
      <rPr>
        <sz val="11"/>
        <color theme="1"/>
        <rFont val="宋体"/>
        <family val="3"/>
        <charset val="134"/>
        <scheme val="minor"/>
      </rPr>
      <t>-2019-2-1</t>
    </r>
    <phoneticPr fontId="143" type="noConversion"/>
  </si>
  <si>
    <t>2019-2020</t>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</si>
  <si>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</si>
  <si>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021-2022</t>
    </r>
    <phoneticPr fontId="143" type="noConversion"/>
  </si>
  <si>
    <t>2022-2023</t>
    <phoneticPr fontId="143" type="noConversion"/>
  </si>
  <si>
    <t>2023-2024</t>
    <phoneticPr fontId="143" type="noConversion"/>
  </si>
  <si>
    <t>2024-2025</t>
    <phoneticPr fontId="143" type="noConversion"/>
  </si>
  <si>
    <t>2025-2026</t>
    <phoneticPr fontId="143" type="noConversion"/>
  </si>
  <si>
    <t>2026-2027</t>
    <phoneticPr fontId="143" type="noConversion"/>
  </si>
  <si>
    <t>2027-2028</t>
    <phoneticPr fontId="143" type="noConversion"/>
  </si>
  <si>
    <t>2028-2029</t>
    <phoneticPr fontId="143" type="noConversion"/>
  </si>
  <si>
    <t>2029-2030</t>
    <phoneticPr fontId="143" type="noConversion"/>
  </si>
  <si>
    <t>2030-2031</t>
    <phoneticPr fontId="143" type="noConversion"/>
  </si>
  <si>
    <t>2031-2032</t>
    <phoneticPr fontId="143" type="noConversion"/>
  </si>
  <si>
    <t>时间</t>
    <phoneticPr fontId="143" type="noConversion"/>
  </si>
  <si>
    <t>前3年</t>
    <phoneticPr fontId="143" type="noConversion"/>
  </si>
  <si>
    <t>天数</t>
    <phoneticPr fontId="143" type="noConversion"/>
  </si>
  <si>
    <t>合计</t>
    <phoneticPr fontId="143" type="noConversion"/>
  </si>
  <si>
    <t>总价（地上）</t>
    <phoneticPr fontId="143" type="noConversion"/>
  </si>
  <si>
    <t>总价（地下）</t>
    <phoneticPr fontId="143" type="noConversion"/>
  </si>
  <si>
    <t>钢混</t>
  </si>
  <si>
    <t>非生产用房</t>
  </si>
  <si>
    <t>按租金收入计税</t>
  </si>
  <si>
    <t>2018-4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</si>
  <si>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</si>
  <si>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2018-3</t>
    <phoneticPr fontId="3" type="noConversion"/>
  </si>
  <si>
    <t>容积率修正</t>
  </si>
  <si>
    <t>成本法 (元)</t>
  </si>
  <si>
    <t>收益法 (地下)</t>
  </si>
  <si>
    <t>收益法 (地下)</t>
    <phoneticPr fontId="16" type="noConversion"/>
  </si>
  <si>
    <t>基准地价修正 (地下)</t>
    <phoneticPr fontId="16" type="noConversion"/>
  </si>
  <si>
    <t>成本法 (地下)</t>
    <phoneticPr fontId="16" type="noConversion"/>
  </si>
  <si>
    <t>一层</t>
    <phoneticPr fontId="25" type="noConversion"/>
  </si>
  <si>
    <t>二层</t>
    <phoneticPr fontId="25" type="noConversion"/>
  </si>
  <si>
    <t>三层</t>
    <phoneticPr fontId="25" type="noConversion"/>
  </si>
  <si>
    <t>四层</t>
    <phoneticPr fontId="25" type="noConversion"/>
  </si>
  <si>
    <t>五层</t>
    <phoneticPr fontId="25" type="noConversion"/>
  </si>
  <si>
    <t>六层</t>
    <phoneticPr fontId="25" type="noConversion"/>
  </si>
  <si>
    <t>是否可做商业</t>
    <phoneticPr fontId="3" type="noConversion"/>
  </si>
  <si>
    <t>是</t>
    <phoneticPr fontId="25" type="noConversion"/>
  </si>
  <si>
    <t>否</t>
  </si>
  <si>
    <t>否</t>
    <phoneticPr fontId="25" type="noConversion"/>
  </si>
  <si>
    <t>楼层</t>
    <phoneticPr fontId="143" type="noConversion"/>
  </si>
  <si>
    <t>地下</t>
    <phoneticPr fontId="143" type="noConversion"/>
  </si>
  <si>
    <t>单价</t>
    <phoneticPr fontId="143" type="noConversion"/>
  </si>
  <si>
    <t>总价</t>
    <phoneticPr fontId="143" type="noConversion"/>
  </si>
  <si>
    <t>面积</t>
    <phoneticPr fontId="143" type="noConversion"/>
  </si>
  <si>
    <t>合计</t>
    <phoneticPr fontId="143" type="noConversion"/>
  </si>
  <si>
    <t>——</t>
    <phoneticPr fontId="143" type="noConversion"/>
  </si>
  <si>
    <r>
      <t>1</t>
    </r>
    <r>
      <rPr>
        <sz val="11"/>
        <color theme="1"/>
        <rFont val="宋体"/>
        <family val="3"/>
        <charset val="134"/>
        <scheme val="minor"/>
      </rPr>
      <t>2.2-13.2</t>
    </r>
    <phoneticPr fontId="143" type="noConversion"/>
  </si>
  <si>
    <r>
      <t>1</t>
    </r>
    <r>
      <rPr>
        <sz val="11"/>
        <color theme="1"/>
        <rFont val="宋体"/>
        <family val="3"/>
        <charset val="134"/>
        <scheme val="minor"/>
      </rPr>
      <t>3.2-14.2</t>
    </r>
    <phoneticPr fontId="143" type="noConversion"/>
  </si>
  <si>
    <r>
      <t>1</t>
    </r>
    <r>
      <rPr>
        <sz val="11"/>
        <color theme="1"/>
        <rFont val="宋体"/>
        <family val="3"/>
        <charset val="134"/>
        <scheme val="minor"/>
      </rPr>
      <t>4.2-15.2</t>
    </r>
    <phoneticPr fontId="143" type="noConversion"/>
  </si>
  <si>
    <t>15.2-16.2</t>
    <phoneticPr fontId="143" type="noConversion"/>
  </si>
  <si>
    <t>16.2-17.2</t>
    <phoneticPr fontId="143" type="noConversion"/>
  </si>
  <si>
    <t>17.2-18.2</t>
    <phoneticPr fontId="143" type="noConversion"/>
  </si>
  <si>
    <t>18.2-19.2</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</si>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</sst>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137" fillId="0" borderId="3" xfId="1" applyNumberFormat="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99" fillId="6" borderId="1" xfId="0" applyFont="1" applyFill="1" applyBorder="1" applyAlignment="1">
      <alignment horizontal="center" vertical="center"/>
    </xf>
    <xf numFmtId="0" fontId="0" fillId="6" borderId="1" xfId="0" applyFill="1" applyBorder="1" applyAlignment="1">
      <alignment horizontal="center"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6" borderId="1" xfId="0" applyFont="1" applyFill="1" applyBorder="1" applyAlignment="1">
      <alignment horizontal="left" vertical="center"/>
    </xf>
    <xf numFmtId="0" fontId="0" fillId="6" borderId="1" xfId="0" applyFill="1" applyBorder="1" applyAlignment="1">
      <alignment horizontal="left" vertical="center"/>
    </xf>
    <xf numFmtId="0" fontId="99" fillId="0" borderId="0" xfId="0" applyFont="1">
      <alignment vertical="center"/>
    </xf>
    <xf numFmtId="0" fontId="99" fillId="0" borderId="0" xfId="0" applyFont="1" applyFill="1" applyBorder="1">
      <alignment vertical="center"/>
    </xf>
    <xf numFmtId="0" fontId="99" fillId="6" borderId="0" xfId="0" applyFont="1" applyFill="1" applyBorder="1" applyAlignment="1">
      <alignment horizontal="center" vertical="center"/>
    </xf>
    <xf numFmtId="0" fontId="0" fillId="6" borderId="0" xfId="0" applyFill="1" applyBorder="1" applyAlignment="1">
      <alignment horizontal="center"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10" fontId="0" fillId="0" borderId="0" xfId="0" applyNumberFormat="1" applyBorder="1" applyAlignment="1">
      <alignment horizontal="center" vertical="center"/>
    </xf>
    <xf numFmtId="183" fontId="0" fillId="0" borderId="0" xfId="0" applyNumberFormat="1" applyBorder="1" applyAlignment="1">
      <alignment horizontal="center" vertical="center"/>
    </xf>
    <xf numFmtId="185" fontId="0" fillId="0" borderId="0" xfId="0" applyNumberFormat="1" applyBorder="1" applyAlignment="1">
      <alignment horizontal="center" vertical="center"/>
    </xf>
    <xf numFmtId="9" fontId="0" fillId="9" borderId="0" xfId="0" applyNumberFormat="1" applyFill="1">
      <alignment vertical="center"/>
    </xf>
    <xf numFmtId="0" fontId="148" fillId="6" borderId="24"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598886</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86" cy="1780953"/>
        </a:xfrm>
        <a:prstGeom prst="rect">
          <a:avLst/>
        </a:prstGeom>
      </xdr:spPr>
    </xdr:pic>
    <xdr:clientData/>
  </xdr:twoCellAnchor>
  <xdr:twoCellAnchor editAs="oneCell">
    <xdr:from>
      <xdr:col>0</xdr:col>
      <xdr:colOff>0</xdr:colOff>
      <xdr:row>11</xdr:row>
      <xdr:rowOff>0</xdr:rowOff>
    </xdr:from>
    <xdr:to>
      <xdr:col>13</xdr:col>
      <xdr:colOff>294124</xdr:colOff>
      <xdr:row>40</xdr:row>
      <xdr:rowOff>66046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北京市大兴区黄村镇兴华园8号楼-1至7层8-1房地产市场价值预评估</v>
      </c>
    </row>
    <row r="3" spans="1:2" s="1594" customFormat="1">
      <c r="A3" s="1592" t="s">
        <v>1221</v>
      </c>
      <c r="B3" s="1593">
        <f>'预评函-封皮'!B40</f>
        <v>0</v>
      </c>
    </row>
    <row r="4" spans="1:2" s="1594" customFormat="1">
      <c r="A4" s="1592" t="s">
        <v>1222</v>
      </c>
      <c r="B4" s="1593" t="str">
        <f ca="1">'预评函-封皮'!B46</f>
        <v>陈颖（注册号：1120060040)、叶凌（注册号：1119970111)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受贵公司委托，我公司对北京市大兴区黄村镇兴华园8号楼-1至7层8-1房地产市场价值进行了预评估。</v>
      </c>
    </row>
    <row r="7" spans="1:2" s="1594" customFormat="1">
      <c r="A7" s="1592" t="s">
        <v>1264</v>
      </c>
      <c r="B7" s="1593" t="str">
        <f>'预评函-1'!A7</f>
        <v>估价对象为北京市大兴区黄村镇兴华园8号楼-1至7层8-1房地产，为所有。根据《国有土地使用证》[]，估价对象（分摊）出让国有建设用地使用权面积为731.02平方米，建筑面积为4983.72平方米。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黄村镇兴华园8号楼-1至7层8-1房地产,属开发建设的，该项目尚在开发建设中。根据《国有土地使用证》[]，估价对象（分摊）出让国有建设用地使用权面积为731.02平方米，规划建筑面积为4983.72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2018年10月25日</v>
      </c>
    </row>
    <row r="13" spans="1:2" s="1594" customFormat="1">
      <c r="A13" s="1592" t="s">
        <v>1227</v>
      </c>
      <c r="B13" s="1593" t="str">
        <f>'预评函-1'!A18</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v>
      </c>
    </row>
    <row r="16" spans="1:2" s="1594" customFormat="1">
      <c r="A16" s="1592" t="s">
        <v>1230</v>
      </c>
      <c r="B16" s="1593" t="str">
        <f>'预评函-1'!A21</f>
        <v>——</v>
      </c>
    </row>
    <row r="17" spans="1:2" s="1594" customFormat="1">
      <c r="A17" s="1592" t="s">
        <v>1231</v>
      </c>
      <c r="B17" s="1593" t="str">
        <f>'预评函-1'!A22</f>
        <v>——</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1234</v>
      </c>
      <c r="B20" s="1593">
        <f ca="1">'预评函-2'!D5</f>
        <v>1962</v>
      </c>
    </row>
    <row r="21" spans="1:2" s="1594" customFormat="1">
      <c r="A21" s="1592" t="s">
        <v>1235</v>
      </c>
      <c r="B21" s="1593">
        <f ca="1">'预评函-2'!D7</f>
        <v>27671</v>
      </c>
    </row>
    <row r="22" spans="1:2" s="1594" customFormat="1">
      <c r="A22" s="1592" t="s">
        <v>1236</v>
      </c>
      <c r="B22" s="1593" t="str">
        <f ca="1">'预评函-2'!D6</f>
        <v>壹仟玖佰陆拾贰万元整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1962</v>
      </c>
    </row>
    <row r="31" spans="1:2" s="1594" customFormat="1">
      <c r="A31" s="1592" t="s">
        <v>1274</v>
      </c>
      <c r="B31" s="1593">
        <f ca="1">'预评函-2'!D15</f>
        <v>3937</v>
      </c>
    </row>
    <row r="32" spans="1:2" s="1594" customFormat="1">
      <c r="A32" s="1592" t="s">
        <v>1241</v>
      </c>
      <c r="B32" s="1593" t="str">
        <f ca="1">'预评函-2'!D14</f>
        <v>壹仟玖佰陆拾贰万元整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北京市大兴区黄村镇兴华园8号楼-1至7层8-1房地产</v>
      </c>
    </row>
    <row r="42" spans="1:2" s="1594" customFormat="1">
      <c r="A42" s="1592" t="s">
        <v>1288</v>
      </c>
      <c r="B42" s="1593" t="str">
        <f>'预评函-3'!B2</f>
        <v>建筑面积</v>
      </c>
    </row>
    <row r="43" spans="1:2" s="1594" customFormat="1">
      <c r="A43" s="1592" t="s">
        <v>1289</v>
      </c>
      <c r="B43" s="1593">
        <f>'预评函-3'!B4</f>
        <v>4983.7199999999993</v>
      </c>
    </row>
    <row r="44" spans="1:2" s="1594" customFormat="1">
      <c r="A44" s="1592" t="s">
        <v>1273</v>
      </c>
      <c r="B44" s="1593" t="str">
        <f>'预评函-3'!C2</f>
        <v>(分摊)土地面积</v>
      </c>
    </row>
    <row r="45" spans="1:2" s="1594" customFormat="1">
      <c r="A45" s="1592" t="s">
        <v>1245</v>
      </c>
      <c r="B45" s="1593">
        <f>'预评函-3'!C4</f>
        <v>731.02</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陈颖</v>
      </c>
    </row>
    <row r="71" spans="1:2">
      <c r="A71" s="1592" t="s">
        <v>1261</v>
      </c>
      <c r="B71" s="1593">
        <f ca="1">'预评函-4'!B4</f>
        <v>1120060040</v>
      </c>
    </row>
    <row r="72" spans="1:2">
      <c r="A72" s="1592" t="s">
        <v>1262</v>
      </c>
      <c r="B72" s="1601" t="str">
        <f>'预评函-4'!A5</f>
        <v>叶凌</v>
      </c>
    </row>
    <row r="73" spans="1:2" s="1588" customFormat="1" ht="15" thickBot="1">
      <c r="A73" s="1595" t="s">
        <v>1263</v>
      </c>
      <c r="B73" s="1596">
        <f ca="1">'预评函-4'!B5</f>
        <v>1119970111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3" sqref="Y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3110</v>
      </c>
      <c r="C17" s="2016"/>
    </row>
    <row r="18" spans="1:3">
      <c r="A18" s="2015" t="s">
        <v>1767</v>
      </c>
      <c r="B18" s="2015" t="s">
        <v>3111</v>
      </c>
      <c r="C18" s="2016"/>
    </row>
    <row r="19" spans="1:3">
      <c r="A19" s="2015" t="s">
        <v>1768</v>
      </c>
      <c r="B19" s="2015" t="s">
        <v>3112</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园8号楼-1至7层8-1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3" t="s">
        <v>864</v>
      </c>
      <c r="C54" s="2020" t="s">
        <v>1281</v>
      </c>
    </row>
    <row r="55" spans="1:4">
      <c r="A55" s="3038"/>
      <c r="B55" s="2023" t="s">
        <v>865</v>
      </c>
      <c r="C55" s="2020" t="s">
        <v>1282</v>
      </c>
    </row>
    <row r="56" spans="1:4">
      <c r="A56" s="3038"/>
      <c r="B56" s="2023" t="s">
        <v>866</v>
      </c>
      <c r="C56" s="2020" t="s">
        <v>1286</v>
      </c>
    </row>
    <row r="57" spans="1:4">
      <c r="A57" s="3038"/>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D4" sqref="D4"/>
    </sheetView>
  </sheetViews>
  <sheetFormatPr defaultColWidth="10" defaultRowHeight="18" customHeight="1"/>
  <cols>
    <col min="1" max="1" width="14.875" style="2033" customWidth="1"/>
    <col min="2" max="2" width="10" style="2033" customWidth="1"/>
    <col min="3" max="3" width="11.5" style="2033" customWidth="1"/>
    <col min="4" max="4" width="16.125" style="2033" customWidth="1"/>
    <col min="5"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1776</v>
      </c>
      <c r="B1" s="3047" t="str">
        <f>IF(B10="北京市","北京市",C10)&amp;F10&amp;IF(结果表!G1="在建","出让国有建设用地使用权及在建建筑物",IF(结果表!G1="土地","出让国有建设用地使用权",))&amp;B9&amp;"预评估"</f>
        <v>北京市大兴区黄村镇兴华园8号楼-1至7层8-1房地产市场价值预评估</v>
      </c>
      <c r="C1" s="3048"/>
      <c r="D1" s="3048"/>
      <c r="E1" s="3048"/>
      <c r="F1" s="3048"/>
      <c r="G1" s="3048"/>
      <c r="H1" s="3048"/>
      <c r="I1" s="304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北京市大兴区黄村镇兴华园8号楼-1至7层8-1房地产市场价值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北京市大兴区黄村镇兴华园8号楼-1至7层8-1房地产</v>
      </c>
    </row>
    <row r="3" spans="1:19" ht="18" customHeight="1">
      <c r="A3" s="2036" t="s">
        <v>1778</v>
      </c>
      <c r="B3" s="2037"/>
      <c r="C3" s="2038" t="s">
        <v>1779</v>
      </c>
      <c r="D3" s="2037">
        <v>43398</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8">
        <f ca="1">SUMIF(注册房地产估价师,B4,估价师及机构信息!B3:B24)</f>
        <v>1120060040</v>
      </c>
      <c r="D4" s="2040" t="s">
        <v>3047</v>
      </c>
      <c r="E4" s="1039">
        <f ca="1">SUMIF(注册房地产估价师,D4,估价师及机构信息!B3:B24)</f>
        <v>1119970111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陈颖（注册号：1120060040)、叶凌（注册号：1119970111)</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3048</v>
      </c>
      <c r="C8" s="2057"/>
      <c r="D8" s="3050" t="s">
        <v>1785</v>
      </c>
      <c r="E8" s="2058"/>
      <c r="F8" s="2059"/>
      <c r="G8" s="2027"/>
      <c r="H8" s="2027"/>
      <c r="I8" s="2027"/>
      <c r="J8" s="2043"/>
      <c r="K8" s="2044"/>
      <c r="L8" s="2029"/>
      <c r="M8" s="2029"/>
      <c r="N8" s="2030"/>
      <c r="O8" s="2031"/>
      <c r="P8" s="2030"/>
      <c r="Q8" s="2030"/>
      <c r="R8" s="2030"/>
    </row>
    <row r="9" spans="1:19" ht="18" customHeight="1" thickBot="1">
      <c r="A9" s="2041" t="s">
        <v>1786</v>
      </c>
      <c r="B9" s="2060" t="s">
        <v>3049</v>
      </c>
      <c r="C9" s="2061"/>
      <c r="D9" s="3051"/>
      <c r="E9" s="2060"/>
      <c r="F9" s="2062"/>
      <c r="G9" s="2063"/>
      <c r="H9" s="2063"/>
      <c r="I9" s="2063"/>
      <c r="J9" s="2043"/>
      <c r="K9" s="2055"/>
      <c r="L9" s="2029"/>
      <c r="M9" s="2029"/>
      <c r="N9" s="2030"/>
      <c r="O9" s="2031"/>
      <c r="P9" s="2030"/>
      <c r="Q9" s="2030"/>
      <c r="R9" s="2030"/>
    </row>
    <row r="10" spans="1:19" ht="18" customHeight="1" thickTop="1">
      <c r="A10" s="2064" t="s">
        <v>1787</v>
      </c>
      <c r="B10" s="2065" t="s">
        <v>3050</v>
      </c>
      <c r="C10" s="2066"/>
      <c r="D10" s="2048"/>
      <c r="E10" s="2067" t="s">
        <v>1788</v>
      </c>
      <c r="F10" s="2946" t="s">
        <v>3069</v>
      </c>
      <c r="G10" s="2068"/>
      <c r="H10" s="2069"/>
      <c r="I10" s="2048"/>
      <c r="J10" s="2043"/>
      <c r="K10" s="2055"/>
      <c r="L10" s="2029"/>
      <c r="M10" s="2029"/>
      <c r="N10" s="2030"/>
      <c r="O10" s="2031"/>
      <c r="P10" s="2030"/>
      <c r="Q10" s="2030"/>
      <c r="R10" s="2030"/>
    </row>
    <row r="11" spans="1:19" ht="18" customHeight="1">
      <c r="A11" s="2070" t="s">
        <v>1789</v>
      </c>
      <c r="B11" s="2071" t="s">
        <v>3051</v>
      </c>
      <c r="C11" s="2072"/>
      <c r="D11" s="2073"/>
      <c r="E11" s="2043"/>
      <c r="F11" s="2043"/>
      <c r="G11" s="2043"/>
      <c r="H11" s="2043"/>
      <c r="I11" s="2043"/>
      <c r="J11" s="2043"/>
      <c r="K11" s="2055"/>
      <c r="L11" s="2029"/>
      <c r="M11" s="2029"/>
      <c r="N11" s="2030"/>
      <c r="O11" s="2031"/>
      <c r="P11" s="2030"/>
      <c r="Q11" s="2030"/>
      <c r="R11" s="2030"/>
    </row>
    <row r="12" spans="1:19" ht="18" customHeight="1">
      <c r="A12" s="2074" t="s">
        <v>1790</v>
      </c>
      <c r="B12" s="2071" t="s">
        <v>3052</v>
      </c>
      <c r="C12" s="2075" t="s">
        <v>1791</v>
      </c>
      <c r="D12" s="2076" t="s">
        <v>1792</v>
      </c>
      <c r="E12" s="2076" t="s">
        <v>1793</v>
      </c>
      <c r="F12" s="2076" t="s">
        <v>1794</v>
      </c>
      <c r="G12" s="2076" t="s">
        <v>1795</v>
      </c>
      <c r="H12" s="2076" t="s">
        <v>1796</v>
      </c>
      <c r="I12" s="2076" t="s">
        <v>1797</v>
      </c>
      <c r="J12" s="2043"/>
      <c r="K12" s="2055"/>
      <c r="L12" s="2029"/>
      <c r="M12" s="2029"/>
      <c r="N12" s="2030"/>
      <c r="O12" s="2031"/>
      <c r="P12" s="2030"/>
      <c r="Q12" s="2030"/>
      <c r="R12" s="2030"/>
    </row>
    <row r="13" spans="1:19" ht="18" customHeight="1">
      <c r="A13" s="2077"/>
      <c r="B13" s="2078"/>
      <c r="C13" s="2079" t="s">
        <v>1798</v>
      </c>
      <c r="D13" s="2080"/>
      <c r="E13" s="2080">
        <v>48245</v>
      </c>
      <c r="F13" s="2080">
        <v>54907</v>
      </c>
      <c r="G13" s="2080"/>
      <c r="H13" s="2080"/>
      <c r="I13" s="1048"/>
      <c r="J13" s="2043"/>
      <c r="K13" s="2055"/>
      <c r="L13" s="2029"/>
      <c r="M13" s="2029"/>
      <c r="N13" s="2030"/>
      <c r="O13" s="2031"/>
      <c r="P13" s="2030"/>
      <c r="Q13" s="2030"/>
      <c r="R13" s="2030"/>
    </row>
    <row r="14" spans="1:19" ht="18" customHeight="1">
      <c r="A14" s="2077"/>
      <c r="B14" s="2078"/>
      <c r="C14" s="2079" t="s">
        <v>1799</v>
      </c>
      <c r="D14" s="1051"/>
      <c r="E14" s="1051">
        <v>40</v>
      </c>
      <c r="F14" s="1051">
        <v>50</v>
      </c>
      <c r="G14" s="1051"/>
      <c r="H14" s="1051"/>
      <c r="I14" s="1051"/>
      <c r="J14" s="2043"/>
      <c r="K14" s="2081"/>
      <c r="L14" s="2029"/>
      <c r="M14" s="2029"/>
      <c r="N14" s="2030"/>
      <c r="O14" s="2031"/>
      <c r="P14" s="2030"/>
      <c r="Q14" s="2030"/>
      <c r="R14" s="2030"/>
    </row>
    <row r="15" spans="1:19" ht="18" customHeight="1">
      <c r="A15" s="2064"/>
      <c r="B15" s="2082"/>
      <c r="C15" s="2079" t="s">
        <v>1800</v>
      </c>
      <c r="D15" s="1050" t="str">
        <f>IF(B12="出让",IF(D13="","",ROUNDDOWN(MIN((D13-$D$3)/365,D14),2)),D14)</f>
        <v/>
      </c>
      <c r="E15" s="1050">
        <f>IF(B12="出让",IF(E13="","",ROUNDDOWN(MIN((E13-$D$3)/365,E14),2)),E14)</f>
        <v>13.27</v>
      </c>
      <c r="F15" s="1050">
        <f>IF(B12="出让",IF(F13="","",ROUNDDOWN(MIN((F13-$D$3)/365,F14),2)),F14)</f>
        <v>31.53</v>
      </c>
      <c r="G15" s="1050" t="str">
        <f>IF(B12="出让",IF(G13="","",ROUNDDOWN(MIN((G13-$D$3)/365,G14),2)),G14)</f>
        <v/>
      </c>
      <c r="H15" s="1050" t="str">
        <f>IF(B12="出让",IF(H13="","",ROUNDDOWN(MIN((H13-$D$3)/365,H14),2)),H14)</f>
        <v/>
      </c>
      <c r="I15" s="1050" t="str">
        <f>IF(B12="出让",IF(I13="","",ROUNDDOWN(MIN((I13-$D$3)/365,I14),2)),I14)</f>
        <v/>
      </c>
      <c r="J15" s="2043"/>
      <c r="K15" s="2083"/>
      <c r="L15" s="2084"/>
      <c r="M15" s="2084"/>
      <c r="N15" s="2085"/>
      <c r="O15" s="2084"/>
      <c r="P15" s="2085"/>
      <c r="Q15" s="2030"/>
      <c r="R15" s="2030"/>
    </row>
    <row r="16" spans="1:19" ht="30.75" customHeight="1">
      <c r="A16" s="2067" t="s">
        <v>1801</v>
      </c>
      <c r="B16" s="3057"/>
      <c r="C16" s="3058"/>
      <c r="D16" s="3059"/>
      <c r="E16" s="2086" t="s">
        <v>1802</v>
      </c>
      <c r="F16" s="3060"/>
      <c r="G16" s="3061"/>
      <c r="H16" s="3061"/>
      <c r="I16" s="3062"/>
      <c r="J16" s="2030"/>
      <c r="K16" s="2083"/>
      <c r="L16" s="2084"/>
      <c r="M16" s="2084"/>
      <c r="N16" s="2085"/>
      <c r="O16" s="2084"/>
      <c r="P16" s="2085"/>
      <c r="Q16" s="2030"/>
      <c r="R16" s="2030"/>
    </row>
    <row r="17" spans="1:22" ht="18" customHeight="1">
      <c r="A17" s="2087" t="s">
        <v>1803</v>
      </c>
      <c r="B17" s="2036" t="s">
        <v>1804</v>
      </c>
      <c r="C17" s="1055">
        <f>'数据-汇总表'!E3</f>
        <v>4983.7199999999993</v>
      </c>
      <c r="D17" s="2088" t="s">
        <v>1805</v>
      </c>
      <c r="E17" s="3063" t="s">
        <v>1806</v>
      </c>
      <c r="F17" s="3064"/>
      <c r="G17" s="3064"/>
      <c r="H17" s="3064"/>
      <c r="I17" s="3065"/>
      <c r="J17" s="2030"/>
      <c r="K17" s="2089"/>
      <c r="L17" s="2084"/>
      <c r="M17" s="2084"/>
      <c r="N17" s="2085"/>
      <c r="O17" s="2084"/>
      <c r="P17" s="2085"/>
      <c r="Q17" s="2030"/>
      <c r="R17" s="2030"/>
      <c r="S17" s="2030"/>
      <c r="T17" s="2030"/>
      <c r="U17" s="2030"/>
      <c r="V17" s="2030"/>
    </row>
    <row r="18" spans="1:22" ht="36" customHeight="1" thickBot="1">
      <c r="A18" s="2090" t="s">
        <v>1807</v>
      </c>
      <c r="B18" s="2039" t="s">
        <v>1808</v>
      </c>
      <c r="C18" s="1445">
        <f>'数据-汇总表'!D3</f>
        <v>731.02</v>
      </c>
      <c r="D18" s="2091" t="s">
        <v>1805</v>
      </c>
      <c r="E18" s="3066" t="s">
        <v>1809</v>
      </c>
      <c r="F18" s="3067"/>
      <c r="G18" s="3067"/>
      <c r="H18" s="3067"/>
      <c r="I18" s="3068"/>
      <c r="J18" s="2030"/>
      <c r="K18" s="2089"/>
      <c r="L18" s="2084"/>
      <c r="M18" s="2084"/>
      <c r="N18" s="2085"/>
      <c r="O18" s="2084"/>
      <c r="P18" s="2085"/>
      <c r="Q18" s="2030"/>
      <c r="R18" s="2030"/>
      <c r="S18" s="2030"/>
      <c r="T18" s="2030"/>
      <c r="U18" s="2030"/>
      <c r="V18" s="2030"/>
    </row>
    <row r="19" spans="1:22" ht="37.5" customHeight="1" thickTop="1" thickBot="1">
      <c r="A19" s="371" t="s">
        <v>1810</v>
      </c>
      <c r="B19" s="350" t="s">
        <v>1811</v>
      </c>
      <c r="C19" s="2092"/>
      <c r="D19" s="2093" t="s">
        <v>1812</v>
      </c>
      <c r="E19" s="2094"/>
      <c r="F19" s="2095" t="str">
        <f>IF(AND(C19="是",E19="否"),"是否提供他项权证或相关说明","")</f>
        <v/>
      </c>
      <c r="G19" s="2096"/>
      <c r="H19" s="2043"/>
      <c r="I19" s="2043"/>
      <c r="J19" s="2043"/>
      <c r="K19" s="2055"/>
      <c r="L19" s="2029"/>
      <c r="M19" s="2029"/>
      <c r="N19" s="2085"/>
      <c r="O19" s="2084"/>
      <c r="P19" s="2085"/>
      <c r="Q19" s="2030"/>
      <c r="R19" s="2030"/>
      <c r="S19" s="2030"/>
      <c r="T19" s="2030"/>
      <c r="U19" s="2030"/>
      <c r="V19" s="2030"/>
    </row>
    <row r="20" spans="1:22" ht="18" customHeight="1">
      <c r="A20" s="2097" t="s">
        <v>1813</v>
      </c>
      <c r="B20" s="3053" t="s">
        <v>1814</v>
      </c>
      <c r="C20" s="3054"/>
      <c r="D20" s="3055" t="s">
        <v>1815</v>
      </c>
      <c r="E20" s="3056"/>
      <c r="F20" s="2098" t="s">
        <v>1816</v>
      </c>
      <c r="G20" s="2043"/>
      <c r="H20" s="2043"/>
      <c r="I20" s="2043"/>
      <c r="J20" s="2043"/>
      <c r="K20" s="3052"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1818</v>
      </c>
      <c r="C21" s="2100" t="s">
        <v>1819</v>
      </c>
      <c r="D21" s="2101" t="s">
        <v>1820</v>
      </c>
      <c r="E21" s="2102" t="s">
        <v>1819</v>
      </c>
      <c r="F21" s="2103"/>
      <c r="G21" s="2043"/>
      <c r="H21" s="2043"/>
      <c r="I21" s="2043"/>
      <c r="J21" s="2043"/>
      <c r="K21" s="305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1821</v>
      </c>
      <c r="C22" s="2100" t="s">
        <v>1822</v>
      </c>
      <c r="D22" s="2027"/>
      <c r="E22" s="2027"/>
      <c r="F22" s="2105"/>
      <c r="G22" s="2043"/>
      <c r="H22" s="2043"/>
      <c r="I22" s="2043"/>
      <c r="J22" s="2043"/>
      <c r="K22" s="305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1823</v>
      </c>
      <c r="B23" s="181" t="s">
        <v>1824</v>
      </c>
      <c r="C23" s="2107"/>
      <c r="D23" s="2108" t="s">
        <v>1824</v>
      </c>
      <c r="E23" s="2109"/>
      <c r="F23" s="2105"/>
      <c r="G23" s="2043"/>
      <c r="H23" s="2043"/>
      <c r="I23" s="2043"/>
      <c r="J23" s="2043"/>
      <c r="K23" s="2110"/>
      <c r="L23" s="746"/>
      <c r="M23" s="2029"/>
      <c r="N23" s="2085"/>
      <c r="O23" s="2084"/>
      <c r="P23" s="2085"/>
      <c r="Q23" s="2030"/>
      <c r="R23" s="2030"/>
      <c r="S23" s="2030"/>
      <c r="T23" s="2030"/>
      <c r="U23" s="2030"/>
      <c r="V23" s="2030"/>
    </row>
    <row r="24" spans="1:22" ht="18" customHeight="1">
      <c r="A24" s="2111"/>
      <c r="B24" s="181" t="s">
        <v>1825</v>
      </c>
      <c r="C24" s="2112"/>
      <c r="D24" s="2106" t="s">
        <v>1825</v>
      </c>
      <c r="E24" s="2113"/>
      <c r="F24" s="2105"/>
      <c r="G24" s="2043"/>
      <c r="H24" s="2043"/>
      <c r="I24" s="2043"/>
      <c r="J24" s="2043"/>
      <c r="K24" s="2110"/>
      <c r="L24" s="746"/>
      <c r="M24" s="2029"/>
      <c r="N24" s="2085"/>
      <c r="O24" s="2084"/>
      <c r="P24" s="2085"/>
      <c r="Q24" s="2030"/>
      <c r="R24" s="2030"/>
      <c r="S24" s="2030"/>
      <c r="T24" s="2030"/>
      <c r="U24" s="2030"/>
      <c r="V24" s="2030"/>
    </row>
    <row r="25" spans="1:22" ht="18" customHeight="1">
      <c r="A25" s="2111"/>
      <c r="B25" s="181" t="s">
        <v>1826</v>
      </c>
      <c r="C25" s="2112"/>
      <c r="D25" s="2106" t="s">
        <v>1826</v>
      </c>
      <c r="E25" s="2113"/>
      <c r="F25" s="2105"/>
      <c r="G25" s="2043"/>
      <c r="H25" s="2043"/>
      <c r="I25" s="2043"/>
      <c r="J25" s="2043"/>
      <c r="K25" s="2055"/>
      <c r="L25" s="2029"/>
      <c r="M25" s="2029"/>
      <c r="N25" s="2085"/>
      <c r="O25" s="2084"/>
      <c r="P25" s="2085"/>
      <c r="Q25" s="2030"/>
      <c r="R25" s="2030"/>
      <c r="S25" s="2030"/>
      <c r="T25" s="2030"/>
      <c r="U25" s="2030"/>
      <c r="V25" s="2030"/>
    </row>
    <row r="26" spans="1:22" ht="18" customHeight="1" thickBot="1">
      <c r="A26" s="2114"/>
      <c r="B26" s="2115" t="s">
        <v>1827</v>
      </c>
      <c r="C26" s="2116"/>
      <c r="D26" s="2117" t="s">
        <v>1828</v>
      </c>
      <c r="E26" s="2118"/>
      <c r="F26" s="2119"/>
      <c r="G26" s="2063"/>
      <c r="H26" s="2063"/>
      <c r="I26" s="2063"/>
      <c r="J26" s="2043"/>
      <c r="K26" s="2055"/>
      <c r="L26" s="2029"/>
      <c r="M26" s="2029"/>
      <c r="N26" s="2085"/>
      <c r="O26" s="2084"/>
      <c r="P26" s="2085"/>
      <c r="Q26" s="2030"/>
      <c r="R26" s="2030"/>
      <c r="S26" s="2030"/>
      <c r="T26" s="2030"/>
      <c r="U26" s="2030"/>
      <c r="V26" s="2030"/>
    </row>
    <row r="27" spans="1:22" ht="18" customHeight="1" thickTop="1">
      <c r="A27" s="3040" t="s">
        <v>1829</v>
      </c>
      <c r="B27" s="2064" t="s">
        <v>1830</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0"/>
      <c r="B28" s="2036" t="s">
        <v>1831</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0"/>
      <c r="B29" s="2036" t="s">
        <v>1832</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41"/>
      <c r="B30" s="2036" t="s">
        <v>1833</v>
      </c>
      <c r="C30" s="3042"/>
      <c r="D30" s="3043"/>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44" t="s">
        <v>1834</v>
      </c>
      <c r="B31" s="2127"/>
      <c r="C31" s="2128" t="str">
        <f>IF(B31="现房","成新及维护状况正常否",IF(B31="在建","工程状态是否正常",IF(B31="土地","是否闲置","-")))</f>
        <v>-</v>
      </c>
      <c r="D31" s="2129"/>
      <c r="E31" s="2130"/>
      <c r="F31" s="2043"/>
      <c r="G31" s="2043"/>
      <c r="H31" s="2043"/>
      <c r="I31" s="2043"/>
      <c r="J31" s="2043"/>
      <c r="K31" s="2053"/>
      <c r="L31" s="2029"/>
      <c r="M31" s="2029"/>
      <c r="N31" s="2030"/>
      <c r="O31" s="2031"/>
      <c r="P31" s="2030"/>
      <c r="Q31" s="2030"/>
      <c r="R31" s="2030"/>
      <c r="S31" s="2030"/>
      <c r="T31" s="2030"/>
      <c r="U31" s="2030"/>
      <c r="V31" s="2030"/>
    </row>
    <row r="32" spans="1:22" ht="18" customHeight="1">
      <c r="A32" s="3045"/>
      <c r="B32" s="2127"/>
      <c r="C32" s="2128" t="str">
        <f>IF(B32="现房","成新及维护状况是否正常",IF(B32="在建","工程状态是否正常",IF(B32="土地","是否闲置","-")))</f>
        <v>-</v>
      </c>
      <c r="D32" s="2129"/>
      <c r="E32" s="2130"/>
      <c r="F32" s="2043"/>
      <c r="G32" s="2043"/>
      <c r="H32" s="2043"/>
      <c r="I32" s="2043"/>
      <c r="J32" s="2043"/>
      <c r="K32" s="2055"/>
      <c r="L32" s="2029"/>
      <c r="M32" s="2029"/>
      <c r="N32" s="2030"/>
      <c r="O32" s="2031"/>
      <c r="P32" s="2030"/>
      <c r="Q32" s="2030"/>
      <c r="R32" s="2030"/>
      <c r="S32" s="2030"/>
      <c r="T32" s="2030"/>
      <c r="U32" s="2030"/>
      <c r="V32" s="2030"/>
    </row>
    <row r="33" spans="1:22" ht="18" customHeight="1">
      <c r="A33" s="3045"/>
      <c r="B33" s="2131"/>
      <c r="C33" s="2070" t="str">
        <f>IF(B33="现房","成新及维护状况是否正常",IF(B33="在建","工程状态是否正常",IF(B33="土地","是否闲置","-")))</f>
        <v>-</v>
      </c>
      <c r="D33" s="2132"/>
      <c r="E33" s="2133"/>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4"/>
      <c r="C34" s="2134"/>
      <c r="D34" s="2134"/>
      <c r="E34" s="2134"/>
      <c r="F34" s="2134"/>
      <c r="G34" s="2134"/>
      <c r="H34" s="2134"/>
      <c r="I34" s="2043"/>
      <c r="J34" s="2043"/>
      <c r="K34" s="1796">
        <f>COUNTIF(B34:H34,"——")</f>
        <v>0</v>
      </c>
      <c r="L34" s="2075" t="s">
        <v>1836</v>
      </c>
      <c r="M34" s="2075" t="s">
        <v>1837</v>
      </c>
      <c r="N34" s="2075" t="s">
        <v>1838</v>
      </c>
      <c r="O34" s="2075" t="s">
        <v>1839</v>
      </c>
      <c r="P34" s="2075" t="s">
        <v>1840</v>
      </c>
      <c r="Q34" s="2075" t="s">
        <v>1841</v>
      </c>
      <c r="R34" s="2075" t="s">
        <v>1842</v>
      </c>
      <c r="S34" s="3039" t="s">
        <v>1843</v>
      </c>
      <c r="T34" s="2135" t="str">
        <f>NUMBERSTRING(7-K34,1)&amp;"通"</f>
        <v>七通</v>
      </c>
      <c r="U34" s="2030"/>
      <c r="V34" s="2030"/>
    </row>
    <row r="35" spans="1:22" ht="18" customHeight="1">
      <c r="A35" s="2136"/>
      <c r="B35" s="3046" t="s">
        <v>1844</v>
      </c>
      <c r="C35" s="3046"/>
      <c r="D35" s="3046"/>
      <c r="E35" s="3046"/>
      <c r="F35" s="2137">
        <f>C10</f>
        <v>0</v>
      </c>
      <c r="G35" s="2043"/>
      <c r="H35" s="2043"/>
      <c r="I35" s="2043"/>
      <c r="J35" s="2043"/>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30"/>
      <c r="V35" s="2030"/>
    </row>
    <row r="36" spans="1:22" ht="18" customHeight="1">
      <c r="A36" s="2138"/>
      <c r="B36" s="2137" t="s">
        <v>1845</v>
      </c>
      <c r="C36" s="2137" t="s">
        <v>1846</v>
      </c>
      <c r="D36" s="2137" t="s">
        <v>1847</v>
      </c>
      <c r="E36" s="2137" t="s">
        <v>1848</v>
      </c>
      <c r="F36" s="2139"/>
      <c r="G36" s="2043"/>
      <c r="H36" s="2043"/>
      <c r="I36" s="2043"/>
      <c r="J36" s="2043"/>
      <c r="K36" s="2055"/>
      <c r="L36" s="2029"/>
      <c r="M36" s="2029"/>
      <c r="N36" s="2030"/>
      <c r="O36" s="2031"/>
      <c r="P36" s="2030"/>
      <c r="Q36" s="2030"/>
      <c r="R36" s="2030"/>
      <c r="S36" s="2030"/>
      <c r="T36" s="2030"/>
      <c r="U36" s="2030"/>
      <c r="V36" s="2030"/>
    </row>
    <row r="37" spans="1:22" ht="18" customHeight="1">
      <c r="A37" s="2140" t="s">
        <v>1849</v>
      </c>
      <c r="B37" s="2141" t="s">
        <v>526</v>
      </c>
      <c r="C37" s="2141" t="s">
        <v>526</v>
      </c>
      <c r="D37" s="2141"/>
      <c r="E37" s="2141"/>
      <c r="F37" s="2139"/>
      <c r="G37" s="2043"/>
      <c r="H37" s="2043"/>
      <c r="I37" s="2043"/>
      <c r="J37" s="2043"/>
      <c r="K37" s="2055"/>
      <c r="L37" s="2029"/>
      <c r="M37" s="2029"/>
      <c r="N37" s="2030"/>
      <c r="O37" s="2031"/>
      <c r="P37" s="2030"/>
      <c r="Q37" s="2030"/>
      <c r="R37" s="2030"/>
      <c r="S37" s="2030"/>
      <c r="T37" s="2030"/>
      <c r="U37" s="2030"/>
      <c r="V37" s="2030"/>
    </row>
    <row r="38" spans="1:22" ht="18" customHeight="1" thickBot="1">
      <c r="A38" s="2142" t="s">
        <v>1850</v>
      </c>
      <c r="B38" s="2143" t="s">
        <v>3072</v>
      </c>
      <c r="C38" s="2143" t="s">
        <v>3072</v>
      </c>
      <c r="D38" s="2143"/>
      <c r="E38" s="2143"/>
      <c r="F38" s="2144"/>
      <c r="G38" s="2063"/>
      <c r="H38" s="2063"/>
      <c r="I38" s="2063"/>
      <c r="J38" s="2043"/>
      <c r="K38" s="2055"/>
      <c r="L38" s="2029"/>
      <c r="M38" s="2029"/>
      <c r="N38" s="2030"/>
      <c r="O38" s="2031"/>
      <c r="P38" s="2030"/>
      <c r="Q38" s="2030"/>
      <c r="R38" s="2030"/>
      <c r="S38" s="2030"/>
      <c r="T38" s="2030"/>
      <c r="U38" s="2030"/>
      <c r="V38" s="2030"/>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4"/>
      <c r="L40" s="2084"/>
      <c r="M40" s="2084"/>
      <c r="N40" s="2085"/>
      <c r="O40" s="2084"/>
      <c r="P40" s="2030"/>
      <c r="Q40" s="2030"/>
      <c r="R40" s="2030"/>
      <c r="S40" s="2030"/>
      <c r="T40" s="2030"/>
      <c r="U40" s="2030"/>
      <c r="V40" s="2030"/>
    </row>
    <row r="41" spans="1:22" ht="18" customHeight="1">
      <c r="A41" s="8" t="s">
        <v>1852</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1853</v>
      </c>
      <c r="B42" s="1796" t="s">
        <v>1854</v>
      </c>
      <c r="C42" s="1796" t="s">
        <v>1855</v>
      </c>
      <c r="D42" s="1796" t="s">
        <v>1856</v>
      </c>
      <c r="E42" s="1796" t="s">
        <v>1857</v>
      </c>
      <c r="F42" s="1796" t="s">
        <v>1858</v>
      </c>
      <c r="G42" s="1796" t="s">
        <v>1859</v>
      </c>
      <c r="H42" s="1796" t="s">
        <v>1860</v>
      </c>
      <c r="I42" s="1796" t="s">
        <v>1861</v>
      </c>
      <c r="J42" s="2153" t="s">
        <v>1862</v>
      </c>
      <c r="K42" s="2076" t="s">
        <v>1863</v>
      </c>
      <c r="L42" s="2076" t="s">
        <v>1864</v>
      </c>
      <c r="M42" s="2076" t="s">
        <v>1865</v>
      </c>
      <c r="N42" s="1796" t="s">
        <v>1866</v>
      </c>
      <c r="O42" s="1796" t="s">
        <v>1867</v>
      </c>
      <c r="P42" s="1796" t="s">
        <v>1868</v>
      </c>
      <c r="Q42" s="2075" t="s">
        <v>1869</v>
      </c>
      <c r="R42" s="2075" t="s">
        <v>1870</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731.02</v>
      </c>
      <c r="B3" s="14">
        <f>IF(C3="否",G5-AT5,G5)</f>
        <v>4983.7199999999993</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4"/>
      <c r="C5" s="1804"/>
      <c r="D5" s="1807"/>
      <c r="E5" s="16" t="s">
        <v>1</v>
      </c>
      <c r="F5" s="16">
        <f>SUM(F13:F587)</f>
        <v>0</v>
      </c>
      <c r="G5" s="16">
        <f>SUM(G13:G587)</f>
        <v>4983.7199999999993</v>
      </c>
      <c r="H5" s="16">
        <f t="shared" ref="H5:AT5" si="0">SUM(H13:H656)</f>
        <v>4983.7199999999993</v>
      </c>
      <c r="I5" s="16">
        <f t="shared" si="0"/>
        <v>4254.24</v>
      </c>
      <c r="J5" s="16">
        <f t="shared" si="0"/>
        <v>0</v>
      </c>
      <c r="K5" s="16">
        <f t="shared" si="0"/>
        <v>729.48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4983.7199999999993</v>
      </c>
      <c r="BA5" s="18">
        <f t="shared" si="1"/>
        <v>4983.7199999999993</v>
      </c>
      <c r="BB5" s="18">
        <f t="shared" si="1"/>
        <v>4254.24</v>
      </c>
      <c r="BC5" s="18">
        <f t="shared" si="1"/>
        <v>729.48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731.02</v>
      </c>
      <c r="F6" s="16" t="s">
        <v>1</v>
      </c>
      <c r="G6" s="16" t="s">
        <v>2</v>
      </c>
      <c r="H6" s="20">
        <f>SUMIF(I$12:AB$12,"总值",I6:AB6)</f>
        <v>731.02</v>
      </c>
      <c r="I6" s="16">
        <f t="shared" ref="I6:AB6" si="2">ROUND($A$3*I5/$B$3,2)</f>
        <v>624.02</v>
      </c>
      <c r="J6" s="16">
        <f t="shared" si="2"/>
        <v>0</v>
      </c>
      <c r="K6" s="16">
        <f t="shared" si="2"/>
        <v>107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731.02</v>
      </c>
      <c r="AZ6" s="16" t="s">
        <v>3</v>
      </c>
      <c r="BA6" s="16">
        <f>ROUND($AY$6*BA5/$AZ$5,2)</f>
        <v>731.02</v>
      </c>
      <c r="BB6" s="16">
        <f>ROUND($AY$6*BB5/$AZ$5,2)</f>
        <v>624.02</v>
      </c>
      <c r="BC6" s="16">
        <f t="shared" ref="BC6:BH6" si="4">ROUND($AY$6*BC5/$AZ$5,2)</f>
        <v>107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1889</v>
      </c>
      <c r="AV7" s="23" t="s">
        <v>1890</v>
      </c>
      <c r="AW7" s="2167" t="s">
        <v>1891</v>
      </c>
      <c r="AX7" s="23" t="s">
        <v>1884</v>
      </c>
      <c r="AY7" s="1804"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9"/>
      <c r="K8" s="1819"/>
      <c r="L8" s="1819"/>
      <c r="M8" s="1819"/>
      <c r="N8" s="1819"/>
      <c r="O8" s="1819"/>
      <c r="P8" s="1819"/>
      <c r="Q8" s="1819"/>
      <c r="R8" s="1819"/>
      <c r="S8" s="1819"/>
      <c r="T8" s="1819"/>
      <c r="U8" s="1819"/>
      <c r="V8" s="2187"/>
      <c r="W8" s="1819"/>
      <c r="X8" s="1819"/>
      <c r="Y8" s="1819"/>
      <c r="Z8" s="1819"/>
      <c r="AA8" s="2187"/>
      <c r="AB8" s="2188"/>
      <c r="AC8" s="982" t="s">
        <v>1895</v>
      </c>
      <c r="AD8" s="2189"/>
      <c r="AE8" s="2181"/>
      <c r="AF8" s="1819"/>
      <c r="AG8" s="1819"/>
      <c r="AH8" s="1819"/>
      <c r="AI8" s="1819"/>
      <c r="AJ8" s="1819"/>
      <c r="AK8" s="1819"/>
      <c r="AL8" s="1819"/>
      <c r="AM8" s="1819"/>
      <c r="AN8" s="1819"/>
      <c r="AO8" s="1819"/>
      <c r="AP8" s="1819"/>
      <c r="AQ8" s="1819"/>
      <c r="AR8" s="1819"/>
      <c r="AS8" s="1819"/>
      <c r="AT8" s="1293" t="s">
        <v>1896</v>
      </c>
      <c r="AU8" s="2183" t="s">
        <v>1897</v>
      </c>
      <c r="AV8" s="1293"/>
      <c r="AW8" s="2166"/>
      <c r="AX8" s="1293"/>
      <c r="AY8" s="2167"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0" customFormat="1" ht="12.75">
      <c r="A9" s="2183"/>
      <c r="B9" s="2183"/>
      <c r="C9" s="2183"/>
      <c r="D9" s="2183"/>
      <c r="E9" s="2183"/>
      <c r="F9" s="2183"/>
      <c r="G9" s="1293"/>
      <c r="H9" s="2191" t="s">
        <v>1900</v>
      </c>
      <c r="I9" s="2192" t="s">
        <v>3054</v>
      </c>
      <c r="J9" s="982"/>
      <c r="K9" s="2192" t="s">
        <v>3055</v>
      </c>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9"/>
      <c r="BN9" s="2186"/>
      <c r="BO9" s="1819"/>
      <c r="BP9" s="1819"/>
      <c r="BQ9" s="1819"/>
      <c r="BR9" s="1819"/>
      <c r="BS9" s="1819"/>
      <c r="BT9" s="26"/>
    </row>
    <row r="10" spans="1:72" s="2190" customFormat="1" ht="12.75">
      <c r="A10" s="2183"/>
      <c r="B10" s="2183"/>
      <c r="C10" s="2183"/>
      <c r="D10" s="2183"/>
      <c r="E10" s="2183"/>
      <c r="F10" s="2183"/>
      <c r="G10" s="1293"/>
      <c r="H10" s="28"/>
      <c r="I10" s="2192" t="s">
        <v>1377</v>
      </c>
      <c r="J10" s="982"/>
      <c r="K10" s="2198" t="s">
        <v>1377</v>
      </c>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20"/>
      <c r="AF11" s="2205" t="s">
        <v>1910</v>
      </c>
      <c r="AG11" s="1820"/>
      <c r="AH11" s="2205" t="s">
        <v>1911</v>
      </c>
      <c r="AI11" s="2206"/>
      <c r="AJ11" s="2205" t="s">
        <v>1911</v>
      </c>
      <c r="AK11" s="1820"/>
      <c r="AL11" s="1818"/>
      <c r="AM11" s="1820"/>
      <c r="AN11" s="1818"/>
      <c r="AO11" s="1820"/>
      <c r="AP11" s="1818"/>
      <c r="AQ11" s="1820"/>
      <c r="AR11" s="1818"/>
      <c r="AS11" s="1820"/>
      <c r="AT11" s="2166"/>
      <c r="AU11" s="2183"/>
      <c r="AV11" s="1293"/>
      <c r="AW11" s="2166"/>
      <c r="AX11" s="1293"/>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0"/>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7">
        <f>AR11</f>
        <v>0</v>
      </c>
    </row>
    <row r="13" spans="1:72" s="2168" customFormat="1" ht="38.25">
      <c r="A13" s="1273" t="s">
        <v>3070</v>
      </c>
      <c r="B13" s="1273" t="s">
        <v>3071</v>
      </c>
      <c r="C13" s="1273"/>
      <c r="D13" s="2214" t="s">
        <v>3053</v>
      </c>
      <c r="E13" s="16">
        <f>IF($C$3="是",ROUND($A$3*G13/$B$3,2),ROUND($A$3*(G13-AT13)/$B$3,2))</f>
        <v>731.02</v>
      </c>
      <c r="F13" s="32"/>
      <c r="G13" s="33">
        <f>H13+AC13+AT13</f>
        <v>4983.7199999999993</v>
      </c>
      <c r="H13" s="20">
        <f>SUMIF(I$12:AB$12,"总值",I13:AB13)</f>
        <v>4983.7199999999993</v>
      </c>
      <c r="I13" s="2215">
        <v>4254.24</v>
      </c>
      <c r="J13" s="2215"/>
      <c r="K13" s="2215">
        <v>729.48</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京兴国用（2014出）第00044号</v>
      </c>
      <c r="AW13" s="11" t="str">
        <f t="shared" si="6"/>
        <v>X京房权证兴字第131948号</v>
      </c>
      <c r="AX13" s="11">
        <f t="shared" si="6"/>
        <v>0</v>
      </c>
      <c r="AY13" s="1807">
        <f>ROUND($AY$6*AZ13/$AZ$5,2)</f>
        <v>731.02</v>
      </c>
      <c r="AZ13" s="16">
        <f>BA13+BL13</f>
        <v>4983.7199999999993</v>
      </c>
      <c r="BA13" s="16">
        <f>SUM(BB13:BK13)</f>
        <v>4983.7199999999993</v>
      </c>
      <c r="BB13" s="16">
        <f>IF($D13="是",I13-J13,0)</f>
        <v>4254.24</v>
      </c>
      <c r="BC13" s="16">
        <f>IF($D13="是",K13-L13,0)</f>
        <v>729.48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D3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080" t="s">
        <v>1940</v>
      </c>
      <c r="B2" s="3080"/>
      <c r="C2" s="3080"/>
      <c r="D2" s="968" t="s">
        <v>1916</v>
      </c>
      <c r="E2" s="2228" t="s">
        <v>1917</v>
      </c>
      <c r="F2" s="1393"/>
      <c r="G2" s="2229"/>
      <c r="H2" s="2230"/>
      <c r="I2" s="2231" t="s">
        <v>1941</v>
      </c>
      <c r="J2" s="1393"/>
      <c r="K2" s="1393"/>
      <c r="L2" s="1393"/>
      <c r="M2" s="1393"/>
      <c r="N2" s="1428"/>
      <c r="O2" s="1393"/>
      <c r="P2" s="1393"/>
    </row>
    <row r="3" spans="1:16" ht="15.75" thickBot="1">
      <c r="A3" s="3081" t="s">
        <v>1914</v>
      </c>
      <c r="B3" s="3081"/>
      <c r="C3" s="3081"/>
      <c r="D3" s="46">
        <f>'数据-基础表'!AY6</f>
        <v>731.02</v>
      </c>
      <c r="E3" s="46">
        <f>'数据-基础表'!AZ5</f>
        <v>4983.7199999999993</v>
      </c>
      <c r="F3" s="1393"/>
      <c r="G3" s="1400"/>
      <c r="H3" s="1248" t="s">
        <v>1915</v>
      </c>
      <c r="I3" s="55">
        <f>ROUND('数据-基础表'!B3/'数据-基础表'!A3,2)</f>
        <v>6.82</v>
      </c>
      <c r="J3" s="1393"/>
      <c r="K3" s="1393"/>
      <c r="L3" s="1393"/>
      <c r="M3" s="1393"/>
      <c r="N3" s="1428"/>
      <c r="O3" s="1393"/>
      <c r="P3" s="1393"/>
    </row>
    <row r="4" spans="1:16" ht="15">
      <c r="A4" s="3082"/>
      <c r="B4" s="3083"/>
      <c r="C4" s="3084"/>
      <c r="D4" s="2232" t="s">
        <v>1916</v>
      </c>
      <c r="E4" s="2233" t="s">
        <v>1917</v>
      </c>
      <c r="F4" s="1393"/>
      <c r="G4" s="2234" t="s">
        <v>1942</v>
      </c>
      <c r="H4" s="1248" t="s">
        <v>1922</v>
      </c>
      <c r="I4" s="55">
        <f>ROUND(SUMIF('数据-基础表'!I9:AS9,"地上",'数据-基础表'!I5:AS5)/'数据-基础表'!A3,2)</f>
        <v>5.82</v>
      </c>
      <c r="J4" s="1393"/>
      <c r="K4" s="1393"/>
      <c r="L4" s="1393"/>
      <c r="M4" s="1393"/>
      <c r="N4" s="1428"/>
      <c r="O4" s="1393"/>
      <c r="P4" s="1393"/>
    </row>
    <row r="5" spans="1:16">
      <c r="A5" s="47" t="s">
        <v>1918</v>
      </c>
      <c r="B5" s="3085" t="s">
        <v>1919</v>
      </c>
      <c r="C5" s="3085"/>
      <c r="D5" s="48">
        <f>ROUND($D$3*E5/$E$3,2)</f>
        <v>0</v>
      </c>
      <c r="E5" s="49">
        <f>SUMIF('数据-基础表'!$11:$11,"住宅",'数据-基础表'!$5:$5)</f>
        <v>0</v>
      </c>
      <c r="F5" s="1393"/>
      <c r="G5" s="1400"/>
      <c r="H5" s="1248" t="s">
        <v>1915</v>
      </c>
      <c r="I5" s="55">
        <f>ROUND(E31/D31,2)</f>
        <v>6.82</v>
      </c>
      <c r="J5" s="1393"/>
      <c r="K5" s="1393"/>
      <c r="L5" s="1393"/>
      <c r="M5" s="1393"/>
      <c r="N5" s="1393"/>
      <c r="O5" s="1393"/>
      <c r="P5" s="1393"/>
    </row>
    <row r="6" spans="1:16" ht="15" thickBot="1">
      <c r="A6" s="2235"/>
      <c r="B6" s="3085" t="s">
        <v>1920</v>
      </c>
      <c r="C6" s="3085"/>
      <c r="D6" s="48">
        <f>ROUND($D$3*E6/$E$3,2)</f>
        <v>731.02</v>
      </c>
      <c r="E6" s="49">
        <f>E3-E5</f>
        <v>4983.7199999999993</v>
      </c>
      <c r="F6" s="1393"/>
      <c r="G6" s="2236" t="s">
        <v>1921</v>
      </c>
      <c r="H6" s="1400" t="s">
        <v>1922</v>
      </c>
      <c r="I6" s="940">
        <f>ROUND(F31/D31,2)</f>
        <v>5.82</v>
      </c>
      <c r="J6" s="1393"/>
      <c r="K6" s="1393"/>
      <c r="L6" s="1393"/>
      <c r="M6" s="1393"/>
      <c r="N6" s="1393"/>
      <c r="O6" s="1393"/>
      <c r="P6" s="1393"/>
    </row>
    <row r="7" spans="1:16" ht="15">
      <c r="A7" s="3077"/>
      <c r="B7" s="3078"/>
      <c r="C7" s="3079"/>
      <c r="D7" s="2232" t="s">
        <v>1916</v>
      </c>
      <c r="E7" s="2237" t="s">
        <v>1923</v>
      </c>
      <c r="F7" s="1393"/>
      <c r="G7" s="2229" t="s">
        <v>1924</v>
      </c>
      <c r="H7" s="62"/>
      <c r="I7" s="418"/>
      <c r="J7" s="1393"/>
      <c r="K7" s="1393"/>
      <c r="L7" s="1393"/>
      <c r="M7" s="1393"/>
      <c r="N7" s="1393"/>
      <c r="O7" s="1393"/>
      <c r="P7" s="1393"/>
    </row>
    <row r="8" spans="1:16">
      <c r="A8" s="47" t="s">
        <v>1925</v>
      </c>
      <c r="B8" s="50" t="s">
        <v>1926</v>
      </c>
      <c r="C8" s="48" t="s">
        <v>1927</v>
      </c>
      <c r="D8" s="48">
        <f t="shared" ref="D8:D15" si="0">ROUND($D$3*E8/$E$3,2)</f>
        <v>624.02</v>
      </c>
      <c r="E8" s="51">
        <f>SUMIF('数据-基础表'!BB10:BK10,"地上",'数据-基础表'!BB5:BK5)</f>
        <v>4254.24</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107</v>
      </c>
      <c r="E10" s="51">
        <f>SUMPRODUCT(('数据-基础表'!BB10:BK10="地下")*('数据-基础表'!BB11:BK11="商业")*('数据-基础表'!BB5:BK5))</f>
        <v>729.48</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731.02</v>
      </c>
      <c r="E16" s="53">
        <f>SUM(E8:E15)</f>
        <v>4983.7199999999993</v>
      </c>
      <c r="F16" s="1393"/>
      <c r="G16" s="2238"/>
      <c r="H16" s="2241" t="s">
        <v>1944</v>
      </c>
      <c r="I16" s="2242"/>
      <c r="J16" s="1393"/>
      <c r="K16" s="3074" t="s">
        <v>1944</v>
      </c>
      <c r="L16" s="3075"/>
      <c r="M16" s="3075"/>
      <c r="N16" s="3075"/>
      <c r="O16" s="3075"/>
      <c r="P16" s="3076"/>
    </row>
    <row r="17" spans="1:19" ht="15">
      <c r="A17" s="2243" t="s">
        <v>1945</v>
      </c>
      <c r="B17" s="2244" t="s">
        <v>1946</v>
      </c>
      <c r="C17" s="2245" t="s">
        <v>1947</v>
      </c>
      <c r="D17" s="2246" t="s">
        <v>1935</v>
      </c>
      <c r="E17" s="2247" t="s">
        <v>1936</v>
      </c>
      <c r="F17" s="2248"/>
      <c r="G17" s="2249"/>
      <c r="H17" s="2250" t="s">
        <v>1948</v>
      </c>
      <c r="I17" s="2251" t="s">
        <v>1933</v>
      </c>
      <c r="J17" s="1393"/>
      <c r="K17" s="3071" t="s">
        <v>1949</v>
      </c>
      <c r="L17" s="3072"/>
      <c r="M17" s="3073"/>
      <c r="N17" s="3071" t="s">
        <v>1950</v>
      </c>
      <c r="O17" s="3072"/>
      <c r="P17" s="3073"/>
      <c r="R17" s="2229" t="s">
        <v>1951</v>
      </c>
      <c r="S17" s="62"/>
    </row>
    <row r="18" spans="1:19" ht="15">
      <c r="A18" s="2239"/>
      <c r="B18" s="2252"/>
      <c r="C18" s="2253"/>
      <c r="D18" s="2254"/>
      <c r="E18" s="2255" t="s">
        <v>1952</v>
      </c>
      <c r="F18" s="2256" t="s">
        <v>1953</v>
      </c>
      <c r="G18" s="2257" t="s">
        <v>1954</v>
      </c>
      <c r="H18" s="1263" t="s">
        <v>1955</v>
      </c>
      <c r="I18" s="2258" t="s">
        <v>1956</v>
      </c>
      <c r="J18" s="1393"/>
      <c r="K18" s="1263" t="s">
        <v>1957</v>
      </c>
      <c r="L18" s="2259" t="s">
        <v>1958</v>
      </c>
      <c r="M18" s="1047" t="s">
        <v>1959</v>
      </c>
      <c r="N18" s="1263" t="s">
        <v>1957</v>
      </c>
      <c r="O18" s="2259" t="s">
        <v>1958</v>
      </c>
      <c r="P18" s="1047" t="s">
        <v>1959</v>
      </c>
      <c r="R18" s="1248" t="s">
        <v>1960</v>
      </c>
      <c r="S18" s="1248" t="s">
        <v>1961</v>
      </c>
    </row>
    <row r="19" spans="1:19">
      <c r="A19" s="2260"/>
      <c r="B19" s="50" t="s">
        <v>1934</v>
      </c>
      <c r="C19" s="2944" t="s">
        <v>3068</v>
      </c>
      <c r="D19" s="48">
        <f>ROUND($D$3*E19/$E$3,2)</f>
        <v>104</v>
      </c>
      <c r="E19" s="56">
        <f t="shared" ref="E19:E26" si="1">SUM(F19:G19)</f>
        <v>709.04</v>
      </c>
      <c r="F19" s="57">
        <f>4254.24/6</f>
        <v>709.04</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104</v>
      </c>
      <c r="S19" s="1249">
        <f t="shared" si="5"/>
        <v>709.04</v>
      </c>
    </row>
    <row r="20" spans="1:19">
      <c r="A20" s="2263"/>
      <c r="B20" s="50" t="s">
        <v>1962</v>
      </c>
      <c r="C20" s="2944" t="s">
        <v>3064</v>
      </c>
      <c r="D20" s="48">
        <f t="shared" ref="D20:D26" si="6">ROUND($D$3*E20/$E$3,2)</f>
        <v>104</v>
      </c>
      <c r="E20" s="56">
        <f t="shared" si="1"/>
        <v>709.04</v>
      </c>
      <c r="F20" s="57">
        <f>F19</f>
        <v>709.04</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104</v>
      </c>
      <c r="S20" s="1249">
        <f t="shared" si="5"/>
        <v>709.04</v>
      </c>
    </row>
    <row r="21" spans="1:19">
      <c r="A21" s="2263"/>
      <c r="B21" s="50" t="s">
        <v>1962</v>
      </c>
      <c r="C21" s="2944" t="s">
        <v>3065</v>
      </c>
      <c r="D21" s="48">
        <f t="shared" si="6"/>
        <v>104</v>
      </c>
      <c r="E21" s="56">
        <f t="shared" si="1"/>
        <v>709.04</v>
      </c>
      <c r="F21" s="57">
        <f>F19</f>
        <v>709.04</v>
      </c>
      <c r="G21" s="58"/>
      <c r="H21" s="721">
        <f t="shared" si="7"/>
        <v>0</v>
      </c>
      <c r="I21" s="51">
        <f t="shared" si="2"/>
        <v>0</v>
      </c>
      <c r="J21" s="1393"/>
      <c r="K21" s="1392">
        <f t="shared" si="3"/>
        <v>0</v>
      </c>
      <c r="L21" s="1248">
        <f t="shared" si="4"/>
        <v>0</v>
      </c>
      <c r="M21" s="1404">
        <f t="shared" si="8"/>
        <v>0</v>
      </c>
      <c r="N21" s="2261"/>
      <c r="O21" s="2262"/>
      <c r="P21" s="1404">
        <f t="shared" si="9"/>
        <v>0</v>
      </c>
      <c r="R21" s="1248">
        <f t="shared" si="5"/>
        <v>104</v>
      </c>
      <c r="S21" s="1249">
        <f t="shared" si="5"/>
        <v>709.04</v>
      </c>
    </row>
    <row r="22" spans="1:19">
      <c r="A22" s="2263"/>
      <c r="B22" s="50" t="s">
        <v>1962</v>
      </c>
      <c r="C22" s="2945" t="s">
        <v>3066</v>
      </c>
      <c r="D22" s="48">
        <f t="shared" si="6"/>
        <v>107</v>
      </c>
      <c r="E22" s="56">
        <f t="shared" si="1"/>
        <v>729.48</v>
      </c>
      <c r="F22" s="60"/>
      <c r="G22" s="61">
        <v>729.48</v>
      </c>
      <c r="H22" s="721">
        <f t="shared" si="7"/>
        <v>0</v>
      </c>
      <c r="I22" s="51">
        <f t="shared" si="2"/>
        <v>0</v>
      </c>
      <c r="J22" s="1393"/>
      <c r="K22" s="1392">
        <f t="shared" si="3"/>
        <v>0</v>
      </c>
      <c r="L22" s="1248">
        <f t="shared" si="4"/>
        <v>0</v>
      </c>
      <c r="M22" s="1404">
        <f t="shared" si="8"/>
        <v>0</v>
      </c>
      <c r="N22" s="2261"/>
      <c r="O22" s="2262"/>
      <c r="P22" s="1404">
        <f t="shared" si="9"/>
        <v>0</v>
      </c>
      <c r="R22" s="1248">
        <f t="shared" si="5"/>
        <v>107</v>
      </c>
      <c r="S22" s="1249">
        <f t="shared" si="5"/>
        <v>729.48</v>
      </c>
    </row>
    <row r="23" spans="1:19">
      <c r="A23" s="2263"/>
      <c r="B23" s="50" t="s">
        <v>1962</v>
      </c>
      <c r="C23" s="2945" t="s">
        <v>3073</v>
      </c>
      <c r="D23" s="48">
        <f>ROUND($D$3*E23/$E$3,2)</f>
        <v>104</v>
      </c>
      <c r="E23" s="56">
        <f>SUM(F23:G23)</f>
        <v>709.04</v>
      </c>
      <c r="F23" s="60">
        <f>F19</f>
        <v>709.04</v>
      </c>
      <c r="G23" s="61"/>
      <c r="H23" s="721">
        <f>ROUND($D$3*I23/$E$3,2)</f>
        <v>0</v>
      </c>
      <c r="I23" s="51">
        <f t="shared" si="2"/>
        <v>0</v>
      </c>
      <c r="J23" s="1393"/>
      <c r="K23" s="1392">
        <f t="shared" si="3"/>
        <v>0</v>
      </c>
      <c r="L23" s="1248">
        <f t="shared" si="4"/>
        <v>0</v>
      </c>
      <c r="M23" s="1404">
        <f t="shared" si="8"/>
        <v>0</v>
      </c>
      <c r="N23" s="2261"/>
      <c r="O23" s="2262"/>
      <c r="P23" s="1404">
        <f t="shared" si="9"/>
        <v>0</v>
      </c>
      <c r="R23" s="1248">
        <f t="shared" si="5"/>
        <v>104</v>
      </c>
      <c r="S23" s="1249">
        <f t="shared" si="5"/>
        <v>709.04</v>
      </c>
    </row>
    <row r="24" spans="1:19">
      <c r="A24" s="2263"/>
      <c r="B24" s="50" t="s">
        <v>1962</v>
      </c>
      <c r="C24" s="2945" t="s">
        <v>3074</v>
      </c>
      <c r="D24" s="48">
        <f>ROUND($D$3*E24/$E$3,2)</f>
        <v>104</v>
      </c>
      <c r="E24" s="56">
        <f>SUM(F24:G24)</f>
        <v>709.04</v>
      </c>
      <c r="F24" s="60">
        <f>F19</f>
        <v>709.04</v>
      </c>
      <c r="G24" s="61"/>
      <c r="H24" s="721">
        <f>ROUND($D$3*I24/$E$3,2)</f>
        <v>0</v>
      </c>
      <c r="I24" s="51">
        <f t="shared" si="2"/>
        <v>0</v>
      </c>
      <c r="J24" s="1393"/>
      <c r="K24" s="1392">
        <f t="shared" si="3"/>
        <v>0</v>
      </c>
      <c r="L24" s="1248">
        <f t="shared" si="4"/>
        <v>0</v>
      </c>
      <c r="M24" s="1404">
        <f t="shared" si="8"/>
        <v>0</v>
      </c>
      <c r="N24" s="2261"/>
      <c r="O24" s="2262"/>
      <c r="P24" s="1404">
        <f t="shared" si="9"/>
        <v>0</v>
      </c>
      <c r="R24" s="1248">
        <f t="shared" si="5"/>
        <v>104</v>
      </c>
      <c r="S24" s="1249">
        <f t="shared" si="5"/>
        <v>709.04</v>
      </c>
    </row>
    <row r="25" spans="1:19">
      <c r="A25" s="2263"/>
      <c r="B25" s="50" t="s">
        <v>1962</v>
      </c>
      <c r="C25" s="2945" t="s">
        <v>3075</v>
      </c>
      <c r="D25" s="48">
        <f t="shared" si="6"/>
        <v>104</v>
      </c>
      <c r="E25" s="56">
        <f t="shared" si="1"/>
        <v>709.04</v>
      </c>
      <c r="F25" s="60">
        <f>F19</f>
        <v>709.04</v>
      </c>
      <c r="G25" s="61"/>
      <c r="H25" s="47">
        <f t="shared" si="7"/>
        <v>0</v>
      </c>
      <c r="I25" s="51">
        <f t="shared" si="2"/>
        <v>0</v>
      </c>
      <c r="J25" s="1393"/>
      <c r="K25" s="1392">
        <f t="shared" si="3"/>
        <v>0</v>
      </c>
      <c r="L25" s="1248">
        <f t="shared" si="4"/>
        <v>0</v>
      </c>
      <c r="M25" s="1404">
        <f t="shared" si="8"/>
        <v>0</v>
      </c>
      <c r="N25" s="2261"/>
      <c r="O25" s="2262"/>
      <c r="P25" s="1404">
        <f t="shared" si="9"/>
        <v>0</v>
      </c>
      <c r="R25" s="1248">
        <f t="shared" si="5"/>
        <v>104</v>
      </c>
      <c r="S25" s="1249">
        <f t="shared" si="5"/>
        <v>709.04</v>
      </c>
    </row>
    <row r="26" spans="1:19">
      <c r="A26" s="2263"/>
      <c r="B26" s="50" t="s">
        <v>1962</v>
      </c>
      <c r="C26" s="2947"/>
      <c r="D26" s="48">
        <f t="shared" si="6"/>
        <v>0</v>
      </c>
      <c r="E26" s="56">
        <f t="shared" si="1"/>
        <v>0</v>
      </c>
      <c r="F26" s="60"/>
      <c r="G26" s="61"/>
      <c r="H26" s="47">
        <f t="shared" si="7"/>
        <v>0</v>
      </c>
      <c r="I26" s="51">
        <f t="shared" si="2"/>
        <v>0</v>
      </c>
      <c r="J26" s="1393"/>
      <c r="K26" s="1399">
        <f t="shared" si="3"/>
        <v>0</v>
      </c>
      <c r="L26" s="1400">
        <f t="shared" si="4"/>
        <v>0</v>
      </c>
      <c r="M26" s="65">
        <f t="shared" si="8"/>
        <v>0</v>
      </c>
      <c r="N26" s="2264"/>
      <c r="O26" s="2265"/>
      <c r="P26" s="65">
        <f t="shared" si="9"/>
        <v>0</v>
      </c>
      <c r="R26" s="1248">
        <f t="shared" si="5"/>
        <v>0</v>
      </c>
      <c r="S26" s="1249">
        <f t="shared" si="5"/>
        <v>0</v>
      </c>
    </row>
    <row r="27" spans="1:19" ht="29.25" thickBot="1">
      <c r="A27" s="2263"/>
      <c r="B27" s="48"/>
      <c r="C27" s="2266" t="s">
        <v>1963</v>
      </c>
      <c r="D27" s="1394">
        <f>SUM(D19:D26)</f>
        <v>731</v>
      </c>
      <c r="E27" s="1395">
        <f>IF(SUM(E19:E26)='数据-基础表'!BA5,SUM(E19:E26),IF(F27="地上面积有误","面积有误","地下面积有误"))</f>
        <v>4983.72</v>
      </c>
      <c r="F27" s="1394">
        <f>IF(SUM(F19:F26)=E8,SUM(F19:F26),"地上面积有误")</f>
        <v>4254.24</v>
      </c>
      <c r="G27" s="1396">
        <f>SUM(G19:G26)</f>
        <v>729.48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731误差-0.02</v>
      </c>
      <c r="S27" s="1248">
        <f>IF(SUM(S19:S26)=$E$3,SUM(S19:S26),SUM(S19:S26)&amp;"误差"&amp;ROUND(SUM(S19:S26)-E3,2))</f>
        <v>4983.72</v>
      </c>
    </row>
    <row r="28" spans="1:19">
      <c r="A28" s="2263"/>
      <c r="B28" s="50" t="s">
        <v>1964</v>
      </c>
      <c r="C28" s="1260" t="s">
        <v>1965</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3"/>
      <c r="B29" s="50" t="s">
        <v>1964</v>
      </c>
      <c r="C29" s="2267"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3"/>
      <c r="B30" s="50"/>
      <c r="C30" s="2268"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1967</v>
      </c>
      <c r="D31" s="727">
        <f>D27+D30</f>
        <v>731</v>
      </c>
      <c r="E31" s="727">
        <f>E27+E30</f>
        <v>4983.72</v>
      </c>
      <c r="F31" s="728">
        <f>F27+F30</f>
        <v>4254.24</v>
      </c>
      <c r="G31" s="729">
        <f>G27+G30</f>
        <v>729.48</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30" sqref="Q3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0"/>
      <c r="C1" s="1582"/>
      <c r="D1" s="2273"/>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1970</v>
      </c>
      <c r="B2" s="1267">
        <f>项目基本情况!D3</f>
        <v>43398</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6"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5" t="s">
        <v>1975</v>
      </c>
      <c r="AA4" s="2245"/>
      <c r="AB4" s="2245"/>
      <c r="AC4" s="2245"/>
      <c r="AD4" s="2245"/>
      <c r="AE4" s="2243" t="s">
        <v>1976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1977</v>
      </c>
      <c r="B5" s="2290" t="s">
        <v>1978</v>
      </c>
      <c r="C5" s="2291" t="s">
        <v>1979</v>
      </c>
      <c r="D5" s="2292" t="s">
        <v>1980</v>
      </c>
      <c r="E5" s="1269" t="s">
        <v>1981</v>
      </c>
      <c r="F5" s="2293" t="s">
        <v>1982</v>
      </c>
      <c r="G5" s="1269" t="s">
        <v>1983</v>
      </c>
      <c r="H5" s="1269" t="s">
        <v>1984</v>
      </c>
      <c r="I5" s="1269" t="s">
        <v>1985</v>
      </c>
      <c r="J5" s="2294" t="s">
        <v>1986</v>
      </c>
      <c r="K5" s="2295" t="s">
        <v>1987</v>
      </c>
      <c r="L5" s="2296" t="s">
        <v>1988</v>
      </c>
      <c r="M5" s="2297" t="s">
        <v>1989</v>
      </c>
      <c r="N5" s="2298" t="s">
        <v>3056</v>
      </c>
      <c r="O5" s="2296" t="s">
        <v>1990</v>
      </c>
      <c r="P5" s="2299" t="s">
        <v>1991</v>
      </c>
      <c r="Q5" s="67" t="s">
        <v>1992</v>
      </c>
      <c r="R5" s="2300" t="s">
        <v>1993</v>
      </c>
      <c r="S5" s="2301" t="s">
        <v>1994</v>
      </c>
      <c r="T5" s="2302" t="s">
        <v>1995</v>
      </c>
      <c r="U5" s="1268" t="s">
        <v>1996</v>
      </c>
      <c r="V5" s="1269" t="s">
        <v>1997</v>
      </c>
      <c r="W5" s="1269" t="s">
        <v>1998</v>
      </c>
      <c r="X5" s="69"/>
      <c r="Y5" s="68" t="s">
        <v>1999</v>
      </c>
      <c r="Z5" s="2303" t="s">
        <v>1996</v>
      </c>
      <c r="AA5" s="1269" t="s">
        <v>1997</v>
      </c>
      <c r="AB5" s="1269" t="s">
        <v>1998</v>
      </c>
      <c r="AC5" s="69"/>
      <c r="AD5" s="69" t="s">
        <v>1999</v>
      </c>
      <c r="AE5" s="1268" t="s">
        <v>2000</v>
      </c>
      <c r="AF5" s="1269" t="s">
        <v>2001</v>
      </c>
      <c r="AG5" s="68" t="s">
        <v>2002</v>
      </c>
      <c r="AH5" s="1268" t="s">
        <v>2003</v>
      </c>
      <c r="AI5" s="2303" t="s">
        <v>2004</v>
      </c>
      <c r="AJ5" s="2303" t="s">
        <v>2005</v>
      </c>
      <c r="AK5" s="1269" t="s">
        <v>2006</v>
      </c>
      <c r="AL5" s="1269" t="s">
        <v>2007</v>
      </c>
      <c r="AM5" s="68" t="s">
        <v>2008</v>
      </c>
      <c r="AN5" s="2304" t="s">
        <v>2009</v>
      </c>
      <c r="AO5" s="2075" t="s">
        <v>2010</v>
      </c>
      <c r="AP5" s="1250"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6" t="str">
        <f>'数据-汇总表'!C19</f>
        <v>一层</v>
      </c>
      <c r="B6" s="2307" t="str">
        <f>IF(A6=0,"","经营性")</f>
        <v>经营性</v>
      </c>
      <c r="C6" s="2308" t="s">
        <v>27</v>
      </c>
      <c r="D6" s="1052">
        <f>SUMIF(项目基本情况!D$12:I$12,C6,项目基本情况!D$14:I$14)</f>
        <v>50</v>
      </c>
      <c r="E6" s="1049">
        <f>IF(B6="","",SUMIF(项目基本情况!D$12:I$12,C6,项目基本情况!D$13:I$13))</f>
        <v>54907</v>
      </c>
      <c r="F6" s="70">
        <f>SUMIF(项目基本情况!D$12:I$12,C6,项目基本情况!D$15:I$15)</f>
        <v>31.53</v>
      </c>
      <c r="G6" s="71">
        <f>IF(ISERROR(ROUND(POWER(1+H6,D6-F6)*(POWER(1+H6,F6)-1)/(POWER(1+H6,D6)-1),3)),0,ROUND(POWER(1+H6,D6-F6)*(POWER(1+H6,F6)-1)/(POWER(1+H6,D6)-1),3))</f>
        <v>0.78500000000000003</v>
      </c>
      <c r="H6" s="800">
        <v>0.03</v>
      </c>
      <c r="I6" s="800">
        <v>3.5000000000000003E-2</v>
      </c>
      <c r="J6" s="72">
        <v>0.05</v>
      </c>
      <c r="K6" s="1252">
        <f>SUMIF('数据-汇总表'!C$19:C$33,A6,'数据-汇总表'!E$19:E$33)</f>
        <v>709.04</v>
      </c>
      <c r="L6" s="801">
        <f>2220+800</f>
        <v>3020</v>
      </c>
      <c r="M6" s="73">
        <f t="shared" ref="M6:M14" si="0">ROUND(K6*L6/10000,0)</f>
        <v>214</v>
      </c>
      <c r="N6" s="799">
        <v>0.8</v>
      </c>
      <c r="O6" s="73" t="str">
        <f>IF($N$5="成新度","——",ROUND(M6*N6,0))</f>
        <v>——</v>
      </c>
      <c r="P6" s="74" t="str">
        <f>IF($N$5="成新度","——",M6-O6)</f>
        <v>——</v>
      </c>
      <c r="Q6" s="802">
        <v>0.3</v>
      </c>
      <c r="R6" s="75">
        <f ca="1">SUMIF('数据-汇总表'!C$19:C$33,A6,'数据-汇总表'!R$19:R$27)</f>
        <v>104</v>
      </c>
      <c r="S6" s="54">
        <f>IF('数据-汇总表'!$I$17="按面积比例",SUMIF('数据-汇总表'!C$19:C$33,A6,'数据-汇总表'!K$19:K$33),SUMIF('数据-汇总表'!C$19:C$33,A6,'数据-汇总表'!N$19:N$33))</f>
        <v>0</v>
      </c>
      <c r="T6" s="1444">
        <f>ROUND($L$14*S6/10000,0)</f>
        <v>0</v>
      </c>
      <c r="U6" s="76">
        <v>1.61</v>
      </c>
      <c r="V6" s="77">
        <v>0.18295</v>
      </c>
      <c r="W6" s="77">
        <v>0</v>
      </c>
      <c r="X6" s="1262"/>
      <c r="Y6" s="78">
        <v>0.8</v>
      </c>
      <c r="Z6" s="79">
        <f>ROUND(3*(1.03)^13.27,1)</f>
        <v>4.4000000000000004</v>
      </c>
      <c r="AA6" s="72">
        <v>0.03</v>
      </c>
      <c r="AB6" s="72">
        <v>0.1</v>
      </c>
      <c r="AC6" s="1262"/>
      <c r="AD6" s="80">
        <v>0.65</v>
      </c>
      <c r="AE6" s="1263">
        <f ca="1">IF(AN6="",0,SUMIF(INDIRECT("'"&amp;AN6&amp;"'"&amp;"!E:E"),$AE$5,INDIRECT("'"&amp;AN6&amp;"'"&amp;"!F:F")))</f>
        <v>31.53</v>
      </c>
      <c r="AF6" s="1805">
        <v>13.27</v>
      </c>
      <c r="AG6" s="145">
        <f ca="1">IF(AF6="",0,AE6-AF6)</f>
        <v>18.260000000000002</v>
      </c>
      <c r="AH6" s="81">
        <f>'数据-汇总表'!F19</f>
        <v>709.04</v>
      </c>
      <c r="AI6" s="83">
        <v>365</v>
      </c>
      <c r="AJ6" s="84"/>
      <c r="AK6" s="85">
        <v>1.4999999999999999E-2</v>
      </c>
      <c r="AL6" s="86">
        <v>1.5E-3</v>
      </c>
      <c r="AM6" s="87">
        <v>0.01</v>
      </c>
      <c r="AN6" s="2309" t="s">
        <v>3076</v>
      </c>
      <c r="AO6" s="55">
        <f ca="1">SUMIF(INDIRECT("'"&amp;AN6&amp;"'"&amp;"!A:A"),"总价",INDIRECT("'"&amp;AN6&amp;"'"&amp;"!B:B"))</f>
        <v>2043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二层</v>
      </c>
      <c r="B7" s="2307" t="str">
        <f t="shared" ref="B7:B13" si="1">IF(A7=0,"","经营性")</f>
        <v>经营性</v>
      </c>
      <c r="C7" s="2308" t="s">
        <v>27</v>
      </c>
      <c r="D7" s="1052">
        <f>SUMIF(项目基本情况!D$12:I$12,C7,项目基本情况!D$14:I$14)</f>
        <v>50</v>
      </c>
      <c r="E7" s="1049">
        <f>IF(B7="","",SUMIF(项目基本情况!D$12:I$12,C7,项目基本情况!D$13:I$13))</f>
        <v>54907</v>
      </c>
      <c r="F7" s="70">
        <f>SUMIF(项目基本情况!D$12:I$12,C7,项目基本情况!D$15:I$15)</f>
        <v>31.53</v>
      </c>
      <c r="G7" s="71">
        <f t="shared" ref="G7:G11" si="2">IF(ISERROR(ROUND(POWER(1+H7,D7-F7)*(POWER(1+H7,F7)-1)/(POWER(1+H7,D7)-1),3)),0,ROUND(POWER(1+H7,D7-F7)*(POWER(1+H7,F7)-1)/(POWER(1+H7,D7)-1),3))</f>
        <v>0.78500000000000003</v>
      </c>
      <c r="H7" s="800">
        <f>H6</f>
        <v>0.03</v>
      </c>
      <c r="I7" s="800">
        <f>I6</f>
        <v>3.5000000000000003E-2</v>
      </c>
      <c r="J7" s="72">
        <f>J6</f>
        <v>0.05</v>
      </c>
      <c r="K7" s="1252">
        <f>SUMIF('数据-汇总表'!C$19:C$33,A7,'数据-汇总表'!E$19:E$33)</f>
        <v>709.04</v>
      </c>
      <c r="L7" s="801"/>
      <c r="M7" s="73">
        <f t="shared" si="0"/>
        <v>0</v>
      </c>
      <c r="N7" s="799"/>
      <c r="O7" s="73" t="str">
        <f t="shared" ref="O7:O14" si="3">IF($N$5="成新度","——",ROUND(M7*N7,0))</f>
        <v>——</v>
      </c>
      <c r="P7" s="74" t="str">
        <f t="shared" ref="P7:P14" si="4">IF($N$5="成新度","——",M7-O7)</f>
        <v>——</v>
      </c>
      <c r="Q7" s="802"/>
      <c r="R7" s="75">
        <f ca="1">SUMIF('数据-汇总表'!C$19:C$33,A7,'数据-汇总表'!R$19:R$27)</f>
        <v>104</v>
      </c>
      <c r="S7" s="54">
        <f>IF('数据-汇总表'!$I$17="按面积比例",SUMIF('数据-汇总表'!C$19:C$33,A7,'数据-汇总表'!K$19:K$33),SUMIF('数据-汇总表'!C$19:C$33,A7,'数据-汇总表'!N$19:N$33))</f>
        <v>0</v>
      </c>
      <c r="T7" s="1444">
        <f t="shared" ref="T7:T13" si="5">ROUND($L$14*S7/10000,0)</f>
        <v>0</v>
      </c>
      <c r="U7" s="76"/>
      <c r="V7" s="77"/>
      <c r="W7" s="77"/>
      <c r="X7" s="1262"/>
      <c r="Y7" s="78"/>
      <c r="Z7" s="79"/>
      <c r="AA7" s="72"/>
      <c r="AB7" s="72"/>
      <c r="AC7" s="1262"/>
      <c r="AD7" s="80"/>
      <c r="AE7" s="1263">
        <f t="shared" ref="AE7:AE13" ca="1" si="6">IF(AN7="",0,SUMIF(INDIRECT("'"&amp;AN7&amp;"'"&amp;"!E:E"),$AE$5,INDIRECT("'"&amp;AN7&amp;"'"&amp;"!F:F")))</f>
        <v>0</v>
      </c>
      <c r="AF7" s="1805"/>
      <c r="AG7" s="145">
        <f t="shared" ref="AG7:AG13" si="7">IF(AF7="",0,AE7-AF7)</f>
        <v>0</v>
      </c>
      <c r="AH7" s="81"/>
      <c r="AI7" s="83"/>
      <c r="AJ7" s="84"/>
      <c r="AK7" s="85"/>
      <c r="AL7" s="86"/>
      <c r="AM7" s="87"/>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t="str">
        <f>'数据-汇总表'!C21</f>
        <v>三层</v>
      </c>
      <c r="B8" s="2307" t="str">
        <f t="shared" si="1"/>
        <v>经营性</v>
      </c>
      <c r="C8" s="2308" t="s">
        <v>27</v>
      </c>
      <c r="D8" s="1052">
        <f>SUMIF(项目基本情况!D$12:I$12,C8,项目基本情况!D$14:I$14)</f>
        <v>50</v>
      </c>
      <c r="E8" s="1049">
        <f>IF(B8="","",SUMIF(项目基本情况!D$12:I$12,C8,项目基本情况!D$13:I$13))</f>
        <v>54907</v>
      </c>
      <c r="F8" s="70">
        <f>SUMIF(项目基本情况!D$12:I$12,C8,项目基本情况!D$15:I$15)</f>
        <v>31.53</v>
      </c>
      <c r="G8" s="71">
        <f t="shared" si="2"/>
        <v>0.78500000000000003</v>
      </c>
      <c r="H8" s="800">
        <f>H6</f>
        <v>0.03</v>
      </c>
      <c r="I8" s="800">
        <f>I6</f>
        <v>3.5000000000000003E-2</v>
      </c>
      <c r="J8" s="72">
        <f>J6</f>
        <v>0.05</v>
      </c>
      <c r="K8" s="1252">
        <f>SUMIF('数据-汇总表'!C$19:C$33,A8,'数据-汇总表'!E$19:E$33)</f>
        <v>709.04</v>
      </c>
      <c r="L8" s="801"/>
      <c r="M8" s="73">
        <f>ROUND(K8*L8/10000,0)</f>
        <v>0</v>
      </c>
      <c r="N8" s="799"/>
      <c r="O8" s="73" t="str">
        <f t="shared" si="3"/>
        <v>——</v>
      </c>
      <c r="P8" s="74" t="str">
        <f t="shared" si="4"/>
        <v>——</v>
      </c>
      <c r="Q8" s="802"/>
      <c r="R8" s="75">
        <f ca="1">SUMIF('数据-汇总表'!C$19:C$33,A8,'数据-汇总表'!R$19:R$27)</f>
        <v>104</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5"/>
      <c r="AG8" s="145">
        <f t="shared" si="7"/>
        <v>0</v>
      </c>
      <c r="AH8" s="806"/>
      <c r="AI8" s="83"/>
      <c r="AJ8" s="84"/>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t="str">
        <f>'数据-汇总表'!C22</f>
        <v>地下</v>
      </c>
      <c r="B9" s="2307" t="str">
        <f t="shared" si="1"/>
        <v>经营性</v>
      </c>
      <c r="C9" s="2308" t="s">
        <v>27</v>
      </c>
      <c r="D9" s="1052">
        <f>SUMIF(项目基本情况!D$12:I$12,C9,项目基本情况!D$14:I$14)</f>
        <v>50</v>
      </c>
      <c r="E9" s="1049">
        <f>IF(B9="","",SUMIF(项目基本情况!D$12:I$12,C9,项目基本情况!D$13:I$13))</f>
        <v>54907</v>
      </c>
      <c r="F9" s="70">
        <f>SUMIF(项目基本情况!D$12:I$12,C9,项目基本情况!D$15:I$15)</f>
        <v>31.53</v>
      </c>
      <c r="G9" s="71">
        <f t="shared" si="2"/>
        <v>0.78500000000000003</v>
      </c>
      <c r="H9" s="72">
        <f>H6</f>
        <v>0.03</v>
      </c>
      <c r="I9" s="72">
        <f>I6</f>
        <v>3.5000000000000003E-2</v>
      </c>
      <c r="J9" s="72">
        <f>J6</f>
        <v>0.05</v>
      </c>
      <c r="K9" s="1252">
        <f>SUMIF('数据-汇总表'!C$19:C$33,A9,'数据-汇总表'!E$19:E$33)</f>
        <v>729.48</v>
      </c>
      <c r="L9" s="801">
        <f>2220+100</f>
        <v>2320</v>
      </c>
      <c r="M9" s="73">
        <f t="shared" si="0"/>
        <v>169</v>
      </c>
      <c r="N9" s="799">
        <f>N6</f>
        <v>0.8</v>
      </c>
      <c r="O9" s="73" t="str">
        <f t="shared" si="3"/>
        <v>——</v>
      </c>
      <c r="P9" s="74" t="str">
        <f t="shared" si="4"/>
        <v>——</v>
      </c>
      <c r="Q9" s="88">
        <f>Q6</f>
        <v>0.3</v>
      </c>
      <c r="R9" s="75">
        <f ca="1">SUMIF('数据-汇总表'!C$19:C$33,A9,'数据-汇总表'!R$19:R$27)</f>
        <v>107</v>
      </c>
      <c r="S9" s="54">
        <f>IF('数据-汇总表'!$I$17="按面积比例",SUMIF('数据-汇总表'!C$19:C$33,A9,'数据-汇总表'!K$19:K$33),SUMIF('数据-汇总表'!C$19:C$33,A9,'数据-汇总表'!N$19:N$33))</f>
        <v>0</v>
      </c>
      <c r="T9" s="1444">
        <f t="shared" si="5"/>
        <v>0</v>
      </c>
      <c r="U9" s="76">
        <v>0.69</v>
      </c>
      <c r="V9" s="77">
        <f>V6</f>
        <v>0.18295</v>
      </c>
      <c r="W9" s="77">
        <f>W6</f>
        <v>0</v>
      </c>
      <c r="X9" s="1262"/>
      <c r="Y9" s="78">
        <f>Y6</f>
        <v>0.8</v>
      </c>
      <c r="Z9" s="79">
        <f>ROUND('收益法 (地下)'!F49*(1.03)^13.27,1)</f>
        <v>0.9</v>
      </c>
      <c r="AA9" s="72">
        <f>AA6</f>
        <v>0.03</v>
      </c>
      <c r="AB9" s="72">
        <f>AB6</f>
        <v>0.1</v>
      </c>
      <c r="AC9" s="1262"/>
      <c r="AD9" s="80">
        <v>0.65</v>
      </c>
      <c r="AE9" s="1263">
        <f t="shared" ca="1" si="6"/>
        <v>31.53</v>
      </c>
      <c r="AF9" s="1805">
        <v>13.27</v>
      </c>
      <c r="AG9" s="145">
        <f t="shared" ca="1" si="7"/>
        <v>18.260000000000002</v>
      </c>
      <c r="AH9" s="81">
        <f>'数据-汇总表'!G22</f>
        <v>729.48</v>
      </c>
      <c r="AI9" s="83">
        <v>365</v>
      </c>
      <c r="AJ9" s="84"/>
      <c r="AK9" s="85">
        <v>1.4999999999999999E-2</v>
      </c>
      <c r="AL9" s="86">
        <v>1.5E-3</v>
      </c>
      <c r="AM9" s="87">
        <v>0.01</v>
      </c>
      <c r="AN9" s="2309" t="s">
        <v>3109</v>
      </c>
      <c r="AO9" s="55">
        <f t="shared" ca="1" si="8"/>
        <v>621</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t="str">
        <f>'数据-汇总表'!C23</f>
        <v>四层</v>
      </c>
      <c r="B10" s="2307" t="str">
        <f t="shared" si="1"/>
        <v>经营性</v>
      </c>
      <c r="C10" s="2308" t="s">
        <v>27</v>
      </c>
      <c r="D10" s="1052">
        <f>SUMIF(项目基本情况!D$12:I$12,C10,项目基本情况!D$14:I$14)</f>
        <v>50</v>
      </c>
      <c r="E10" s="1049">
        <f>IF(B10="","",SUMIF(项目基本情况!D$12:I$12,C10,项目基本情况!D$13:I$13))</f>
        <v>54907</v>
      </c>
      <c r="F10" s="70">
        <f>SUMIF(项目基本情况!D$12:I$12,C10,项目基本情况!D$15:I$15)</f>
        <v>31.53</v>
      </c>
      <c r="G10" s="71">
        <f t="shared" si="2"/>
        <v>0.78500000000000003</v>
      </c>
      <c r="H10" s="72">
        <f>H6</f>
        <v>0.03</v>
      </c>
      <c r="I10" s="72">
        <f>I6</f>
        <v>3.5000000000000003E-2</v>
      </c>
      <c r="J10" s="72">
        <f>J6</f>
        <v>0.05</v>
      </c>
      <c r="K10" s="1252">
        <f>SUMIF('数据-汇总表'!C$19:C$33,A10,'数据-汇总表'!E$19:E$33)</f>
        <v>709.04</v>
      </c>
      <c r="L10" s="801"/>
      <c r="M10" s="73">
        <f t="shared" si="0"/>
        <v>0</v>
      </c>
      <c r="N10" s="799"/>
      <c r="O10" s="73" t="str">
        <f t="shared" si="3"/>
        <v>——</v>
      </c>
      <c r="P10" s="74" t="str">
        <f t="shared" si="4"/>
        <v>——</v>
      </c>
      <c r="Q10" s="88"/>
      <c r="R10" s="75">
        <f ca="1">SUMIF('数据-汇总表'!C$19:C$33,A10,'数据-汇总表'!R$19:R$27)</f>
        <v>104</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5"/>
      <c r="AG10" s="145">
        <f t="shared" si="7"/>
        <v>0</v>
      </c>
      <c r="AH10" s="81"/>
      <c r="AI10" s="83"/>
      <c r="AJ10" s="84"/>
      <c r="AK10" s="85"/>
      <c r="AL10" s="86"/>
      <c r="AM10" s="87"/>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t="str">
        <f>'数据-汇总表'!C24</f>
        <v>五层</v>
      </c>
      <c r="B11" s="2307" t="str">
        <f t="shared" si="1"/>
        <v>经营性</v>
      </c>
      <c r="C11" s="2308" t="s">
        <v>27</v>
      </c>
      <c r="D11" s="1052">
        <f>SUMIF(项目基本情况!D$12:I$12,C11,项目基本情况!D$14:I$14)</f>
        <v>50</v>
      </c>
      <c r="E11" s="1049">
        <f>IF(B11="","",SUMIF(项目基本情况!D$12:I$12,C11,项目基本情况!D$13:I$13))</f>
        <v>54907</v>
      </c>
      <c r="F11" s="70">
        <f>SUMIF(项目基本情况!D$12:I$12,C11,项目基本情况!D$15:I$15)</f>
        <v>31.53</v>
      </c>
      <c r="G11" s="71">
        <f t="shared" si="2"/>
        <v>0.78500000000000003</v>
      </c>
      <c r="H11" s="72">
        <f>H6</f>
        <v>0.03</v>
      </c>
      <c r="I11" s="72">
        <f>I6</f>
        <v>3.5000000000000003E-2</v>
      </c>
      <c r="J11" s="72">
        <f>J6</f>
        <v>0.05</v>
      </c>
      <c r="K11" s="1252">
        <f>SUMIF('数据-汇总表'!C$19:C$33,A11,'数据-汇总表'!E$19:E$33)</f>
        <v>709.04</v>
      </c>
      <c r="L11" s="89"/>
      <c r="M11" s="73">
        <f t="shared" si="0"/>
        <v>0</v>
      </c>
      <c r="N11" s="90"/>
      <c r="O11" s="73" t="str">
        <f t="shared" si="3"/>
        <v>——</v>
      </c>
      <c r="P11" s="74" t="str">
        <f t="shared" si="4"/>
        <v>——</v>
      </c>
      <c r="Q11" s="88"/>
      <c r="R11" s="75">
        <f ca="1">SUMIF('数据-汇总表'!C$19:C$33,A11,'数据-汇总表'!R$19:R$27)</f>
        <v>104</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5"/>
      <c r="AG11" s="145">
        <f t="shared" si="7"/>
        <v>0</v>
      </c>
      <c r="AH11" s="81"/>
      <c r="AI11" s="83"/>
      <c r="AJ11" s="84"/>
      <c r="AK11" s="92"/>
      <c r="AL11" s="93"/>
      <c r="AM11" s="94"/>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t="str">
        <f>'数据-汇总表'!C25</f>
        <v>六层</v>
      </c>
      <c r="B12" s="2307" t="str">
        <f t="shared" si="1"/>
        <v>经营性</v>
      </c>
      <c r="C12" s="2308" t="s">
        <v>27</v>
      </c>
      <c r="D12" s="1052">
        <f>SUMIF(项目基本情况!D$12:I$12,C12,项目基本情况!D$14:I$14)</f>
        <v>50</v>
      </c>
      <c r="E12" s="1049">
        <f>IF(B12="","",SUMIF(项目基本情况!D$12:I$12,C12,项目基本情况!D$13:I$13))</f>
        <v>54907</v>
      </c>
      <c r="F12" s="70">
        <f>SUMIF(项目基本情况!D$12:I$12,C12,项目基本情况!D$15:I$15)</f>
        <v>31.53</v>
      </c>
      <c r="G12" s="71">
        <f>IF(ISERROR(ROUND(POWER(1+H12,D12-F12)*(POWER(1+H12,F12)-1)/(POWER(1+H12,D12)-1),3)),0,ROUND(POWER(1+H12,D12-F12)*(POWER(1+H12,F12)-1)/(POWER(1+H12,D12)-1),3))</f>
        <v>0.78500000000000003</v>
      </c>
      <c r="H12" s="72">
        <f>H6</f>
        <v>0.03</v>
      </c>
      <c r="I12" s="72">
        <f>I6</f>
        <v>3.5000000000000003E-2</v>
      </c>
      <c r="J12" s="72">
        <f>J6</f>
        <v>0.05</v>
      </c>
      <c r="K12" s="1252">
        <f>SUMIF('数据-汇总表'!C$19:C$33,A12,'数据-汇总表'!E$19:E$33)</f>
        <v>709.04</v>
      </c>
      <c r="L12" s="89"/>
      <c r="M12" s="73">
        <f>ROUND(K12*L12/10000,0)</f>
        <v>0</v>
      </c>
      <c r="N12" s="90"/>
      <c r="O12" s="73" t="str">
        <f t="shared" si="3"/>
        <v>——</v>
      </c>
      <c r="P12" s="74" t="str">
        <f t="shared" si="4"/>
        <v>——</v>
      </c>
      <c r="Q12" s="88"/>
      <c r="R12" s="75">
        <f ca="1">SUMIF('数据-汇总表'!C$19:C$33,A12,'数据-汇总表'!R$19:R$27)</f>
        <v>104</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5"/>
      <c r="AG12" s="145">
        <f t="shared" si="7"/>
        <v>0</v>
      </c>
      <c r="AH12" s="81"/>
      <c r="AI12" s="83"/>
      <c r="AJ12" s="84"/>
      <c r="AK12" s="92"/>
      <c r="AL12" s="93"/>
      <c r="AM12" s="94"/>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t="s">
        <v>27</v>
      </c>
      <c r="D13" s="1052">
        <f>SUMIF(项目基本情况!D$12:I$12,C13,项目基本情况!D$14:I$14)</f>
        <v>50</v>
      </c>
      <c r="E13" s="1049" t="str">
        <f>IF(B13="","",SUMIF(项目基本情况!D$12:I$12,C13,项目基本情况!D$13:I$13))</f>
        <v/>
      </c>
      <c r="F13" s="70">
        <f>SUMIF(项目基本情况!D$12:I$12,C13,项目基本情况!D$15:I$15)</f>
        <v>31.53</v>
      </c>
      <c r="G13" s="71">
        <f>IF(ISERROR(ROUND(POWER(1+H13,D13-F13)*(POWER(1+H13,F13)-1)/(POWER(1+H13,D13)-1),3)),0,ROUND(POWER(1+H13,D13-F13)*(POWER(1+H13,F13)-1)/(POWER(1+H13,D13)-1),3))</f>
        <v>0.78500000000000003</v>
      </c>
      <c r="H13" s="72">
        <f>H6</f>
        <v>0.03</v>
      </c>
      <c r="I13" s="72">
        <f>I6</f>
        <v>3.5000000000000003E-2</v>
      </c>
      <c r="J13" s="72">
        <f>J6</f>
        <v>0.05</v>
      </c>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5"/>
      <c r="AG13" s="145">
        <f t="shared" si="7"/>
        <v>0</v>
      </c>
      <c r="AH13" s="81"/>
      <c r="AI13" s="83"/>
      <c r="AJ13" s="84"/>
      <c r="AK13" s="85"/>
      <c r="AL13" s="86"/>
      <c r="AM13" s="87"/>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2014</v>
      </c>
      <c r="B14" s="2307" t="s">
        <v>2015</v>
      </c>
      <c r="C14" s="2312" t="s">
        <v>2014</v>
      </c>
      <c r="D14" s="1052"/>
      <c r="E14" s="1049"/>
      <c r="F14" s="70"/>
      <c r="G14" s="71"/>
      <c r="H14" s="1251"/>
      <c r="I14" s="1251"/>
      <c r="J14" s="1251"/>
      <c r="K14" s="1252">
        <f>SUMIF('数据-汇总表'!C$19:C$33,A14,'数据-汇总表'!E$19:E$33)</f>
        <v>0</v>
      </c>
      <c r="L14" s="89"/>
      <c r="M14" s="73">
        <f t="shared" si="0"/>
        <v>0</v>
      </c>
      <c r="N14" s="90"/>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2016</v>
      </c>
      <c r="B15" s="2307" t="s">
        <v>2015</v>
      </c>
      <c r="C15" s="2312" t="s">
        <v>2017</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2018</v>
      </c>
      <c r="B16" s="95"/>
      <c r="C16" s="1006"/>
      <c r="D16" s="2314"/>
      <c r="E16" s="95"/>
      <c r="F16" s="95"/>
      <c r="G16" s="96">
        <f>ROUND(SUMPRODUCT(G6:G13,K6:K13)/SUMPRODUCT((G6:G13&gt;0)*(K6:K13)),3)</f>
        <v>0.78500000000000003</v>
      </c>
      <c r="H16" s="97">
        <f>ROUND(SUMPRODUCT(H6:H13,K6:K13)/SUMPRODUCT((H6:H13&gt;0)*(K6:K13)),3)</f>
        <v>0.03</v>
      </c>
      <c r="I16" s="98"/>
      <c r="J16" s="98"/>
      <c r="K16" s="99">
        <f>SUM(K6:K15)</f>
        <v>4983.72</v>
      </c>
      <c r="L16" s="100">
        <f>ROUND(M16*10000/SUM(K6:K14),0)</f>
        <v>769</v>
      </c>
      <c r="M16" s="100">
        <f>SUM(M6:M14)</f>
        <v>383</v>
      </c>
      <c r="N16" s="101">
        <f>ROUND(SUMPRODUCT(M6:M14,N6:N14)/M16,3)</f>
        <v>0.8</v>
      </c>
      <c r="O16" s="100">
        <f>SUM(O6:O14)</f>
        <v>0</v>
      </c>
      <c r="P16" s="100">
        <f>SUM(P6:P14)</f>
        <v>0</v>
      </c>
      <c r="Q16" s="102">
        <f>ROUND(SUMPRODUCT(Q6:Q13,K6:K13)/SUMPRODUCT((Q6:Q13&gt;0)*(K6:K13)),2)</f>
        <v>0.3</v>
      </c>
      <c r="R16" s="1256">
        <f ca="1">SUM(R6:R13)</f>
        <v>731</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2019</v>
      </c>
      <c r="B18" s="2280"/>
      <c r="C18" s="2277"/>
      <c r="D18" s="2278"/>
      <c r="E18" s="2277"/>
      <c r="F18" s="2277"/>
      <c r="G18" s="2277"/>
      <c r="H18" s="2277"/>
      <c r="I18" s="2277"/>
      <c r="J18" s="2277"/>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2020</v>
      </c>
      <c r="B19" s="110">
        <v>0</v>
      </c>
      <c r="C19" s="2277" t="s">
        <v>2021</v>
      </c>
      <c r="D19" s="2278"/>
      <c r="E19" s="2277"/>
      <c r="F19" s="2277"/>
      <c r="G19" s="2277"/>
      <c r="H19" s="2277"/>
      <c r="I19" s="2277"/>
      <c r="J19" s="2277"/>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2022</v>
      </c>
      <c r="B20" s="111">
        <v>2</v>
      </c>
      <c r="C20" s="2277" t="s">
        <v>2023</v>
      </c>
      <c r="D20" s="2278"/>
      <c r="E20" s="2277"/>
      <c r="F20" s="2277"/>
      <c r="G20" s="2277"/>
      <c r="H20" s="2277"/>
      <c r="I20" s="2277"/>
      <c r="J20" s="2277"/>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2024</v>
      </c>
      <c r="B21" s="111">
        <v>2</v>
      </c>
      <c r="C21" s="2277"/>
      <c r="D21" s="2278"/>
      <c r="E21" s="2277"/>
      <c r="F21" s="2277"/>
      <c r="G21" s="2277"/>
      <c r="H21" s="2277"/>
      <c r="I21" s="2277"/>
      <c r="J21" s="2277"/>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2025</v>
      </c>
      <c r="B22" s="112">
        <f>B19+B20</f>
        <v>2</v>
      </c>
      <c r="C22" s="2277"/>
      <c r="D22" s="2278"/>
      <c r="E22" s="2277"/>
      <c r="F22" s="2277"/>
      <c r="G22" s="2277"/>
      <c r="H22" s="2277"/>
      <c r="I22" s="2277"/>
      <c r="J22" s="2277"/>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2026</v>
      </c>
      <c r="B23" s="112">
        <f>B19+B21</f>
        <v>2</v>
      </c>
      <c r="C23" s="2277"/>
      <c r="D23" s="2278"/>
      <c r="E23" s="2277"/>
      <c r="F23" s="2277"/>
      <c r="G23" s="2277"/>
      <c r="H23" s="2277"/>
      <c r="I23" s="2277"/>
      <c r="J23" s="2277"/>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2027</v>
      </c>
      <c r="B24" s="113">
        <f>B20-B21</f>
        <v>0</v>
      </c>
      <c r="C24" s="2277"/>
      <c r="D24" s="2278"/>
      <c r="E24" s="2277"/>
      <c r="F24" s="2277"/>
      <c r="G24" s="2277"/>
      <c r="H24" s="2277"/>
      <c r="I24" s="2277"/>
      <c r="J24" s="2277"/>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2028</v>
      </c>
      <c r="B26" s="2320" t="s">
        <v>2029</v>
      </c>
      <c r="C26" s="2321" t="s">
        <v>2030</v>
      </c>
      <c r="D26" s="2278"/>
      <c r="E26" s="2277"/>
      <c r="F26" s="2277"/>
      <c r="G26" s="2277"/>
      <c r="H26" s="2277"/>
      <c r="I26" s="2277"/>
      <c r="J26" s="2277"/>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2031</v>
      </c>
      <c r="B27" s="114"/>
      <c r="C27" s="1765" t="s">
        <v>2032</v>
      </c>
      <c r="D27" s="2323"/>
      <c r="E27" s="1428"/>
      <c r="F27" s="1428"/>
      <c r="G27" s="2277"/>
      <c r="H27" s="2277"/>
      <c r="I27" s="2277"/>
      <c r="J27" s="2277"/>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2033</v>
      </c>
      <c r="B28" s="117">
        <v>200</v>
      </c>
      <c r="C28" s="2326"/>
      <c r="D28" s="2323"/>
      <c r="E28" s="1428"/>
      <c r="F28" s="1428"/>
      <c r="G28" s="2277"/>
      <c r="H28" s="2277"/>
      <c r="I28" s="2277"/>
      <c r="J28" s="2277"/>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2034</v>
      </c>
      <c r="B29" s="119"/>
      <c r="C29" s="1765" t="s">
        <v>2035</v>
      </c>
      <c r="D29" s="2323"/>
      <c r="E29" s="1428"/>
      <c r="F29" s="1428"/>
      <c r="G29" s="2277"/>
      <c r="H29" s="2277"/>
      <c r="I29" s="2277"/>
      <c r="J29" s="2277"/>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2036</v>
      </c>
      <c r="B30" s="722">
        <v>200</v>
      </c>
      <c r="C30" s="2326"/>
      <c r="D30" s="2323"/>
      <c r="E30" s="1428"/>
      <c r="F30" s="1428"/>
      <c r="G30" s="2277"/>
      <c r="H30" s="2277"/>
      <c r="I30" s="2277"/>
      <c r="J30" s="2277"/>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2037</v>
      </c>
      <c r="B31" s="118">
        <f>B30-B32</f>
        <v>200</v>
      </c>
      <c r="C31" s="1765"/>
      <c r="D31" s="2323"/>
      <c r="E31" s="1428"/>
      <c r="F31" s="1428"/>
      <c r="G31" s="2277"/>
      <c r="H31" s="2277"/>
      <c r="I31" s="2277"/>
      <c r="J31" s="2277"/>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2038</v>
      </c>
      <c r="B32" s="723">
        <v>0</v>
      </c>
      <c r="C32" s="2326"/>
      <c r="D32" s="2278"/>
      <c r="E32" s="2277"/>
      <c r="F32" s="2277"/>
      <c r="G32" s="2277"/>
      <c r="H32" s="2277"/>
      <c r="I32" s="2277"/>
      <c r="J32" s="2277"/>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2039</v>
      </c>
      <c r="B33" s="724">
        <v>0.04</v>
      </c>
      <c r="C33" s="1764" t="s">
        <v>2040</v>
      </c>
      <c r="D33" s="2278"/>
      <c r="E33" s="2277"/>
      <c r="F33" s="2277"/>
      <c r="G33" s="2277"/>
      <c r="H33" s="2277"/>
      <c r="I33" s="2277"/>
      <c r="J33" s="2277"/>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2041</v>
      </c>
      <c r="B34" s="120">
        <v>0</v>
      </c>
      <c r="C34" s="1764" t="s">
        <v>2042</v>
      </c>
      <c r="D34" s="2278" t="s">
        <v>2043</v>
      </c>
      <c r="E34" s="730"/>
      <c r="F34" s="2277"/>
      <c r="G34" s="2277"/>
      <c r="H34" s="2277"/>
      <c r="I34" s="2277"/>
      <c r="J34" s="2277"/>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2044</v>
      </c>
      <c r="B35" s="117">
        <v>200</v>
      </c>
      <c r="C35" s="1764" t="s">
        <v>2045</v>
      </c>
      <c r="D35" s="2323"/>
      <c r="E35" s="1428"/>
      <c r="F35" s="1428"/>
      <c r="G35" s="2277"/>
      <c r="H35" s="2277"/>
      <c r="I35" s="2277"/>
      <c r="J35" s="2277"/>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2046</v>
      </c>
      <c r="B36" s="121">
        <v>1.4999999999999999E-2</v>
      </c>
      <c r="C36" s="1764" t="s">
        <v>2047</v>
      </c>
      <c r="D36" s="2278"/>
      <c r="E36" s="2277"/>
      <c r="F36" s="2277"/>
      <c r="G36" s="2277"/>
      <c r="H36" s="2277"/>
      <c r="I36" s="2277"/>
      <c r="J36" s="2277"/>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2048</v>
      </c>
      <c r="B37" s="122">
        <v>0.02</v>
      </c>
      <c r="C37" s="1764" t="s">
        <v>2049</v>
      </c>
      <c r="D37" s="2278"/>
      <c r="E37" s="2277"/>
      <c r="F37" s="2277"/>
      <c r="G37" s="2277"/>
      <c r="H37" s="2277"/>
      <c r="I37" s="2277"/>
      <c r="J37" s="2277"/>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2050</v>
      </c>
      <c r="B38" s="120">
        <v>0.02</v>
      </c>
      <c r="C38" s="1764" t="s">
        <v>2049</v>
      </c>
      <c r="D38" s="2278"/>
      <c r="E38" s="2277"/>
      <c r="F38" s="2277"/>
      <c r="G38" s="2277"/>
      <c r="H38" s="2277"/>
      <c r="I38" s="2277"/>
      <c r="J38" s="2277"/>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2051</v>
      </c>
      <c r="B39" s="360">
        <f ca="1">存贷款利率!I1</f>
        <v>1.4999999999999999E-2</v>
      </c>
      <c r="C39" s="1764"/>
      <c r="D39" s="2278"/>
      <c r="E39" s="2277"/>
      <c r="F39" s="2277"/>
      <c r="G39" s="2277"/>
      <c r="H39" s="2277"/>
      <c r="I39" s="2277"/>
      <c r="J39" s="2277"/>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2052</v>
      </c>
      <c r="B40" s="1301">
        <f ca="1">存贷款利率!G1</f>
        <v>4.7500000000000001E-2</v>
      </c>
      <c r="C40" s="1764" t="s">
        <v>2053</v>
      </c>
      <c r="D40" s="1582"/>
      <c r="E40" s="2278"/>
      <c r="F40" s="2277"/>
      <c r="G40" s="2277"/>
      <c r="H40" s="2277"/>
      <c r="I40" s="2277"/>
      <c r="J40" s="2277"/>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2054</v>
      </c>
      <c r="B41" s="123">
        <f>B42+B43</f>
        <v>5.5000000000000007E-2</v>
      </c>
      <c r="C41" s="1765"/>
      <c r="D41" s="1582"/>
      <c r="E41" s="2278"/>
      <c r="F41" s="2277"/>
      <c r="G41" s="2277"/>
      <c r="H41" s="2277"/>
      <c r="I41" s="2277"/>
      <c r="J41" s="2277"/>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2055</v>
      </c>
      <c r="B42" s="124">
        <v>0.05</v>
      </c>
      <c r="C42" s="2331">
        <f>IF(B2&lt;DATE(2016,5,1),0,B42)</f>
        <v>0.05</v>
      </c>
      <c r="D42" s="2278"/>
      <c r="E42" s="2277"/>
      <c r="F42" s="2277"/>
      <c r="G42" s="2277"/>
      <c r="H42" s="2277"/>
      <c r="I42" s="2277"/>
      <c r="J42" s="2277"/>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2056</v>
      </c>
      <c r="B43" s="125">
        <f>B42*(B44+B45+B46)+B47</f>
        <v>5.000000000000001E-3</v>
      </c>
      <c r="C43" s="1765"/>
      <c r="D43" s="2278"/>
      <c r="E43" s="2277"/>
      <c r="F43" s="2277"/>
      <c r="G43" s="2277"/>
      <c r="H43" s="2277"/>
      <c r="I43" s="2277"/>
      <c r="J43" s="2277"/>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2057</v>
      </c>
      <c r="B44" s="126">
        <v>0.05</v>
      </c>
      <c r="C44" s="1764" t="s">
        <v>2058</v>
      </c>
      <c r="D44" s="2278"/>
      <c r="E44" s="2277"/>
      <c r="F44" s="2277"/>
      <c r="G44" s="2277"/>
      <c r="H44" s="2277"/>
      <c r="I44" s="2277"/>
      <c r="J44" s="2277"/>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2059</v>
      </c>
      <c r="B45" s="124">
        <v>0.03</v>
      </c>
      <c r="C45" s="1765" t="s">
        <v>2060</v>
      </c>
      <c r="D45" s="2278"/>
      <c r="E45" s="2277"/>
      <c r="F45" s="2277"/>
      <c r="G45" s="2277"/>
      <c r="H45" s="2277"/>
      <c r="I45" s="2277"/>
      <c r="J45" s="2277"/>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2061</v>
      </c>
      <c r="B46" s="124">
        <v>0.02</v>
      </c>
      <c r="C46" s="1765" t="s">
        <v>2062</v>
      </c>
      <c r="D46" s="2278"/>
      <c r="E46" s="2277"/>
      <c r="F46" s="2277"/>
      <c r="G46" s="2277"/>
      <c r="H46" s="2277"/>
      <c r="I46" s="2277"/>
      <c r="J46" s="2277"/>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2063</v>
      </c>
      <c r="B47" s="127"/>
      <c r="C47" s="1765" t="s">
        <v>2064</v>
      </c>
      <c r="D47" s="2278"/>
      <c r="E47" s="2277"/>
      <c r="F47" s="2277"/>
      <c r="G47" s="2277"/>
      <c r="H47" s="2277"/>
      <c r="I47" s="2277"/>
      <c r="J47" s="2277"/>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2065</v>
      </c>
      <c r="B48" s="128">
        <v>0.03</v>
      </c>
      <c r="C48" s="1772" t="s">
        <v>2066</v>
      </c>
      <c r="D48" s="2278"/>
      <c r="E48" s="2277"/>
      <c r="F48" s="2277"/>
      <c r="G48" s="2277"/>
      <c r="H48" s="2277"/>
      <c r="I48" s="2277"/>
      <c r="J48" s="2277"/>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2067</v>
      </c>
      <c r="B49" s="124">
        <v>5.0000000000000001E-4</v>
      </c>
      <c r="C49" s="1772" t="s">
        <v>2068</v>
      </c>
      <c r="D49" s="2278"/>
      <c r="E49" s="2277"/>
      <c r="F49" s="2277"/>
      <c r="G49" s="2277"/>
      <c r="H49" s="2277"/>
      <c r="I49" s="2277"/>
      <c r="J49" s="2277"/>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2069</v>
      </c>
      <c r="B50" s="129">
        <v>1.2E-2</v>
      </c>
      <c r="C50" s="1428"/>
      <c r="D50" s="2278"/>
      <c r="E50" s="2277"/>
      <c r="F50" s="2277"/>
      <c r="G50" s="2277"/>
      <c r="H50" s="2277"/>
      <c r="I50" s="2277"/>
      <c r="J50" s="2277"/>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2070</v>
      </c>
      <c r="B51" s="130">
        <v>0.12</v>
      </c>
      <c r="C51" s="1428"/>
      <c r="D51" s="2278"/>
      <c r="E51" s="2277"/>
      <c r="F51" s="2277"/>
      <c r="G51" s="2277"/>
      <c r="H51" s="2277"/>
      <c r="I51" s="2277"/>
      <c r="J51" s="2277"/>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2071</v>
      </c>
      <c r="B52" s="131">
        <f>SUMIF(A54:A63,B53,B54:B63)</f>
        <v>1.5</v>
      </c>
      <c r="C52" s="1428"/>
      <c r="D52" s="2278"/>
      <c r="E52" s="2277"/>
      <c r="F52" s="2277"/>
      <c r="G52" s="2277"/>
      <c r="H52" s="2277"/>
      <c r="I52" s="2277"/>
      <c r="J52" s="2277"/>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2072</v>
      </c>
      <c r="B53" s="2336" t="s">
        <v>56</v>
      </c>
      <c r="C53" s="1428" t="s">
        <v>2073</v>
      </c>
      <c r="D53" s="2337" t="s">
        <v>2074</v>
      </c>
      <c r="E53" s="2277"/>
      <c r="F53" s="2277"/>
      <c r="G53" s="2277"/>
      <c r="H53" s="2277"/>
      <c r="I53" s="2277"/>
      <c r="J53" s="2277"/>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2075</v>
      </c>
      <c r="B54" s="82"/>
      <c r="C54" s="1428">
        <v>30</v>
      </c>
      <c r="D54" s="2278"/>
      <c r="E54" s="2277"/>
      <c r="F54" s="2277"/>
      <c r="G54" s="2277"/>
      <c r="H54" s="2277"/>
      <c r="I54" s="2277"/>
      <c r="J54" s="2277"/>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2076</v>
      </c>
      <c r="B55" s="82"/>
      <c r="C55" s="1428">
        <v>24</v>
      </c>
      <c r="D55" s="2278"/>
      <c r="E55" s="2277"/>
      <c r="F55" s="2277"/>
      <c r="G55" s="2277"/>
      <c r="H55" s="2277"/>
      <c r="I55" s="2339"/>
      <c r="J55" s="2277"/>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2077</v>
      </c>
      <c r="B56" s="82"/>
      <c r="C56" s="1428">
        <v>18</v>
      </c>
      <c r="D56" s="2278"/>
      <c r="E56" s="2277"/>
      <c r="F56" s="2277"/>
      <c r="G56" s="2277"/>
      <c r="H56" s="2277"/>
      <c r="I56" s="2277"/>
      <c r="J56" s="2277"/>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2078</v>
      </c>
      <c r="B57" s="82"/>
      <c r="C57" s="1428">
        <v>12</v>
      </c>
      <c r="D57" s="2278"/>
      <c r="E57" s="2277"/>
      <c r="F57" s="2277"/>
      <c r="G57" s="2277"/>
      <c r="H57" s="2277"/>
      <c r="I57" s="2277"/>
      <c r="J57" s="2277"/>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2079</v>
      </c>
      <c r="B58" s="82">
        <v>3</v>
      </c>
      <c r="C58" s="1428">
        <v>3</v>
      </c>
      <c r="D58" s="2278"/>
      <c r="E58" s="2277"/>
      <c r="F58" s="2277"/>
      <c r="G58" s="2277"/>
      <c r="H58" s="2277"/>
      <c r="I58" s="2277"/>
      <c r="J58" s="2277"/>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2080</v>
      </c>
      <c r="B59" s="82">
        <v>1.5</v>
      </c>
      <c r="C59" s="1428">
        <v>1.5</v>
      </c>
      <c r="D59" s="2278"/>
      <c r="E59" s="2277"/>
      <c r="F59" s="2277"/>
      <c r="G59" s="2277"/>
      <c r="H59" s="2277"/>
      <c r="I59" s="2277"/>
      <c r="J59" s="2277"/>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2081</v>
      </c>
      <c r="B60" s="82"/>
      <c r="C60" s="2277"/>
      <c r="D60" s="2278"/>
      <c r="E60" s="2277"/>
      <c r="F60" s="2277"/>
      <c r="G60" s="2277"/>
      <c r="H60" s="2277"/>
      <c r="I60" s="2277"/>
      <c r="J60" s="2277"/>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2082</v>
      </c>
      <c r="B61" s="82"/>
      <c r="C61" s="2277"/>
      <c r="D61" s="2278"/>
      <c r="E61" s="2277"/>
      <c r="F61" s="2277"/>
      <c r="G61" s="2277"/>
      <c r="H61" s="2277"/>
      <c r="I61" s="2277"/>
      <c r="J61" s="2277"/>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2083</v>
      </c>
      <c r="B62" s="82"/>
      <c r="C62" s="2277"/>
      <c r="D62" s="2278"/>
      <c r="E62" s="2277"/>
      <c r="F62" s="2277"/>
      <c r="G62" s="2277"/>
      <c r="H62" s="2277"/>
      <c r="I62" s="2277"/>
      <c r="J62" s="2277"/>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2084</v>
      </c>
      <c r="B63" s="132"/>
      <c r="C63" s="2277"/>
      <c r="D63" s="2278"/>
      <c r="E63" s="2277"/>
      <c r="F63" s="2277"/>
      <c r="G63" s="2277"/>
      <c r="H63" s="2277"/>
      <c r="I63" s="2277"/>
      <c r="J63" s="2277"/>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6" t="s">
        <v>2085</v>
      </c>
      <c r="B1" s="3087"/>
      <c r="C1" s="3087"/>
      <c r="D1" s="3087"/>
      <c r="E1" s="3087"/>
      <c r="F1" s="3087"/>
      <c r="G1" s="308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3" t="s">
        <v>2088</v>
      </c>
      <c r="B3" s="1269" t="s">
        <v>2089</v>
      </c>
      <c r="C3" s="2370" t="s">
        <v>2090</v>
      </c>
      <c r="D3" s="2371"/>
      <c r="E3" s="429" t="s">
        <v>2088</v>
      </c>
      <c r="F3" s="2372" t="s">
        <v>2091</v>
      </c>
      <c r="G3" s="2373" t="s">
        <v>2092</v>
      </c>
      <c r="H3" s="2368"/>
      <c r="I3" s="2368"/>
      <c r="J3" s="2368"/>
      <c r="K3" s="2368"/>
      <c r="L3" s="2368"/>
      <c r="M3" s="2368"/>
      <c r="N3" s="2368"/>
      <c r="O3" s="2368"/>
      <c r="P3" s="2368"/>
      <c r="Q3" s="2368"/>
      <c r="R3" s="2368"/>
    </row>
    <row r="4" spans="1:29" ht="41.25">
      <c r="A4" s="429"/>
      <c r="B4" s="1796" t="s">
        <v>2093</v>
      </c>
      <c r="C4" s="2374" t="s">
        <v>2094</v>
      </c>
      <c r="D4" s="2371"/>
      <c r="E4" s="2375"/>
      <c r="F4" s="42" t="s">
        <v>2095</v>
      </c>
      <c r="G4" s="2376" t="s">
        <v>2096</v>
      </c>
      <c r="H4" s="2368"/>
      <c r="I4" s="2368"/>
      <c r="J4" s="2368"/>
      <c r="K4" s="2368"/>
      <c r="L4" s="2368"/>
      <c r="M4" s="2368"/>
      <c r="N4" s="2368"/>
      <c r="O4" s="2368"/>
      <c r="P4" s="2368"/>
      <c r="Q4" s="2368"/>
      <c r="R4" s="2368"/>
    </row>
    <row r="5" spans="1:29" ht="41.25">
      <c r="A5" s="429"/>
      <c r="B5" s="1796" t="s">
        <v>2097</v>
      </c>
      <c r="C5" s="2374" t="s">
        <v>2098</v>
      </c>
      <c r="D5" s="2371"/>
      <c r="E5" s="2375"/>
      <c r="F5" s="1796" t="s">
        <v>2099</v>
      </c>
      <c r="G5" s="2376" t="s">
        <v>2100</v>
      </c>
      <c r="H5" s="2368"/>
      <c r="I5" s="2368"/>
      <c r="J5" s="2368"/>
      <c r="K5" s="2368"/>
      <c r="L5" s="2368"/>
      <c r="M5" s="2368"/>
      <c r="N5" s="2368"/>
      <c r="O5" s="2368"/>
      <c r="P5" s="2368"/>
      <c r="Q5" s="2368"/>
      <c r="R5" s="2368"/>
    </row>
    <row r="6" spans="1:29" ht="54">
      <c r="A6" s="429"/>
      <c r="B6" s="1796" t="s">
        <v>2101</v>
      </c>
      <c r="C6" s="2376" t="s">
        <v>2096</v>
      </c>
      <c r="D6" s="2371"/>
      <c r="E6" s="2375"/>
      <c r="F6" s="1796" t="s">
        <v>2102</v>
      </c>
      <c r="G6" s="2376" t="s">
        <v>2103</v>
      </c>
      <c r="H6" s="2368"/>
      <c r="I6" s="2368"/>
      <c r="J6" s="2368"/>
      <c r="K6" s="2368"/>
      <c r="L6" s="2368"/>
      <c r="M6" s="2368"/>
      <c r="N6" s="2368"/>
      <c r="O6" s="2368"/>
      <c r="P6" s="2368"/>
      <c r="Q6" s="2368"/>
      <c r="R6" s="2368"/>
    </row>
    <row r="7" spans="1:29" ht="41.25" thickBot="1">
      <c r="A7" s="429"/>
      <c r="B7" s="1796" t="s">
        <v>2099</v>
      </c>
      <c r="C7" s="2376" t="s">
        <v>2100</v>
      </c>
      <c r="D7" s="2377"/>
      <c r="E7" s="2378"/>
      <c r="F7" s="2379" t="s">
        <v>2104</v>
      </c>
      <c r="G7" s="2380" t="s">
        <v>2105</v>
      </c>
      <c r="H7" s="2368"/>
      <c r="I7" s="2368"/>
      <c r="J7" s="2368"/>
      <c r="K7" s="2368"/>
      <c r="L7" s="2368"/>
      <c r="M7" s="2368"/>
      <c r="N7" s="2368"/>
      <c r="O7" s="2368"/>
      <c r="P7" s="2368"/>
      <c r="Q7" s="2368"/>
      <c r="R7" s="2368"/>
    </row>
    <row r="8" spans="1:29" ht="27">
      <c r="A8" s="429"/>
      <c r="B8" s="1796" t="s">
        <v>2102</v>
      </c>
      <c r="C8" s="2376" t="s">
        <v>2103</v>
      </c>
      <c r="D8" s="2377"/>
      <c r="E8" s="2377"/>
      <c r="F8" s="1134"/>
      <c r="G8" s="1134"/>
      <c r="H8" s="2368"/>
      <c r="I8" s="2368"/>
      <c r="J8" s="2368"/>
      <c r="K8" s="2368"/>
      <c r="L8" s="2368"/>
      <c r="M8" s="2368"/>
      <c r="N8" s="2368"/>
      <c r="O8" s="2368"/>
      <c r="P8" s="2368"/>
      <c r="Q8" s="2368"/>
      <c r="R8" s="2368"/>
    </row>
    <row r="9" spans="1:29" ht="27">
      <c r="A9" s="429"/>
      <c r="B9" s="1796" t="s">
        <v>2106</v>
      </c>
      <c r="C9" s="2374" t="s">
        <v>2107</v>
      </c>
      <c r="D9" s="2371"/>
      <c r="E9" s="2377"/>
      <c r="F9" s="1134"/>
      <c r="G9" s="1134"/>
      <c r="H9" s="2368"/>
      <c r="I9" s="2368"/>
      <c r="J9" s="2368"/>
      <c r="K9" s="2368"/>
      <c r="L9" s="2368"/>
      <c r="M9" s="2368"/>
      <c r="N9" s="2368"/>
      <c r="O9" s="2368"/>
      <c r="P9" s="2368"/>
      <c r="Q9" s="2368"/>
      <c r="R9" s="2368"/>
    </row>
    <row r="10" spans="1:29" s="115" customFormat="1" ht="15.75" thickBot="1">
      <c r="A10" s="2381"/>
      <c r="B10" s="2382" t="s">
        <v>2108</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5"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6" t="s">
        <v>2112</v>
      </c>
      <c r="B15" s="1268" t="s">
        <v>2089</v>
      </c>
      <c r="C15" s="2403" t="str">
        <f>C3</f>
        <v>估价对象周边居住用地比例、居住小区规模和社区发展完善程度，综合评价居住社区成熟度一般</v>
      </c>
      <c r="D15" s="2371"/>
      <c r="E15" s="2404" t="s">
        <v>2113</v>
      </c>
      <c r="F15" s="1268" t="s">
        <v>2114</v>
      </c>
      <c r="G15" s="133" t="str">
        <f>G3</f>
        <v>估价对象位于XX开发区，园区建设成熟度XX，产业集聚程度XX</v>
      </c>
    </row>
    <row r="16" spans="1:29" ht="42.75">
      <c r="A16" s="643"/>
      <c r="B16" s="2405" t="s">
        <v>2093</v>
      </c>
      <c r="C16" s="2406" t="str">
        <f>C4</f>
        <v>估价对象位于XX商圈，周边商业氛围成熟，人流量大，商业繁华度好</v>
      </c>
      <c r="D16" s="2371"/>
      <c r="E16" s="2407"/>
      <c r="F16" s="2408" t="s">
        <v>2095</v>
      </c>
      <c r="G16" s="134" t="str">
        <f>G4</f>
        <v>估价对象周边道路状况、公共交通通达情况、停车便捷程度，综合评价交通便捷度较好</v>
      </c>
    </row>
    <row r="17" spans="1:18" ht="42.75">
      <c r="A17" s="643"/>
      <c r="B17" s="2405" t="s">
        <v>2097</v>
      </c>
      <c r="C17" s="2406" t="str">
        <f>C5</f>
        <v>估价对象位于XX商圈，周边办公楼项目较多，入驻率高，办公集聚程度较好</v>
      </c>
      <c r="D17" s="2377"/>
      <c r="E17" s="2407"/>
      <c r="F17" s="2408" t="s">
        <v>2115</v>
      </c>
      <c r="G17" s="1570"/>
    </row>
    <row r="18" spans="1:18" ht="57">
      <c r="A18" s="643"/>
      <c r="B18" s="2408" t="s">
        <v>2101</v>
      </c>
      <c r="C18" s="134" t="str">
        <f>C6</f>
        <v>估价对象周边道路状况、公共交通通达情况、停车便捷程度，综合评价交通便捷度较好</v>
      </c>
      <c r="D18" s="2377"/>
      <c r="E18" s="2407"/>
      <c r="F18" s="2408" t="s">
        <v>2104</v>
      </c>
      <c r="G18" s="134" t="str">
        <f>G7</f>
        <v>该园区内是否有污染型企业，绿化情况，卫生条件，整体环境状况判断</v>
      </c>
    </row>
    <row r="19" spans="1:18" ht="28.5">
      <c r="A19" s="643"/>
      <c r="B19" s="2408" t="s">
        <v>2116</v>
      </c>
      <c r="C19" s="1570"/>
      <c r="D19" s="2371"/>
      <c r="E19" s="2407"/>
      <c r="F19" s="1796" t="s">
        <v>2099</v>
      </c>
      <c r="G19" s="134" t="str">
        <f>G5</f>
        <v>估价对象所在区域公共配套设施齐备情况</v>
      </c>
    </row>
    <row r="20" spans="1:18" ht="28.5">
      <c r="A20" s="643"/>
      <c r="B20" s="2408" t="s">
        <v>2117</v>
      </c>
      <c r="C20" s="2406" t="str">
        <f>C9</f>
        <v>区域自然环境：；人文环境；综合评价环境状况一般</v>
      </c>
      <c r="D20" s="2377"/>
      <c r="E20" s="2407"/>
      <c r="F20" s="1796" t="s">
        <v>2118</v>
      </c>
      <c r="G20" s="134" t="str">
        <f>G6</f>
        <v>估价对象所在区域基础设施水平</v>
      </c>
    </row>
    <row r="21" spans="1:18" ht="28.5">
      <c r="A21" s="643"/>
      <c r="B21" s="1796" t="s">
        <v>2099</v>
      </c>
      <c r="C21" s="134" t="str">
        <f>C7</f>
        <v>估价对象所在区域公共配套设施齐备情况</v>
      </c>
      <c r="D21" s="2371"/>
      <c r="E21" s="2407"/>
      <c r="F21" s="2408" t="s">
        <v>2119</v>
      </c>
      <c r="G21" s="2409"/>
    </row>
    <row r="22" spans="1:18" ht="13.5" customHeight="1">
      <c r="A22" s="643"/>
      <c r="B22" s="1796" t="s">
        <v>2102</v>
      </c>
      <c r="C22" s="134" t="str">
        <f>C8</f>
        <v>估价对象所在区域基础设施水平</v>
      </c>
      <c r="D22" s="2371"/>
      <c r="E22" s="2407"/>
      <c r="F22" s="2408" t="s">
        <v>2108</v>
      </c>
      <c r="G22" s="1570"/>
    </row>
    <row r="23" spans="1:18" s="2368" customFormat="1" ht="15.75" thickBot="1">
      <c r="A23" s="643"/>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5">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22" sqref="D22"/>
    </sheetView>
  </sheetViews>
  <sheetFormatPr defaultRowHeight="13.5"/>
  <cols>
    <col min="1" max="1" width="23.375" style="1739" customWidth="1"/>
    <col min="2" max="9" width="15.75" style="1739" customWidth="1"/>
    <col min="10" max="16384" width="9" style="1739"/>
  </cols>
  <sheetData>
    <row r="1" spans="1:10" ht="16.5">
      <c r="A1" s="1744" t="s">
        <v>1365</v>
      </c>
      <c r="B1" s="1744">
        <f>SUM(B14:B23)</f>
        <v>4983.7199999999993</v>
      </c>
      <c r="C1" s="1743"/>
      <c r="D1" s="1743"/>
      <c r="E1" s="1743"/>
      <c r="F1" s="1743"/>
      <c r="G1" s="1741"/>
    </row>
    <row r="2" spans="1:10" ht="16.5">
      <c r="A2" s="1744" t="s">
        <v>1353</v>
      </c>
      <c r="B2" s="1744">
        <f>SUM(C14:C23)</f>
        <v>731</v>
      </c>
      <c r="C2" s="1743"/>
      <c r="D2" s="1743"/>
      <c r="E2" s="1743"/>
      <c r="F2" s="1743"/>
      <c r="G2" s="1741"/>
    </row>
    <row r="3" spans="1:10" ht="16.5">
      <c r="A3" s="1744" t="s">
        <v>1362</v>
      </c>
      <c r="B3" s="1745">
        <f>项目基本情况!D3</f>
        <v>43398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12180</v>
      </c>
      <c r="C5" s="1744">
        <f ca="1">ROUND(B5*10000/$B$1,0)</f>
        <v>24440</v>
      </c>
      <c r="D5" s="1744">
        <f ca="1">ROUND(B5*10000/$B$2,0)</f>
        <v>166621</v>
      </c>
      <c r="E5" s="1743"/>
      <c r="F5" s="1741"/>
      <c r="G5" s="1741"/>
    </row>
    <row r="6" spans="1:10" ht="16.5">
      <c r="A6" s="1744" t="s">
        <v>1356</v>
      </c>
      <c r="B6" s="1744">
        <f ca="1">SUM(G14:G23)</f>
        <v>1962</v>
      </c>
      <c r="C6" s="1744">
        <f ca="1">ROUND(B6*10000/$B$1,0)</f>
        <v>3937</v>
      </c>
      <c r="D6" s="1744">
        <f ca="1">ROUND(B6*10000/$B$2,0)</f>
        <v>26840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709.04</v>
      </c>
      <c r="C14" s="1742">
        <f>结果表!C118</f>
        <v>104</v>
      </c>
      <c r="D14" s="1742">
        <f ca="1">结果表!H118</f>
        <v>1962</v>
      </c>
      <c r="E14" s="1742">
        <f ca="1">ROUND(D14*10000/B14,0)</f>
        <v>27671</v>
      </c>
      <c r="F14" s="1742">
        <f ca="1">ROUND(D14*10000/C14,0)</f>
        <v>188654</v>
      </c>
      <c r="G14" s="1742">
        <f ca="1">结果表!D122</f>
        <v>1962</v>
      </c>
      <c r="H14" s="1742" t="str">
        <f>结果表!D124</f>
        <v>——</v>
      </c>
      <c r="I14" s="1742" t="str">
        <f>结果表!D126</f>
        <v>——</v>
      </c>
      <c r="J14" s="1741"/>
    </row>
    <row r="15" spans="1:10" ht="16.5">
      <c r="A15" s="1740" t="s">
        <v>1349</v>
      </c>
      <c r="B15" s="1747">
        <f>结果汇总!C4</f>
        <v>709.04</v>
      </c>
      <c r="C15" s="1747">
        <f>'数据-汇总表'!D20</f>
        <v>104</v>
      </c>
      <c r="D15" s="1747">
        <f ca="1">ROUND(结果汇总!E4/10000,0)</f>
        <v>1873</v>
      </c>
      <c r="E15" s="1742">
        <f t="shared" ref="E15:E23" ca="1" si="0">ROUND(D15*10000/B15,0)</f>
        <v>26416</v>
      </c>
      <c r="F15" s="1742">
        <f t="shared" ref="F15:F23" ca="1" si="1">ROUND(D15*10000/C15,0)</f>
        <v>180096</v>
      </c>
      <c r="G15" s="1748"/>
      <c r="H15" s="1748"/>
      <c r="I15" s="1747"/>
      <c r="J15" s="1741"/>
    </row>
    <row r="16" spans="1:10" ht="16.5">
      <c r="A16" s="1740" t="s">
        <v>1348</v>
      </c>
      <c r="B16" s="1747">
        <f>结果汇总!C5</f>
        <v>709.04</v>
      </c>
      <c r="C16" s="1747">
        <f>'数据-汇总表'!D21</f>
        <v>104</v>
      </c>
      <c r="D16" s="1747">
        <f ca="1">ROUND(结果汇总!E5/10000,0)</f>
        <v>1883</v>
      </c>
      <c r="E16" s="1742">
        <f t="shared" ca="1" si="0"/>
        <v>26557</v>
      </c>
      <c r="F16" s="1742">
        <f t="shared" ca="1" si="1"/>
        <v>181058</v>
      </c>
      <c r="G16" s="1748"/>
      <c r="H16" s="1748"/>
      <c r="I16" s="1747"/>
    </row>
    <row r="17" spans="1:9" ht="16.5">
      <c r="A17" s="1740" t="s">
        <v>1347</v>
      </c>
      <c r="B17" s="1747">
        <f>结果汇总!C6</f>
        <v>709.04</v>
      </c>
      <c r="C17" s="1747">
        <v>104</v>
      </c>
      <c r="D17" s="1747">
        <f ca="1">ROUND(结果汇总!E6/10000,0)</f>
        <v>1892</v>
      </c>
      <c r="E17" s="1742">
        <f t="shared" ca="1" si="0"/>
        <v>26684</v>
      </c>
      <c r="F17" s="1742">
        <f t="shared" ca="1" si="1"/>
        <v>181923</v>
      </c>
      <c r="G17" s="1748"/>
      <c r="H17" s="1748"/>
      <c r="I17" s="1747"/>
    </row>
    <row r="18" spans="1:9" ht="16.5">
      <c r="A18" s="1740" t="s">
        <v>1346</v>
      </c>
      <c r="B18" s="1747">
        <f>结果汇总!C7</f>
        <v>709.04</v>
      </c>
      <c r="C18" s="1747">
        <v>104</v>
      </c>
      <c r="D18" s="1747">
        <f ca="1">ROUND(结果汇总!E7/10000,0)</f>
        <v>1901</v>
      </c>
      <c r="E18" s="1742">
        <f t="shared" ca="1" si="0"/>
        <v>26811</v>
      </c>
      <c r="F18" s="1742">
        <f t="shared" ca="1" si="1"/>
        <v>182788</v>
      </c>
      <c r="G18" s="1747"/>
      <c r="H18" s="1747"/>
      <c r="I18" s="1747"/>
    </row>
    <row r="19" spans="1:9" ht="16.5">
      <c r="A19" s="1740" t="s">
        <v>1345</v>
      </c>
      <c r="B19" s="1747">
        <f>结果汇总!C8</f>
        <v>709.04</v>
      </c>
      <c r="C19" s="1747">
        <v>104</v>
      </c>
      <c r="D19" s="1747">
        <f ca="1">ROUND(结果汇总!E8/10000,0)</f>
        <v>1911</v>
      </c>
      <c r="E19" s="1742">
        <f t="shared" ca="1" si="0"/>
        <v>26952</v>
      </c>
      <c r="F19" s="1742">
        <f t="shared" ca="1" si="1"/>
        <v>183750</v>
      </c>
      <c r="G19" s="1747"/>
      <c r="H19" s="1747"/>
      <c r="I19" s="1747"/>
    </row>
    <row r="20" spans="1:9" ht="16.5">
      <c r="A20" s="1740" t="s">
        <v>1344</v>
      </c>
      <c r="B20" s="1747">
        <f>结果汇总!C9</f>
        <v>729.48</v>
      </c>
      <c r="C20" s="1747">
        <v>107</v>
      </c>
      <c r="D20" s="1747">
        <f ca="1">ROUND(结果汇总!E9/10000,0)</f>
        <v>758</v>
      </c>
      <c r="E20" s="1742">
        <f t="shared" ca="1" si="0"/>
        <v>10391</v>
      </c>
      <c r="F20" s="1742">
        <f t="shared" ca="1" si="1"/>
        <v>70841</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2122</v>
      </c>
      <c r="B1" s="2419"/>
      <c r="C1" s="2420" t="s">
        <v>3067</v>
      </c>
      <c r="D1" s="2419"/>
      <c r="E1" s="2419"/>
      <c r="F1" s="2421" t="s">
        <v>2123</v>
      </c>
      <c r="G1" s="2071" t="s">
        <v>3057</v>
      </c>
      <c r="H1" s="2422" t="str">
        <f>IF(G1="现房","——","估价对象范围")</f>
        <v>——</v>
      </c>
      <c r="I1" s="2423"/>
    </row>
    <row r="2" spans="1:12" ht="21.75" customHeight="1" thickBot="1">
      <c r="A2" s="3121" t="str">
        <f>项目基本情况!S2</f>
        <v>北京市大兴区黄村镇兴华园8号楼-1至7层8-1房地产</v>
      </c>
      <c r="B2" s="3122"/>
      <c r="C2" s="3122"/>
      <c r="D2" s="3122"/>
      <c r="E2" s="3122"/>
      <c r="F2" s="3122"/>
      <c r="G2" s="3122"/>
      <c r="H2" s="3122"/>
      <c r="I2" s="3123"/>
    </row>
    <row r="3" spans="1:12" ht="12.75">
      <c r="A3" s="3125" t="s">
        <v>2124</v>
      </c>
      <c r="B3" s="3126"/>
      <c r="C3" s="3126"/>
      <c r="D3" s="3126"/>
      <c r="E3" s="3126"/>
      <c r="F3" s="3126"/>
      <c r="G3" s="3126"/>
      <c r="H3" s="3126"/>
      <c r="I3" s="3126"/>
    </row>
    <row r="4" spans="1:12" ht="14.25">
      <c r="A4" s="2426" t="s">
        <v>2125</v>
      </c>
      <c r="B4" s="2427" t="s">
        <v>2126</v>
      </c>
      <c r="C4" s="2428" t="s">
        <v>3108</v>
      </c>
      <c r="D4" s="2428" t="s">
        <v>3076</v>
      </c>
      <c r="E4" s="3118" t="s">
        <v>2127</v>
      </c>
      <c r="F4" s="3119"/>
      <c r="G4" s="3119"/>
      <c r="H4" s="3119"/>
      <c r="I4" s="312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2128</v>
      </c>
      <c r="B5" s="3039">
        <v>25</v>
      </c>
      <c r="C5" s="3104">
        <v>3</v>
      </c>
      <c r="D5" s="3124">
        <v>7</v>
      </c>
      <c r="E5" s="138" t="s">
        <v>2129</v>
      </c>
      <c r="F5" s="2430"/>
      <c r="G5" s="2430"/>
      <c r="H5" s="2430"/>
      <c r="I5" s="1832"/>
    </row>
    <row r="6" spans="1:12" ht="12.75">
      <c r="A6" s="3101"/>
      <c r="B6" s="3039"/>
      <c r="C6" s="3105"/>
      <c r="D6" s="3124"/>
      <c r="E6" s="138" t="s">
        <v>2130</v>
      </c>
      <c r="F6" s="2430"/>
      <c r="G6" s="2430"/>
      <c r="H6" s="2430"/>
      <c r="I6" s="1832"/>
    </row>
    <row r="7" spans="1:12" ht="12.75">
      <c r="A7" s="3101"/>
      <c r="B7" s="3039"/>
      <c r="C7" s="3106"/>
      <c r="D7" s="3124"/>
      <c r="E7" s="138" t="s">
        <v>2131</v>
      </c>
      <c r="F7" s="2430"/>
      <c r="G7" s="2430"/>
      <c r="H7" s="2430"/>
      <c r="I7" s="1832"/>
    </row>
    <row r="8" spans="1:12" ht="12.75">
      <c r="A8" s="3101" t="s">
        <v>2132</v>
      </c>
      <c r="B8" s="3039">
        <v>15</v>
      </c>
      <c r="C8" s="3104"/>
      <c r="D8" s="3124"/>
      <c r="E8" s="138" t="s">
        <v>2133</v>
      </c>
      <c r="F8" s="2430"/>
      <c r="G8" s="2430"/>
      <c r="H8" s="2430"/>
      <c r="I8" s="1832"/>
    </row>
    <row r="9" spans="1:12" ht="12.75">
      <c r="A9" s="3101"/>
      <c r="B9" s="3039"/>
      <c r="C9" s="3106"/>
      <c r="D9" s="3124"/>
      <c r="E9" s="138" t="s">
        <v>2134</v>
      </c>
      <c r="F9" s="2430"/>
      <c r="G9" s="2430"/>
      <c r="H9" s="2430"/>
      <c r="I9" s="1832"/>
    </row>
    <row r="10" spans="1:12" ht="12.75">
      <c r="A10" s="3101" t="s">
        <v>2135</v>
      </c>
      <c r="B10" s="3039">
        <v>15</v>
      </c>
      <c r="C10" s="3104"/>
      <c r="D10" s="3124"/>
      <c r="E10" s="138" t="s">
        <v>2136</v>
      </c>
      <c r="F10" s="2430"/>
      <c r="G10" s="2430"/>
      <c r="H10" s="2430"/>
      <c r="I10" s="1832"/>
    </row>
    <row r="11" spans="1:12" ht="12.75">
      <c r="A11" s="3101"/>
      <c r="B11" s="3039"/>
      <c r="C11" s="3106"/>
      <c r="D11" s="3124"/>
      <c r="E11" s="138" t="s">
        <v>2137</v>
      </c>
      <c r="F11" s="2430"/>
      <c r="G11" s="2430"/>
      <c r="H11" s="2430"/>
      <c r="I11" s="1832"/>
    </row>
    <row r="12" spans="1:12" ht="12.75">
      <c r="A12" s="3101" t="s">
        <v>2138</v>
      </c>
      <c r="B12" s="3039">
        <v>15</v>
      </c>
      <c r="C12" s="3104"/>
      <c r="D12" s="3124"/>
      <c r="E12" s="138" t="s">
        <v>2139</v>
      </c>
      <c r="F12" s="2430"/>
      <c r="G12" s="2430"/>
      <c r="H12" s="2430"/>
      <c r="I12" s="1832"/>
    </row>
    <row r="13" spans="1:12" ht="12.75">
      <c r="A13" s="3101"/>
      <c r="B13" s="3039"/>
      <c r="C13" s="3106"/>
      <c r="D13" s="3124"/>
      <c r="E13" s="138" t="s">
        <v>2140</v>
      </c>
      <c r="F13" s="2430"/>
      <c r="G13" s="2430"/>
      <c r="H13" s="2430"/>
      <c r="I13" s="1832"/>
    </row>
    <row r="14" spans="1:12" ht="12.75">
      <c r="A14" s="3101" t="s">
        <v>2141</v>
      </c>
      <c r="B14" s="3039">
        <v>30</v>
      </c>
      <c r="C14" s="3104"/>
      <c r="D14" s="3124"/>
      <c r="E14" s="138" t="s">
        <v>2142</v>
      </c>
      <c r="F14" s="2430"/>
      <c r="G14" s="2430"/>
      <c r="H14" s="2430"/>
      <c r="I14" s="1832"/>
    </row>
    <row r="15" spans="1:12" ht="12.75">
      <c r="A15" s="3101"/>
      <c r="B15" s="3039"/>
      <c r="C15" s="3105"/>
      <c r="D15" s="3124"/>
      <c r="E15" s="138" t="s">
        <v>2143</v>
      </c>
      <c r="F15" s="2430"/>
      <c r="G15" s="2430"/>
      <c r="H15" s="2430"/>
      <c r="I15" s="1832"/>
    </row>
    <row r="16" spans="1:12" ht="12.75">
      <c r="A16" s="3101"/>
      <c r="B16" s="3039"/>
      <c r="C16" s="3106"/>
      <c r="D16" s="3124"/>
      <c r="E16" s="138" t="s">
        <v>2144</v>
      </c>
      <c r="F16" s="2430"/>
      <c r="G16" s="2430"/>
      <c r="H16" s="2430"/>
      <c r="I16" s="1832"/>
    </row>
    <row r="17" spans="1:35" ht="15">
      <c r="A17" s="2431" t="s">
        <v>2145</v>
      </c>
      <c r="B17" s="62"/>
      <c r="C17" s="139">
        <f>SUM(C5:C16)</f>
        <v>3</v>
      </c>
      <c r="D17" s="139">
        <f>SUM(D5:D16)</f>
        <v>7</v>
      </c>
      <c r="E17" s="136"/>
      <c r="F17" s="136"/>
      <c r="G17" s="136"/>
      <c r="H17" s="136"/>
      <c r="I17" s="136"/>
      <c r="K17" s="2429"/>
      <c r="L17" s="2432" t="s">
        <v>2146</v>
      </c>
      <c r="M17" s="2432" t="s">
        <v>2147</v>
      </c>
    </row>
    <row r="18" spans="1:35" ht="15.75" thickBot="1">
      <c r="A18" s="2433" t="s">
        <v>2148</v>
      </c>
      <c r="B18" s="2434"/>
      <c r="C18" s="140">
        <f>ROUND(C17/SUM(C17:D17),2)</f>
        <v>0.3</v>
      </c>
      <c r="D18" s="140">
        <f>1-C18</f>
        <v>0.7</v>
      </c>
      <c r="E18" s="136"/>
      <c r="F18" s="136"/>
      <c r="G18" s="136"/>
      <c r="H18" s="136"/>
      <c r="I18" s="136"/>
      <c r="K18" s="2429" t="s">
        <v>2149</v>
      </c>
      <c r="L18" s="2429">
        <f>IF(C1="",'数据-汇总表'!E3,SUMIF(项目类型,C1,'数据-汇总表'!E17:E26)+SUMIF(项目类型,C1,'数据-汇总表'!I17:I26))</f>
        <v>709.04</v>
      </c>
      <c r="M18" s="2429">
        <f>IF(C1="",'数据-汇总表'!E3,SUMIF(项目类型,C1,'数据-汇总表'!E17:E26))</f>
        <v>709.04</v>
      </c>
    </row>
    <row r="19" spans="1:35" ht="15">
      <c r="A19" s="2435" t="s">
        <v>2150</v>
      </c>
      <c r="B19" s="2436" t="s">
        <v>2151</v>
      </c>
      <c r="C19" s="141">
        <f ca="1">SUMIF(INDIRECT("'"&amp;C4&amp;"'"&amp;"!A:A"),结果表!B19,INDIRECT("'"&amp;C4&amp;"'"&amp;"!B:B"))</f>
        <v>1774</v>
      </c>
      <c r="D19" s="142">
        <f ca="1">SUMIF(INDIRECT("'"&amp;D4&amp;"'"&amp;"!A:A"),结果表!B19,INDIRECT("'"&amp;D4&amp;"'"&amp;"!B:B"))</f>
        <v>2043</v>
      </c>
      <c r="E19" s="2435" t="s">
        <v>2152</v>
      </c>
      <c r="F19" s="2436" t="s">
        <v>2151</v>
      </c>
      <c r="G19" s="143">
        <f ca="1">ROUND(C19*$C$18+D19*$D$18,0)</f>
        <v>1962</v>
      </c>
      <c r="H19" s="2437" t="s">
        <v>2153</v>
      </c>
      <c r="I19" s="136"/>
      <c r="K19" s="2429" t="s">
        <v>2154</v>
      </c>
      <c r="L19" s="2429">
        <f>IF(C1="",'数据-汇总表'!D3,SUMIF(项目类型,C1,'数据-汇总表'!D17:D26)+SUMIF(项目类型,C1,'数据-汇总表'!H17:H27))</f>
        <v>104</v>
      </c>
      <c r="M19" s="2429">
        <f>IF(C1="",'数据-汇总表'!D3,SUMIF(项目类型,C1,'数据-汇总表'!D17:D26))</f>
        <v>104</v>
      </c>
    </row>
    <row r="20" spans="1:35" ht="15">
      <c r="A20" s="2438"/>
      <c r="B20" s="1248" t="s">
        <v>2155</v>
      </c>
      <c r="C20" s="144">
        <f ca="1">SUMIF(INDIRECT("'"&amp;C4&amp;"'"&amp;"!A:A"),结果表!B20,INDIRECT("'"&amp;C4&amp;"'"&amp;"!B:B"))</f>
        <v>25020</v>
      </c>
      <c r="D20" s="145">
        <f ca="1">SUMIF(INDIRECT("'"&amp;D4&amp;"'"&amp;"!A:A"),结果表!B20,INDIRECT("'"&amp;D4&amp;"'"&amp;"!B:B"))</f>
        <v>28809</v>
      </c>
      <c r="E20" s="2438"/>
      <c r="F20" s="1248" t="s">
        <v>2155</v>
      </c>
      <c r="G20" s="146">
        <f ca="1">ROUND(C20*$C$18+D20*$D$18,0)</f>
        <v>27672</v>
      </c>
      <c r="H20" s="981" t="s">
        <v>2156</v>
      </c>
      <c r="I20" s="136"/>
    </row>
    <row r="21" spans="1:35" ht="15" customHeight="1" thickBot="1">
      <c r="A21" s="1001"/>
      <c r="B21" s="2439" t="s">
        <v>2157</v>
      </c>
      <c r="C21" s="787">
        <f ca="1">ROUND(C19*10000/L19,0)</f>
        <v>170577</v>
      </c>
      <c r="D21" s="788">
        <f ca="1">ROUND(D19*10000/L19,0)</f>
        <v>196442</v>
      </c>
      <c r="E21" s="1001"/>
      <c r="F21" s="2439" t="s">
        <v>2157</v>
      </c>
      <c r="G21" s="147">
        <f ca="1">ROUND(G19*10000/L19,0)</f>
        <v>188654</v>
      </c>
      <c r="H21" s="2440" t="s">
        <v>2156</v>
      </c>
      <c r="I21" s="136"/>
    </row>
    <row r="22" spans="1:35" ht="15" thickBot="1">
      <c r="A22" s="2281" t="s">
        <v>2158</v>
      </c>
      <c r="B22" s="2441"/>
      <c r="C22" s="2442"/>
      <c r="D22" s="789">
        <f ca="1">IF(C19&lt;D19,D19/C19-1,C19/D19-1)</f>
        <v>0.15163472378804954</v>
      </c>
      <c r="E22" s="136"/>
      <c r="F22" s="136"/>
      <c r="G22" s="136"/>
      <c r="H22" s="136"/>
      <c r="I22" s="136"/>
    </row>
    <row r="23" spans="1:35" ht="13.5" thickBot="1">
      <c r="A23" s="2419"/>
      <c r="B23" s="2419"/>
      <c r="C23" s="2419"/>
      <c r="D23" s="2419"/>
      <c r="E23" s="136"/>
      <c r="F23" s="136"/>
      <c r="G23" s="136"/>
      <c r="H23" s="136"/>
      <c r="I23" s="136"/>
    </row>
    <row r="24" spans="1:35" ht="14.25">
      <c r="A24" s="3095" t="s">
        <v>2159</v>
      </c>
      <c r="B24" s="2436" t="s">
        <v>2151</v>
      </c>
      <c r="C24" s="143">
        <f>IF(B30=0,0,D30)</f>
        <v>0</v>
      </c>
      <c r="D24" s="2443"/>
      <c r="E24" s="136"/>
      <c r="F24" s="136"/>
      <c r="G24" s="136"/>
      <c r="H24" s="136"/>
      <c r="I24" s="136"/>
    </row>
    <row r="25" spans="1:35" ht="14.25">
      <c r="A25" s="3096"/>
      <c r="B25" s="1248" t="s">
        <v>2155</v>
      </c>
      <c r="C25" s="148">
        <f>IF(B30=0,0,C30)</f>
        <v>0</v>
      </c>
      <c r="D25" s="2444"/>
      <c r="E25" s="136"/>
      <c r="F25" s="136"/>
      <c r="G25" s="136"/>
      <c r="H25" s="136"/>
      <c r="I25" s="136"/>
    </row>
    <row r="26" spans="1:35" ht="13.5" customHeight="1">
      <c r="A26" s="2445" t="s">
        <v>2160</v>
      </c>
      <c r="B26" s="149" t="s">
        <v>2161</v>
      </c>
      <c r="C26" s="149" t="s">
        <v>2162</v>
      </c>
      <c r="D26" s="150" t="s">
        <v>2163</v>
      </c>
      <c r="E26" s="136"/>
      <c r="F26" s="136"/>
      <c r="G26" s="136"/>
      <c r="H26" s="136"/>
      <c r="I26" s="136"/>
    </row>
    <row r="27" spans="1:35" ht="14.25">
      <c r="A27" s="2445"/>
      <c r="B27" s="149">
        <v>0</v>
      </c>
      <c r="C27" s="149">
        <v>0</v>
      </c>
      <c r="D27" s="150">
        <f>ROUND(C27*B27/10000,0)</f>
        <v>0</v>
      </c>
      <c r="E27" s="136"/>
      <c r="F27" s="136"/>
      <c r="G27" s="136"/>
      <c r="H27" s="136"/>
      <c r="I27" s="136"/>
    </row>
    <row r="28" spans="1:35" ht="14.25">
      <c r="A28" s="2445"/>
      <c r="B28" s="149"/>
      <c r="C28" s="149"/>
      <c r="D28" s="150"/>
      <c r="E28" s="136"/>
      <c r="F28" s="136"/>
      <c r="G28" s="136"/>
      <c r="H28" s="136"/>
      <c r="I28" s="136"/>
    </row>
    <row r="29" spans="1:35" ht="14.25">
      <c r="A29" s="2445"/>
      <c r="B29" s="149"/>
      <c r="C29" s="149"/>
      <c r="D29" s="150"/>
      <c r="E29" s="136"/>
      <c r="F29" s="136"/>
      <c r="G29" s="136"/>
      <c r="H29" s="136"/>
      <c r="I29" s="136"/>
    </row>
    <row r="30" spans="1:35" ht="14.25">
      <c r="A30" s="149" t="s">
        <v>2164</v>
      </c>
      <c r="B30" s="149"/>
      <c r="C30" s="149"/>
      <c r="D30" s="149"/>
      <c r="E30" s="2928" t="s">
        <v>3037</v>
      </c>
      <c r="F30" s="136"/>
      <c r="G30" s="136"/>
      <c r="H30" s="136"/>
      <c r="I30" s="136"/>
    </row>
    <row r="31" spans="1:35" s="2447" customFormat="1" ht="15" thickBot="1">
      <c r="A31" s="2446"/>
      <c r="B31" s="2446"/>
      <c r="C31" s="2446"/>
      <c r="D31" s="2446"/>
      <c r="E31" s="136"/>
      <c r="F31" s="136"/>
      <c r="G31" s="136"/>
      <c r="H31" s="136"/>
      <c r="I31" s="136"/>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2165</v>
      </c>
      <c r="B32" s="2449"/>
      <c r="C32" s="151">
        <f ca="1">IF(D32="总价",G19-C24,G20-C25)</f>
        <v>1962</v>
      </c>
      <c r="D32" s="2450" t="s">
        <v>2166</v>
      </c>
      <c r="E32" s="136"/>
      <c r="F32" s="136"/>
      <c r="G32" s="136"/>
      <c r="H32" s="136"/>
      <c r="I32" s="136"/>
    </row>
    <row r="33" spans="1:15" ht="15">
      <c r="A33" s="958" t="s">
        <v>2167</v>
      </c>
      <c r="B33" s="2451"/>
      <c r="C33" s="2452"/>
      <c r="D33" s="2453"/>
      <c r="E33" s="2454" t="s">
        <v>2168</v>
      </c>
      <c r="F33" s="2455" t="str">
        <f>IF(D32="楼面单价","取值（单价）","取值（总价）")</f>
        <v>取值（总价）</v>
      </c>
      <c r="G33" s="136"/>
      <c r="H33" s="136"/>
      <c r="I33" s="136"/>
    </row>
    <row r="34" spans="1:15" ht="15">
      <c r="A34" s="2456"/>
      <c r="B34" s="2457" t="s">
        <v>2169</v>
      </c>
      <c r="C34" s="155" t="e">
        <f ca="1">IF(C33="自定义",F34,C32-C35)</f>
        <v>#REF!</v>
      </c>
      <c r="D34" s="1056" t="e">
        <f ca="1">IF(C33="自定义",ROUND(C34/C32,3),IF(C33="收益比率",SUMIF(INDIRECT("'"&amp;D33&amp;"'"&amp;"!b:b"),"土地收益比率",INDIRECT("'"&amp;D33&amp;"'"&amp;"!c:c")),SUMIF(INDIRECT("'"&amp;D33&amp;"'"&amp;"!b:b"),"土地成本比率",INDIRECT("'"&amp;D33&amp;"'"&amp;"!c:c"))))</f>
        <v>#REF!</v>
      </c>
      <c r="E34" s="2458" t="s">
        <v>2170</v>
      </c>
      <c r="F34" s="1737"/>
      <c r="G34" s="136"/>
      <c r="H34" s="136"/>
      <c r="I34" s="136"/>
    </row>
    <row r="35" spans="1:15" ht="15.75" thickBot="1">
      <c r="A35" s="2459"/>
      <c r="B35" s="2460"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2172</v>
      </c>
      <c r="F35" s="161"/>
      <c r="G35" s="136"/>
      <c r="H35" s="136"/>
      <c r="I35" s="136"/>
    </row>
    <row r="36" spans="1:15" ht="15.75" thickBot="1">
      <c r="A36" s="3113" t="s">
        <v>2173</v>
      </c>
      <c r="B36" s="2462" t="s">
        <v>2174</v>
      </c>
      <c r="C36" s="152"/>
      <c r="D36" s="2463"/>
      <c r="E36" s="2464"/>
      <c r="F36" s="2465"/>
      <c r="G36" s="136"/>
      <c r="H36" s="136"/>
      <c r="I36" s="136"/>
    </row>
    <row r="37" spans="1:15" ht="15.75" thickBot="1">
      <c r="A37" s="3114"/>
      <c r="B37" s="2267" t="s">
        <v>2175</v>
      </c>
      <c r="C37" s="154"/>
      <c r="D37" s="1393"/>
      <c r="E37" s="1393"/>
      <c r="F37" s="2465"/>
      <c r="G37" s="136"/>
      <c r="H37" s="136"/>
      <c r="I37" s="136"/>
    </row>
    <row r="38" spans="1:15" ht="15.75" thickBot="1">
      <c r="A38" s="3115"/>
      <c r="B38" s="2466" t="s">
        <v>2176</v>
      </c>
      <c r="C38" s="725"/>
      <c r="D38" s="2467" t="s">
        <v>2177</v>
      </c>
      <c r="E38" s="1393"/>
      <c r="F38" s="2465"/>
      <c r="G38" s="136"/>
      <c r="H38" s="136"/>
      <c r="I38" s="136"/>
    </row>
    <row r="39" spans="1:15" ht="15">
      <c r="A39" s="2438" t="s">
        <v>2178</v>
      </c>
      <c r="B39" s="2468" t="s">
        <v>2179</v>
      </c>
      <c r="C39" s="2469" t="s">
        <v>2180</v>
      </c>
      <c r="D39" s="2469" t="s">
        <v>2181</v>
      </c>
      <c r="E39" s="2470" t="s">
        <v>2182</v>
      </c>
      <c r="F39" s="2465"/>
      <c r="G39" s="136"/>
      <c r="H39" s="136"/>
      <c r="I39" s="136"/>
    </row>
    <row r="40" spans="1:15" ht="14.25">
      <c r="A40" s="2471" t="s">
        <v>2183</v>
      </c>
      <c r="B40" s="156"/>
      <c r="C40" s="157"/>
      <c r="D40" s="157"/>
      <c r="E40" s="158"/>
      <c r="F40" s="2465"/>
      <c r="G40" s="136"/>
      <c r="H40" s="136"/>
      <c r="I40" s="136"/>
    </row>
    <row r="41" spans="1:15" ht="14.25">
      <c r="A41" s="2471" t="s">
        <v>2184</v>
      </c>
      <c r="B41" s="156"/>
      <c r="C41" s="157"/>
      <c r="D41" s="157"/>
      <c r="E41" s="158"/>
      <c r="F41" s="2465"/>
      <c r="G41" s="136"/>
      <c r="H41" s="136"/>
      <c r="I41" s="136"/>
    </row>
    <row r="42" spans="1:15" ht="15" thickBot="1">
      <c r="A42" s="2472"/>
      <c r="B42" s="159"/>
      <c r="C42" s="160"/>
      <c r="D42" s="160"/>
      <c r="E42" s="161"/>
      <c r="F42" s="2465"/>
      <c r="G42" s="136"/>
      <c r="H42" s="136"/>
      <c r="I42" s="136"/>
    </row>
    <row r="43" spans="1:15" ht="12.75">
      <c r="A43" s="2166"/>
      <c r="B43" s="2166"/>
      <c r="C43" s="2166"/>
      <c r="D43" s="2166"/>
      <c r="E43" s="2166"/>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092" t="s">
        <v>2187</v>
      </c>
      <c r="B45" s="3093"/>
      <c r="C45" s="3094"/>
      <c r="D45" s="162">
        <f ca="1">ROUND(H101*F45,0)</f>
        <v>1962</v>
      </c>
      <c r="E45" s="163" t="s">
        <v>2188</v>
      </c>
      <c r="F45" s="164">
        <v>1</v>
      </c>
      <c r="G45" s="165" t="s">
        <v>2189</v>
      </c>
      <c r="H45" s="136"/>
      <c r="I45" s="136"/>
      <c r="J45" s="3152" t="s">
        <v>2190</v>
      </c>
      <c r="K45" s="3152"/>
      <c r="L45" s="3152"/>
      <c r="M45" s="3152"/>
      <c r="N45" s="3152"/>
      <c r="O45" s="3152"/>
    </row>
    <row r="46" spans="1:15" ht="14.25" customHeight="1">
      <c r="A46" s="3089" t="s">
        <v>2191</v>
      </c>
      <c r="B46" s="3090"/>
      <c r="C46" s="3090"/>
      <c r="D46" s="3090"/>
      <c r="E46" s="3090"/>
      <c r="F46" s="3090"/>
      <c r="G46" s="3091"/>
      <c r="H46" s="2481"/>
      <c r="I46" s="166"/>
      <c r="J46" s="1810">
        <v>1</v>
      </c>
      <c r="K46" s="3152" t="s">
        <v>2192</v>
      </c>
      <c r="L46" s="3152"/>
      <c r="M46" s="3172"/>
      <c r="N46" s="3172"/>
      <c r="O46" s="3172"/>
    </row>
    <row r="47" spans="1:15" ht="12" customHeight="1">
      <c r="A47" s="167" t="s">
        <v>2193</v>
      </c>
      <c r="B47" s="168"/>
      <c r="C47" s="169"/>
      <c r="D47" s="170" t="s">
        <v>2194</v>
      </c>
      <c r="E47" s="24" t="s">
        <v>2195</v>
      </c>
      <c r="F47" s="171" t="s">
        <v>2196</v>
      </c>
      <c r="G47" s="172" t="s">
        <v>2197</v>
      </c>
      <c r="H47" s="2481"/>
      <c r="I47" s="166"/>
      <c r="J47" s="1810">
        <v>2</v>
      </c>
      <c r="K47" s="3152" t="s">
        <v>2198</v>
      </c>
      <c r="L47" s="3152"/>
      <c r="M47" s="3173">
        <f>'数据-取费表'!B2</f>
        <v>43398</v>
      </c>
      <c r="N47" s="3173"/>
      <c r="O47" s="3173"/>
    </row>
    <row r="48" spans="1:15" ht="25.5">
      <c r="A48" s="3120" t="s">
        <v>2199</v>
      </c>
      <c r="B48" s="3103"/>
      <c r="C48" s="3103"/>
      <c r="D48" s="138">
        <f>IF(H48="情况1",0,IF(H48="情况2",D52,IF(H48="情况3",D53,IF(H48="情况4",D54))))</f>
        <v>0</v>
      </c>
      <c r="E48" s="1799" t="str">
        <f>IF(H48="情况4","(销售额-原购置价)×税（费）率","销售额×税（费）率")</f>
        <v>销售额×税（费）率</v>
      </c>
      <c r="F48" s="173" t="str">
        <f>IF(H48="情况1","免征",'数据-取费表'!B41)</f>
        <v>免征</v>
      </c>
      <c r="G48" s="2482" t="s">
        <v>2200</v>
      </c>
      <c r="H48" s="2483" t="s">
        <v>2201</v>
      </c>
      <c r="I48" s="2481"/>
      <c r="J48" s="1810">
        <v>3</v>
      </c>
      <c r="K48" s="3152" t="s">
        <v>2202</v>
      </c>
      <c r="L48" s="3152"/>
      <c r="M48" s="3174">
        <f ca="1">H101</f>
        <v>1962</v>
      </c>
      <c r="N48" s="3174"/>
      <c r="O48" s="3174"/>
    </row>
    <row r="49" spans="1:35" ht="25.5" customHeight="1">
      <c r="A49" s="174" t="s">
        <v>2203</v>
      </c>
      <c r="B49" s="3088" t="s">
        <v>2204</v>
      </c>
      <c r="C49" s="3088"/>
      <c r="D49" s="175">
        <v>0</v>
      </c>
      <c r="E49" s="23" t="s">
        <v>2205</v>
      </c>
      <c r="F49" s="28" t="s">
        <v>34</v>
      </c>
      <c r="G49" s="3158"/>
      <c r="H49" s="136"/>
      <c r="I49" s="2484"/>
      <c r="J49" s="1810">
        <v>4</v>
      </c>
      <c r="K49" s="3152" t="str">
        <f>IF(项目基本情况!E8="房地产抵押价值","房地产抵押价值","抵押担保权已注销时的房地产抵押价值")</f>
        <v>抵押担保权已注销时的房地产抵押价值</v>
      </c>
      <c r="L49" s="3152"/>
      <c r="M49" s="3174" t="str">
        <f>IF(项目基本情况!E8="房地产抵押价值",H107,H109)</f>
        <v>——</v>
      </c>
      <c r="N49" s="3174"/>
      <c r="O49" s="3174"/>
    </row>
    <row r="50" spans="1:35" ht="25.5" customHeight="1">
      <c r="A50" s="176"/>
      <c r="B50" s="3088" t="s">
        <v>2206</v>
      </c>
      <c r="C50" s="3088"/>
      <c r="D50" s="177"/>
      <c r="E50" s="31"/>
      <c r="F50" s="178"/>
      <c r="G50" s="3159"/>
      <c r="H50" s="136"/>
      <c r="I50" s="2484"/>
      <c r="J50" s="3152" t="s">
        <v>2207</v>
      </c>
      <c r="K50" s="3152"/>
      <c r="L50" s="3152"/>
      <c r="M50" s="3152"/>
      <c r="N50" s="3152"/>
      <c r="O50" s="3152"/>
    </row>
    <row r="51" spans="1:35" ht="12" customHeight="1">
      <c r="A51" s="179"/>
      <c r="B51" s="3088" t="s">
        <v>2208</v>
      </c>
      <c r="C51" s="3088"/>
      <c r="D51" s="180"/>
      <c r="E51" s="30"/>
      <c r="F51" s="178"/>
      <c r="G51" s="3160"/>
      <c r="H51" s="136"/>
      <c r="I51" s="2484"/>
      <c r="J51" s="2485" t="s">
        <v>2209</v>
      </c>
      <c r="K51" s="3152" t="s">
        <v>2210</v>
      </c>
      <c r="L51" s="3152"/>
      <c r="M51" s="2485" t="s">
        <v>2211</v>
      </c>
      <c r="N51" s="2485" t="s">
        <v>2212</v>
      </c>
      <c r="O51" s="2485" t="s">
        <v>2213</v>
      </c>
    </row>
    <row r="52" spans="1:35" ht="24" customHeight="1">
      <c r="A52" s="181" t="s">
        <v>2214</v>
      </c>
      <c r="B52" s="3088" t="s">
        <v>2215</v>
      </c>
      <c r="C52" s="3088"/>
      <c r="D52" s="180">
        <f ca="1">ROUND(D45*'数据-取费表'!B41/(1+'数据-取费表'!C42),0)</f>
        <v>103</v>
      </c>
      <c r="E52" s="11" t="s">
        <v>2216</v>
      </c>
      <c r="F52" s="182">
        <f>'数据-取费表'!B41</f>
        <v>5.5000000000000007E-2</v>
      </c>
      <c r="G52" s="2486"/>
      <c r="H52" s="136"/>
      <c r="I52" s="2484"/>
      <c r="J52" s="1810">
        <v>1</v>
      </c>
      <c r="K52" s="3153" t="s">
        <v>2217</v>
      </c>
      <c r="L52" s="3153"/>
      <c r="M52" s="1752">
        <f>D48</f>
        <v>0</v>
      </c>
      <c r="N52" s="1810" t="str">
        <f>E48</f>
        <v>销售额×税（费）率</v>
      </c>
      <c r="O52" s="1753" t="str">
        <f>F48</f>
        <v>免征</v>
      </c>
    </row>
    <row r="53" spans="1:35" ht="12" customHeight="1">
      <c r="A53" s="181" t="s">
        <v>2218</v>
      </c>
      <c r="B53" s="3111" t="s">
        <v>2219</v>
      </c>
      <c r="C53" s="3112"/>
      <c r="D53" s="180">
        <f ca="1">ROUND(D45*'数据-取费表'!B41/(1+'数据-取费表'!C42),0)</f>
        <v>103</v>
      </c>
      <c r="E53" s="11" t="s">
        <v>2216</v>
      </c>
      <c r="F53" s="182">
        <f>'数据-取费表'!B41</f>
        <v>5.5000000000000007E-2</v>
      </c>
      <c r="G53" s="2486"/>
      <c r="H53" s="136"/>
      <c r="I53" s="2484"/>
      <c r="J53" s="1810">
        <v>2</v>
      </c>
      <c r="K53" s="3153" t="s">
        <v>2220</v>
      </c>
      <c r="L53" s="3153"/>
      <c r="M53" s="1752">
        <f t="shared" ref="M53:O54" ca="1" si="0">D55</f>
        <v>1</v>
      </c>
      <c r="N53" s="1810" t="str">
        <f t="shared" si="0"/>
        <v>销售额×税（费）率</v>
      </c>
      <c r="O53" s="1753">
        <f t="shared" si="0"/>
        <v>5.0000000000000001E-4</v>
      </c>
    </row>
    <row r="54" spans="1:35" ht="12" customHeight="1">
      <c r="A54" s="181" t="s">
        <v>2221</v>
      </c>
      <c r="B54" s="3111" t="s">
        <v>2222</v>
      </c>
      <c r="C54" s="3112"/>
      <c r="D54" s="180">
        <f ca="1">C68</f>
        <v>103</v>
      </c>
      <c r="E54" s="30" t="s">
        <v>2223</v>
      </c>
      <c r="F54" s="182">
        <f>'数据-取费表'!B41</f>
        <v>5.5000000000000007E-2</v>
      </c>
      <c r="G54" s="2486"/>
      <c r="H54" s="2487"/>
      <c r="I54" s="2484"/>
      <c r="J54" s="1810">
        <v>3</v>
      </c>
      <c r="K54" s="3153" t="s">
        <v>2224</v>
      </c>
      <c r="L54" s="3153"/>
      <c r="M54" s="1752">
        <f t="shared" ca="1" si="0"/>
        <v>1113</v>
      </c>
      <c r="N54" s="1810" t="str">
        <f t="shared" si="0"/>
        <v>增值额×税（费）率</v>
      </c>
      <c r="O54" s="1754" t="str">
        <f t="shared" si="0"/>
        <v>——</v>
      </c>
    </row>
    <row r="55" spans="1:35" ht="24" customHeight="1">
      <c r="A55" s="3102" t="s">
        <v>2225</v>
      </c>
      <c r="B55" s="3103"/>
      <c r="C55" s="3103"/>
      <c r="D55" s="183">
        <f ca="1">IF(H55="个人住宅",0,ROUND(D45*I55,0))</f>
        <v>1</v>
      </c>
      <c r="E55" s="11" t="s">
        <v>2226</v>
      </c>
      <c r="F55" s="182">
        <f>IF(H55="正常",I55,"免征")</f>
        <v>5.0000000000000001E-4</v>
      </c>
      <c r="G55" s="2486"/>
      <c r="H55" s="2483" t="s">
        <v>2227</v>
      </c>
      <c r="I55" s="184">
        <f>'数据-取费表'!B49</f>
        <v>5.0000000000000001E-4</v>
      </c>
      <c r="J55" s="1810" t="str">
        <f>IF(H59="非个人房产","",4)</f>
        <v/>
      </c>
      <c r="K55" s="3153" t="str">
        <f>IF(H59="非个人房产","——","个人所得税")</f>
        <v>——</v>
      </c>
      <c r="L55" s="3153"/>
      <c r="M55" s="1755" t="str">
        <f>D59</f>
        <v>——</v>
      </c>
      <c r="N55" s="1808" t="str">
        <f>E59</f>
        <v>——</v>
      </c>
      <c r="O55" s="1756" t="str">
        <f>F59</f>
        <v>——</v>
      </c>
    </row>
    <row r="56" spans="1:35" ht="24.75">
      <c r="A56" s="3102" t="s">
        <v>2228</v>
      </c>
      <c r="B56" s="3103"/>
      <c r="C56" s="3103"/>
      <c r="D56" s="183">
        <f ca="1">IF(H56="个人住宅",D57,D58)</f>
        <v>1113</v>
      </c>
      <c r="E56" s="11" t="s">
        <v>2229</v>
      </c>
      <c r="F56" s="182" t="str">
        <f>IF(H56="正常",F58,"免征")</f>
        <v>——</v>
      </c>
      <c r="G56" s="2488" t="s">
        <v>2230</v>
      </c>
      <c r="H56" s="2489" t="s">
        <v>2227</v>
      </c>
      <c r="I56" s="2490"/>
      <c r="J56" s="1810" t="str">
        <f>IF(项目基本情况!K6="上海银行",IF(J55="",4,J55+1),"")</f>
        <v/>
      </c>
      <c r="K56" s="3176" t="str">
        <f>IF(项目基本情况!K6="上海银行","其他处置费用","")</f>
        <v/>
      </c>
      <c r="L56" s="3177"/>
      <c r="M56" s="1752" t="str">
        <f>IF(项目基本情况!K6="上海银行",M69,"")</f>
        <v/>
      </c>
      <c r="N56" s="3179" t="str">
        <f>IF(项目基本情况!K6="上海银行","包含处置中涉及的律师、诉讼、拍卖、评估等费用","")</f>
        <v/>
      </c>
      <c r="O56" s="3180"/>
    </row>
    <row r="57" spans="1:35" ht="12.75">
      <c r="A57" s="181" t="s">
        <v>2203</v>
      </c>
      <c r="B57" s="3118" t="s">
        <v>2231</v>
      </c>
      <c r="C57" s="3127"/>
      <c r="D57" s="185">
        <v>0</v>
      </c>
      <c r="E57" s="23" t="s">
        <v>2205</v>
      </c>
      <c r="F57" s="153"/>
      <c r="G57" s="2486"/>
      <c r="H57" s="2490"/>
      <c r="I57" s="2490"/>
      <c r="J57" s="3153">
        <f>IF(AND(J55="",J56=""),4,IF(项目基本情况!K6="上海银行",结果表!J56+1,结果表!J55+1))</f>
        <v>4</v>
      </c>
      <c r="K57" s="3153" t="s">
        <v>2232</v>
      </c>
      <c r="L57" s="2491" t="s">
        <v>2233</v>
      </c>
      <c r="M57" s="1757"/>
      <c r="N57" s="1758">
        <f ca="1">SUMIF(M52:M56,"&lt;9e307")</f>
        <v>1114</v>
      </c>
      <c r="O57" s="2492"/>
      <c r="P57" s="1751" t="e">
        <f ca="1">N57/M49</f>
        <v>#VALUE!</v>
      </c>
    </row>
    <row r="58" spans="1:35" ht="24.75">
      <c r="A58" s="181" t="s">
        <v>2214</v>
      </c>
      <c r="B58" s="3118" t="s">
        <v>2234</v>
      </c>
      <c r="C58" s="3119"/>
      <c r="D58" s="183">
        <f ca="1">IF(H58="转让取得",C81,C97)</f>
        <v>1113</v>
      </c>
      <c r="E58" s="11" t="s">
        <v>2229</v>
      </c>
      <c r="F58" s="24" t="s">
        <v>34</v>
      </c>
      <c r="G58" s="2486"/>
      <c r="H58" s="2489" t="s">
        <v>2235</v>
      </c>
      <c r="I58" s="2490"/>
      <c r="J58" s="3153"/>
      <c r="K58" s="3153"/>
      <c r="L58" s="2491" t="s">
        <v>2236</v>
      </c>
      <c r="M58" s="1759"/>
      <c r="N58" s="2493" t="str">
        <f ca="1">NUMBERSTRING(INT(N57*10000),2)&amp;"元整"</f>
        <v>壹仟壹佰壹拾肆万元整</v>
      </c>
      <c r="O58" s="2494"/>
    </row>
    <row r="59" spans="1:35" ht="24.75" thickBot="1">
      <c r="A59" s="3156" t="s">
        <v>2237</v>
      </c>
      <c r="B59" s="3157"/>
      <c r="C59" s="3157"/>
      <c r="D59" s="186" t="str">
        <f>IF(H59="非个人房产","——",IF(H59="个人住宅",0,ROUND(D45*I59,0)))</f>
        <v>——</v>
      </c>
      <c r="E59" s="187" t="str">
        <f>IF(H59="非个人房产","——","销售额×税（费）率")</f>
        <v>——</v>
      </c>
      <c r="F59" s="188" t="str">
        <f>IF(H59="非个人房产","——",IF(H59="个人住宅","免征",I59))</f>
        <v>——</v>
      </c>
      <c r="G59" s="2495" t="s">
        <v>2230</v>
      </c>
      <c r="H59" s="2489" t="s">
        <v>2238</v>
      </c>
      <c r="I59" s="189">
        <v>0.01</v>
      </c>
      <c r="J59" s="3154">
        <f>J57+1</f>
        <v>5</v>
      </c>
      <c r="K59" s="3153" t="s">
        <v>2239</v>
      </c>
      <c r="L59" s="1810" t="s">
        <v>2233</v>
      </c>
      <c r="M59" s="1760"/>
      <c r="N59" s="1761" t="e">
        <f ca="1">M49-N57</f>
        <v>#VALUE!</v>
      </c>
      <c r="O59" s="2496"/>
    </row>
    <row r="60" spans="1:35" ht="12" customHeight="1">
      <c r="A60" s="2497"/>
      <c r="B60" s="2419"/>
      <c r="C60" s="2419"/>
      <c r="D60" s="2419"/>
      <c r="E60" s="2167"/>
      <c r="F60" s="2490"/>
      <c r="G60" s="2490"/>
      <c r="H60" s="2498"/>
      <c r="I60" s="136"/>
      <c r="J60" s="3155"/>
      <c r="K60" s="3153"/>
      <c r="L60" s="2491" t="s">
        <v>2236</v>
      </c>
      <c r="M60" s="1759"/>
      <c r="N60" s="2493" t="e">
        <f ca="1">NUMBERSTRING(INT(N59*10000),2)&amp;"元整"</f>
        <v>#VALUE!</v>
      </c>
      <c r="O60" s="2494"/>
    </row>
    <row r="61" spans="1:35" ht="13.5" thickBot="1">
      <c r="A61" s="3100" t="s">
        <v>2240</v>
      </c>
      <c r="B61" s="3100"/>
      <c r="C61" s="3100"/>
      <c r="D61" s="3100"/>
      <c r="E61" s="3100"/>
      <c r="F61" s="2490"/>
      <c r="G61" s="2490"/>
      <c r="H61" s="2498"/>
      <c r="I61" s="136"/>
      <c r="J61" s="1810">
        <f>J59+1</f>
        <v>6</v>
      </c>
      <c r="K61" s="3153" t="s">
        <v>2241</v>
      </c>
      <c r="L61" s="3153"/>
      <c r="M61" s="1762"/>
      <c r="N61" s="1763" t="e">
        <f ca="1">ROUND(N59*10000/'数据-汇总表'!E3,0)</f>
        <v>#VALUE!</v>
      </c>
      <c r="O61" s="2499"/>
    </row>
    <row r="62" spans="1:35" ht="12.75">
      <c r="A62" s="3116" t="s">
        <v>2242</v>
      </c>
      <c r="B62" s="3117"/>
      <c r="C62" s="1802"/>
      <c r="D62" s="1802" t="s">
        <v>2243</v>
      </c>
      <c r="E62" s="190" t="s">
        <v>2244</v>
      </c>
      <c r="F62" s="2490"/>
      <c r="G62" s="2490"/>
      <c r="H62" s="2498"/>
      <c r="I62" s="136"/>
    </row>
    <row r="63" spans="1:35" ht="12.75">
      <c r="A63" s="201" t="s">
        <v>775</v>
      </c>
      <c r="B63" s="191" t="s">
        <v>2245</v>
      </c>
      <c r="C63" s="192">
        <f ca="1">ROUND((C64+C65)/(1+'数据-取费表'!C42),0)</f>
        <v>1869</v>
      </c>
      <c r="D63" s="193"/>
      <c r="E63" s="194"/>
      <c r="F63" s="2490"/>
      <c r="G63" s="2490"/>
      <c r="H63" s="2498"/>
      <c r="I63" s="136"/>
      <c r="J63" s="3178" t="s">
        <v>2246</v>
      </c>
      <c r="K63" s="2500" t="s">
        <v>2247</v>
      </c>
      <c r="L63" s="1750" t="e">
        <f>IF(M49&gt;10000,M49*0.5%,IF(AND(M49&gt;1000,M49&lt;=10000),M49*1%,IF(AND(M49&gt;100,M49&lt;=1000),M49*3%,IF(AND(M49&gt;10,M49&lt;=100),M49*5%,M49*8%))))</f>
        <v>#VALUE!</v>
      </c>
      <c r="M63" s="24" t="e">
        <f>ROUND(L63,1)</f>
        <v>#VALUE!</v>
      </c>
      <c r="Z63" s="2424"/>
      <c r="AI63" s="2425"/>
    </row>
    <row r="64" spans="1:35" ht="14.25" customHeight="1">
      <c r="A64" s="195" t="s">
        <v>770</v>
      </c>
      <c r="B64" s="196" t="s">
        <v>2248</v>
      </c>
      <c r="C64" s="197">
        <f ca="1">D45</f>
        <v>1962</v>
      </c>
      <c r="D64" s="198" t="s">
        <v>32</v>
      </c>
      <c r="E64" s="199"/>
      <c r="F64" s="2490"/>
      <c r="G64" s="2490"/>
      <c r="H64" s="2498"/>
      <c r="I64" s="136"/>
      <c r="J64" s="3178"/>
      <c r="K64" s="2500" t="s">
        <v>2249</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2250</v>
      </c>
      <c r="Z64" s="2424"/>
      <c r="AI64" s="2425"/>
    </row>
    <row r="65" spans="1:35" ht="14.25" customHeight="1">
      <c r="A65" s="195" t="s">
        <v>771</v>
      </c>
      <c r="B65" s="196" t="s">
        <v>2251</v>
      </c>
      <c r="C65" s="200"/>
      <c r="D65" s="198"/>
      <c r="E65" s="199"/>
      <c r="F65" s="2490"/>
      <c r="G65" s="2490"/>
      <c r="H65" s="2498"/>
      <c r="I65" s="136"/>
      <c r="J65" s="3178"/>
      <c r="K65" s="2500" t="s">
        <v>2252</v>
      </c>
      <c r="L65" s="1750" t="e">
        <f>IF(M49&gt;1000,M49*0.1%,IF(AND(M49&gt;500,M49&lt;=1000),M49*0.5%,IF(AND(M49&gt;50,M49&lt;=500),M49*1%,IF(AND(M49&gt;1,M49&lt;=50),M49*1.5%))))</f>
        <v>#VALUE!</v>
      </c>
      <c r="M65" s="24" t="e">
        <f t="shared" si="1"/>
        <v>#VALUE!</v>
      </c>
      <c r="N65" s="136" t="s">
        <v>2250</v>
      </c>
      <c r="Z65" s="2424"/>
      <c r="AI65" s="2425"/>
    </row>
    <row r="66" spans="1:35" ht="14.25" customHeight="1">
      <c r="A66" s="201" t="s">
        <v>772</v>
      </c>
      <c r="B66" s="202" t="s">
        <v>2253</v>
      </c>
      <c r="C66" s="203"/>
      <c r="D66" s="204" t="s">
        <v>32</v>
      </c>
      <c r="E66" s="1774" t="s">
        <v>1371</v>
      </c>
      <c r="F66" s="2490"/>
      <c r="G66" s="2490"/>
      <c r="H66" s="2498"/>
      <c r="I66" s="136"/>
      <c r="J66" s="3178"/>
      <c r="K66" s="2500" t="s">
        <v>2254</v>
      </c>
      <c r="L66" s="1750" t="e">
        <f>M49*0.5%</f>
        <v>#VALUE!</v>
      </c>
      <c r="M66" s="24" t="e">
        <f>IF(L66&gt;0.5,0.5,ROUND(L66,0))</f>
        <v>#VALUE!</v>
      </c>
      <c r="N66" s="136" t="s">
        <v>2255</v>
      </c>
      <c r="Z66" s="2424"/>
      <c r="AI66" s="2425"/>
    </row>
    <row r="67" spans="1:35" ht="14.25" customHeight="1">
      <c r="A67" s="201" t="s">
        <v>773</v>
      </c>
      <c r="B67" s="202" t="s">
        <v>2256</v>
      </c>
      <c r="C67" s="205">
        <f ca="1">C63-C66</f>
        <v>1869</v>
      </c>
      <c r="D67" s="198" t="s">
        <v>32</v>
      </c>
      <c r="E67" s="199"/>
      <c r="F67" s="2490"/>
      <c r="G67" s="2490"/>
      <c r="H67" s="2498"/>
      <c r="I67" s="136"/>
      <c r="J67" s="3178"/>
      <c r="K67" s="2500" t="s">
        <v>2257</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6" t="s">
        <v>774</v>
      </c>
      <c r="B68" s="207" t="s">
        <v>2258</v>
      </c>
      <c r="C68" s="208">
        <f ca="1">IF(C67&lt;=0,0,ROUND(C67*D68,0))</f>
        <v>103</v>
      </c>
      <c r="D68" s="209">
        <f>'数据-取费表'!B41</f>
        <v>5.5000000000000007E-2</v>
      </c>
      <c r="E68" s="210"/>
      <c r="F68" s="2490"/>
      <c r="G68" s="2490"/>
      <c r="H68" s="2498"/>
      <c r="I68" s="136"/>
      <c r="J68" s="3178"/>
      <c r="K68" s="2500" t="s">
        <v>2259</v>
      </c>
      <c r="L68" s="1750"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78"/>
      <c r="K69" s="2500" t="s">
        <v>2260</v>
      </c>
      <c r="L69" s="2506"/>
      <c r="M69" s="24" t="e">
        <f>ROUND(SUM(M63:M68),0)</f>
        <v>#VALUE!</v>
      </c>
      <c r="N69" s="1751"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37" t="s">
        <v>2261</v>
      </c>
      <c r="B70" s="3138"/>
      <c r="C70" s="3138"/>
      <c r="D70" s="3138"/>
      <c r="E70" s="3138"/>
      <c r="F70" s="3138"/>
      <c r="G70" s="3138"/>
      <c r="H70" s="313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6" t="s">
        <v>2242</v>
      </c>
      <c r="B71" s="3117"/>
      <c r="C71" s="1802"/>
      <c r="D71" s="1802" t="s">
        <v>2243</v>
      </c>
      <c r="E71" s="211" t="s">
        <v>2244</v>
      </c>
      <c r="F71" s="212"/>
      <c r="G71" s="212"/>
      <c r="H71" s="213"/>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1" t="s">
        <v>775</v>
      </c>
      <c r="B72" s="202" t="s">
        <v>2262</v>
      </c>
      <c r="C72" s="205">
        <f ca="1">ROUND(D45/(1+'数据-取费表'!C42),0)</f>
        <v>1869</v>
      </c>
      <c r="D72" s="198" t="s">
        <v>32</v>
      </c>
      <c r="E72" s="1801"/>
      <c r="F72" s="1795"/>
      <c r="G72" s="1795"/>
      <c r="H72" s="214"/>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1" t="s">
        <v>772</v>
      </c>
      <c r="B73" s="171" t="s">
        <v>2263</v>
      </c>
      <c r="C73" s="205">
        <f ca="1">C74+C78</f>
        <v>9</v>
      </c>
      <c r="D73" s="198" t="s">
        <v>32</v>
      </c>
      <c r="E73" s="1801"/>
      <c r="F73" s="1795"/>
      <c r="G73" s="1795"/>
      <c r="H73" s="214"/>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5" t="s">
        <v>770</v>
      </c>
      <c r="B74" s="196" t="s">
        <v>2264</v>
      </c>
      <c r="C74" s="198">
        <f>ROUND(IF(G77="2016年5月1日后购买",C75/(1+'数据-取费表'!C42)+C76+C77,C75+C76+C77),0)</f>
        <v>0</v>
      </c>
      <c r="D74" s="198" t="s">
        <v>32</v>
      </c>
      <c r="E74" s="1801"/>
      <c r="F74" s="1795"/>
      <c r="G74" s="1795"/>
      <c r="H74" s="214"/>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5" t="s">
        <v>776</v>
      </c>
      <c r="B75" s="196" t="s">
        <v>2265</v>
      </c>
      <c r="C75" s="216"/>
      <c r="D75" s="198" t="s">
        <v>32</v>
      </c>
      <c r="E75" s="217" t="s">
        <v>2266</v>
      </c>
      <c r="F75" s="2512" t="s">
        <v>2267</v>
      </c>
      <c r="G75" s="217" t="s">
        <v>2268</v>
      </c>
      <c r="H75" s="218"/>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5" t="s">
        <v>777</v>
      </c>
      <c r="B76" s="219" t="s">
        <v>2269</v>
      </c>
      <c r="C76" s="198">
        <f>IF(F75="购房发票",ROUND(C75*H75*D76,0),0)</f>
        <v>0</v>
      </c>
      <c r="D76" s="220">
        <v>0.05</v>
      </c>
      <c r="E76" s="3111" t="s">
        <v>2270</v>
      </c>
      <c r="F76" s="3088"/>
      <c r="G76" s="3088"/>
      <c r="H76" s="313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14" t="s">
        <v>2273</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5" t="s">
        <v>771</v>
      </c>
      <c r="B78" s="196" t="s">
        <v>2274</v>
      </c>
      <c r="C78" s="223">
        <f ca="1">ROUND(D45*D78/(1+'数据-取费表'!C42),0)</f>
        <v>9</v>
      </c>
      <c r="D78" s="224">
        <f>'数据-取费表'!B43</f>
        <v>5.000000000000001E-3</v>
      </c>
      <c r="E78" s="3097" t="s">
        <v>2275</v>
      </c>
      <c r="F78" s="3098"/>
      <c r="G78" s="3098"/>
      <c r="H78" s="310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2" t="s">
        <v>2276</v>
      </c>
      <c r="C79" s="205">
        <f ca="1">C72-C73</f>
        <v>1860</v>
      </c>
      <c r="D79" s="198" t="s">
        <v>32</v>
      </c>
      <c r="E79" s="1801"/>
      <c r="F79" s="1795"/>
      <c r="G79" s="1795"/>
      <c r="H79" s="214"/>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2" t="s">
        <v>2277</v>
      </c>
      <c r="C80" s="225">
        <f ca="1">IF(C79&lt;=0,0,C79/C73)</f>
        <v>206.66666666666666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7" t="s">
        <v>2278</v>
      </c>
      <c r="C81" s="226">
        <f ca="1">ROUND(IF(C79&lt;=0,0,IF(C80&gt;=200%,C79*60%-C73*35%,IF(C80&gt;=100%,C79*50%-C73*15%,IF(C80&gt;=50%,C79*40%-C73*5%,IF(C80&lt;50%,C79*30%,0))))),0)</f>
        <v>1113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7" t="s">
        <v>2279</v>
      </c>
      <c r="B83" s="3138"/>
      <c r="C83" s="3138"/>
      <c r="D83" s="3138"/>
      <c r="E83" s="3138"/>
      <c r="F83" s="3138"/>
      <c r="G83" s="3138"/>
      <c r="H83" s="313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6" t="s">
        <v>2242</v>
      </c>
      <c r="B84" s="3117"/>
      <c r="C84" s="1802"/>
      <c r="D84" s="1802" t="s">
        <v>2243</v>
      </c>
      <c r="E84" s="211" t="s">
        <v>2244</v>
      </c>
      <c r="F84" s="212"/>
      <c r="G84" s="212"/>
      <c r="H84" s="231"/>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1" t="s">
        <v>775</v>
      </c>
      <c r="B85" s="202" t="s">
        <v>2262</v>
      </c>
      <c r="C85" s="205">
        <f ca="1">ROUND(D45/(1+'数据-取费表'!C42),0)</f>
        <v>1869</v>
      </c>
      <c r="D85" s="198" t="s">
        <v>32</v>
      </c>
      <c r="E85" s="1801"/>
      <c r="F85" s="1795"/>
      <c r="G85" s="1795"/>
      <c r="H85" s="232"/>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1" t="s">
        <v>772</v>
      </c>
      <c r="B86" s="171" t="s">
        <v>2263</v>
      </c>
      <c r="C86" s="205">
        <f ca="1">IF(H88="仅含出让金",C87+C90+C91+C92+C93+C94,C87+C91+C92+C93+C94)</f>
        <v>9</v>
      </c>
      <c r="D86" s="233"/>
      <c r="E86" s="1801"/>
      <c r="F86" s="1795"/>
      <c r="G86" s="1795"/>
      <c r="H86" s="232"/>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5" t="s">
        <v>770</v>
      </c>
      <c r="B87" s="196" t="s">
        <v>2280</v>
      </c>
      <c r="C87" s="223">
        <f>C88+C89</f>
        <v>0</v>
      </c>
      <c r="D87" s="224"/>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5" t="s">
        <v>776</v>
      </c>
      <c r="B88" s="196" t="s">
        <v>2281</v>
      </c>
      <c r="C88" s="234"/>
      <c r="D88" s="224"/>
      <c r="E88" s="235" t="s">
        <v>2282</v>
      </c>
      <c r="F88" s="1798"/>
      <c r="G88" s="236"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5" t="s">
        <v>777</v>
      </c>
      <c r="B89" s="196" t="s">
        <v>2271</v>
      </c>
      <c r="C89" s="223">
        <f>ROUND(C88*D89,0)</f>
        <v>0</v>
      </c>
      <c r="D89" s="224">
        <f>'数据-取费表'!B48+'数据-取费表'!B49</f>
        <v>3.0499999999999999E-2</v>
      </c>
      <c r="E89" s="235" t="s">
        <v>2284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5" t="s">
        <v>771</v>
      </c>
      <c r="B90" s="196" t="s">
        <v>2285</v>
      </c>
      <c r="C90" s="234"/>
      <c r="D90" s="224"/>
      <c r="E90" s="235"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5" t="s">
        <v>2286</v>
      </c>
      <c r="B91" s="196" t="s">
        <v>2287</v>
      </c>
      <c r="C91" s="223">
        <f>IF(H91="——",成本法!C33,I91)</f>
        <v>0</v>
      </c>
      <c r="D91" s="224"/>
      <c r="E91" s="3097" t="s">
        <v>2288</v>
      </c>
      <c r="F91" s="3098"/>
      <c r="G91" s="3098"/>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5" t="s">
        <v>2290</v>
      </c>
      <c r="B92" s="196" t="s">
        <v>2291</v>
      </c>
      <c r="C92" s="223">
        <f>ROUND((C87+C90+C91)*D92,0)</f>
        <v>0</v>
      </c>
      <c r="D92" s="224">
        <v>0.1</v>
      </c>
      <c r="E92" s="3097" t="s">
        <v>2292</v>
      </c>
      <c r="F92" s="3098"/>
      <c r="G92" s="3098"/>
      <c r="H92" s="310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5" t="s">
        <v>2293</v>
      </c>
      <c r="B93" s="196" t="s">
        <v>2274</v>
      </c>
      <c r="C93" s="223">
        <f ca="1">ROUND(D45*D93/(1+'数据-取费表'!C42),0)</f>
        <v>9</v>
      </c>
      <c r="D93" s="224">
        <f>'数据-取费表'!B43</f>
        <v>5.000000000000001E-3</v>
      </c>
      <c r="E93" s="3097" t="s">
        <v>2275</v>
      </c>
      <c r="F93" s="3098"/>
      <c r="G93" s="3098"/>
      <c r="H93" s="310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5" t="s">
        <v>2294</v>
      </c>
      <c r="B94" s="196" t="s">
        <v>2295</v>
      </c>
      <c r="C94" s="234">
        <f>ROUND((C87+C90+C91)*D94,0)</f>
        <v>0</v>
      </c>
      <c r="D94" s="224">
        <v>0.2</v>
      </c>
      <c r="E94" s="3108" t="s">
        <v>2296</v>
      </c>
      <c r="F94" s="3109"/>
      <c r="G94" s="3109"/>
      <c r="H94" s="311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2" t="s">
        <v>2276</v>
      </c>
      <c r="C95" s="205">
        <f ca="1">ROUND(C85-C86,0)</f>
        <v>1860</v>
      </c>
      <c r="D95" s="198" t="s">
        <v>32</v>
      </c>
      <c r="E95" s="1801"/>
      <c r="F95" s="1795"/>
      <c r="G95" s="1795"/>
      <c r="H95" s="232"/>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2" t="s">
        <v>2277</v>
      </c>
      <c r="C96" s="225">
        <f ca="1">IF(C95&lt;=0,0,C95/C86)</f>
        <v>206.66666666666666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7" t="s">
        <v>2278</v>
      </c>
      <c r="C97" s="226">
        <f ca="1">ROUND(IF(C95&lt;=0,0,IF(C96&gt;=200%,C95*60%-C86*35%,IF(C96&gt;=100%,C95*50%-C86*15%,IF(C96&gt;=50%,C95*40%-C86*5%,IF(C96&lt;50%,C95*30%,0))))),0)</f>
        <v>1113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6"/>
    </row>
    <row r="99" spans="1:35" ht="21.75" customHeight="1" thickBot="1">
      <c r="A99" s="2475" t="s">
        <v>2297</v>
      </c>
      <c r="B99" s="2419"/>
      <c r="C99" s="2419"/>
      <c r="D99" s="2419"/>
      <c r="E99" s="2167"/>
      <c r="F99" s="2167"/>
      <c r="G99" s="2167"/>
      <c r="H99" s="2166"/>
      <c r="I99" s="136"/>
    </row>
    <row r="100" spans="1:35" ht="18.75" customHeight="1">
      <c r="A100" s="3082" t="s">
        <v>2298</v>
      </c>
      <c r="B100" s="3083"/>
      <c r="C100" s="3083"/>
      <c r="D100" s="3099"/>
      <c r="E100" s="3083" t="s">
        <v>2299</v>
      </c>
      <c r="F100" s="3083"/>
      <c r="G100" s="3083"/>
      <c r="H100" s="3099"/>
      <c r="I100" s="136"/>
    </row>
    <row r="101" spans="1:35" ht="18.75" customHeight="1">
      <c r="A101" s="3161" t="s">
        <v>2300</v>
      </c>
      <c r="B101" s="3162"/>
      <c r="C101" s="734" t="str">
        <f>C4</f>
        <v>成本法 (元)</v>
      </c>
      <c r="D101" s="735" t="str">
        <f>D4</f>
        <v>收益法 (元)</v>
      </c>
      <c r="E101" s="3175" t="s">
        <v>2301</v>
      </c>
      <c r="F101" s="3129"/>
      <c r="G101" s="2521" t="s">
        <v>2302</v>
      </c>
      <c r="H101" s="1046">
        <f ca="1">H118</f>
        <v>1962</v>
      </c>
      <c r="I101" s="136"/>
    </row>
    <row r="102" spans="1:35" ht="18.75" customHeight="1">
      <c r="A102" s="3131" t="s">
        <v>2303</v>
      </c>
      <c r="B102" s="2521" t="s">
        <v>2302</v>
      </c>
      <c r="C102" s="734">
        <f ca="1">C19</f>
        <v>1774</v>
      </c>
      <c r="D102" s="735">
        <f ca="1">D19</f>
        <v>2043</v>
      </c>
      <c r="E102" s="3175"/>
      <c r="F102" s="3129"/>
      <c r="G102" s="2521" t="s">
        <v>2304</v>
      </c>
      <c r="H102" s="369">
        <f ca="1">I118</f>
        <v>27671</v>
      </c>
      <c r="I102" s="136"/>
    </row>
    <row r="103" spans="1:35" ht="42.75" customHeight="1">
      <c r="A103" s="3131"/>
      <c r="B103" s="2521" t="s">
        <v>2304</v>
      </c>
      <c r="C103" s="736">
        <f ca="1">C20</f>
        <v>25020</v>
      </c>
      <c r="D103" s="737">
        <f ca="1">D20</f>
        <v>28809</v>
      </c>
      <c r="E103" s="3170" t="s">
        <v>2305</v>
      </c>
      <c r="F103" s="3171"/>
      <c r="G103" s="2522" t="s">
        <v>2306</v>
      </c>
      <c r="H103" s="1046">
        <f>IF(D36="正常操作",H104+H105+H106,H105+H106)</f>
        <v>0</v>
      </c>
      <c r="I103" s="136"/>
    </row>
    <row r="104" spans="1:35" ht="18.75" customHeight="1">
      <c r="A104" s="3131" t="s">
        <v>2307</v>
      </c>
      <c r="B104" s="2523" t="s">
        <v>2302</v>
      </c>
      <c r="C104" s="738">
        <f ca="1">H118</f>
        <v>1962</v>
      </c>
      <c r="D104" s="739"/>
      <c r="E104" s="2267" t="s">
        <v>2308</v>
      </c>
      <c r="F104" s="2259"/>
      <c r="G104" s="2522" t="s">
        <v>2306</v>
      </c>
      <c r="H104" s="1047">
        <f>IF(D36="同一抵押权人同一抵押物续贷",C36&amp;"（未扣减，详见特别提示）",C36)</f>
        <v>0</v>
      </c>
      <c r="I104" s="136"/>
    </row>
    <row r="105" spans="1:35" ht="18.75" customHeight="1" thickBot="1">
      <c r="A105" s="3132"/>
      <c r="B105" s="2524" t="s">
        <v>2304</v>
      </c>
      <c r="C105" s="740">
        <f ca="1">I118</f>
        <v>27671</v>
      </c>
      <c r="D105" s="741"/>
      <c r="E105" s="2267" t="s">
        <v>2309</v>
      </c>
      <c r="F105" s="2259"/>
      <c r="G105" s="2522" t="s">
        <v>2306</v>
      </c>
      <c r="H105" s="1047">
        <f>C37</f>
        <v>0</v>
      </c>
      <c r="I105" s="136"/>
    </row>
    <row r="106" spans="1:35" ht="18.75" customHeight="1">
      <c r="A106" s="2419" t="s">
        <v>2310</v>
      </c>
      <c r="B106" s="2419"/>
      <c r="C106" s="2419"/>
      <c r="D106" s="2419"/>
      <c r="E106" s="2525" t="s">
        <v>2311</v>
      </c>
      <c r="F106" s="2259"/>
      <c r="G106" s="2522" t="s">
        <v>2306</v>
      </c>
      <c r="H106" s="1047">
        <f>C38</f>
        <v>0</v>
      </c>
      <c r="I106" s="136"/>
    </row>
    <row r="107" spans="1:35" ht="18.75" customHeight="1">
      <c r="A107" s="136"/>
      <c r="B107" s="136"/>
      <c r="C107" s="136"/>
      <c r="D107" s="136"/>
      <c r="E107" s="3128" t="str">
        <f>IF(项目基本情况!E8="已注销","——","3.房地产抵押价值")</f>
        <v>3.房地产抵押价值</v>
      </c>
      <c r="F107" s="3129"/>
      <c r="G107" s="2521" t="s">
        <v>2302</v>
      </c>
      <c r="H107" s="1046">
        <f ca="1">IF(E107="——","——",H101-H103)</f>
        <v>1962</v>
      </c>
      <c r="I107" s="136"/>
    </row>
    <row r="108" spans="1:35" ht="18.75" customHeight="1">
      <c r="A108" s="136"/>
      <c r="B108" s="136"/>
      <c r="C108" s="136"/>
      <c r="D108" s="136"/>
      <c r="E108" s="3128"/>
      <c r="F108" s="3129"/>
      <c r="G108" s="2521" t="s">
        <v>2304</v>
      </c>
      <c r="H108" s="369">
        <f ca="1">ROUND(H107*10000/'数据-汇总表'!E3,0)</f>
        <v>3937</v>
      </c>
      <c r="I108" s="136"/>
    </row>
    <row r="109" spans="1:35" ht="18.75" customHeight="1">
      <c r="A109" s="136"/>
      <c r="B109" s="136"/>
      <c r="C109" s="136"/>
      <c r="D109" s="136"/>
      <c r="E109" s="3128" t="str">
        <f>IF(项目基本情况!E8="已注销及未注销","4.抵押担保权已注销时的房地产抵押价值",IF(项目基本情况!E8="已注销","3.抵押担保权已注销时的房地产抵押价值","——"))</f>
        <v>——</v>
      </c>
      <c r="F109" s="3129"/>
      <c r="G109" s="2521" t="s">
        <v>2302</v>
      </c>
      <c r="H109" s="346" t="str">
        <f>IF(E109="——","——",H101-H105-H106)</f>
        <v>——</v>
      </c>
      <c r="I109" s="136"/>
    </row>
    <row r="110" spans="1:35" ht="18.75" customHeight="1">
      <c r="A110" s="136"/>
      <c r="B110" s="136"/>
      <c r="C110" s="136"/>
      <c r="D110" s="136"/>
      <c r="E110" s="3128"/>
      <c r="F110" s="3129"/>
      <c r="G110" s="2521" t="s">
        <v>2304</v>
      </c>
      <c r="H110" s="369" t="str">
        <f>IF(H109="——","——",ROUND(H109*10000/'数据-汇总表'!E3,0))</f>
        <v>——</v>
      </c>
      <c r="I110" s="136"/>
    </row>
    <row r="111" spans="1:35" ht="18.75" customHeight="1">
      <c r="A111" s="136"/>
      <c r="B111" s="136"/>
      <c r="C111" s="136"/>
      <c r="D111" s="136"/>
      <c r="E111" s="3163" t="str">
        <f>IF(项目基本情况!E9="抵押净值",IF(OR(项目基本情况!E8="已注销",项目基本情况!E8="房地产抵押价值"),"4.抵押净值","5.抵押净值"),"——")</f>
        <v>——</v>
      </c>
      <c r="F111" s="3164"/>
      <c r="G111" s="2521" t="s">
        <v>2302</v>
      </c>
      <c r="H111" s="1046" t="str">
        <f>IF(E111="——","——",N59)</f>
        <v>——</v>
      </c>
      <c r="I111" s="136"/>
    </row>
    <row r="112" spans="1:35" ht="18.75" customHeight="1" thickBot="1">
      <c r="A112" s="136"/>
      <c r="B112" s="136"/>
      <c r="C112" s="136"/>
      <c r="D112" s="136"/>
      <c r="E112" s="3165"/>
      <c r="F112" s="3166"/>
      <c r="G112" s="2526" t="s">
        <v>2304</v>
      </c>
      <c r="H112" s="788" t="str">
        <f>IF(E111="——","——",N61)</f>
        <v>——</v>
      </c>
      <c r="I112" s="136"/>
    </row>
    <row r="113" spans="1:11" ht="18.75" customHeight="1">
      <c r="A113" s="136"/>
      <c r="B113" s="136"/>
      <c r="C113" s="136"/>
      <c r="D113" s="136"/>
      <c r="E113" s="3133" t="s">
        <v>2310</v>
      </c>
      <c r="F113" s="3133"/>
      <c r="G113" s="3133"/>
      <c r="H113" s="3133"/>
      <c r="I113" s="136"/>
    </row>
    <row r="114" spans="1:11" ht="3.75" customHeight="1">
      <c r="A114" s="2419"/>
      <c r="B114" s="2419"/>
      <c r="C114" s="2419"/>
      <c r="D114" s="2419"/>
      <c r="E114" s="2497"/>
      <c r="F114" s="2497"/>
      <c r="G114" s="2497"/>
      <c r="H114" s="2497"/>
      <c r="I114" s="2419"/>
    </row>
    <row r="115" spans="1:11" ht="18.75" customHeight="1">
      <c r="A115" s="3146" t="s">
        <v>2312</v>
      </c>
      <c r="B115" s="3147"/>
      <c r="C115" s="3147"/>
      <c r="D115" s="3147"/>
      <c r="E115" s="3147"/>
      <c r="F115" s="3147"/>
      <c r="G115" s="3147"/>
      <c r="H115" s="3147"/>
      <c r="I115" s="3148"/>
    </row>
    <row r="116" spans="1:11" ht="27" customHeight="1">
      <c r="A116" s="3039" t="s">
        <v>2313</v>
      </c>
      <c r="B116" s="3134" t="s">
        <v>2314</v>
      </c>
      <c r="C116" s="3134" t="s">
        <v>2315</v>
      </c>
      <c r="D116" s="3150" t="s">
        <v>2316</v>
      </c>
      <c r="E116" s="3151"/>
      <c r="F116" s="3142" t="s">
        <v>2317</v>
      </c>
      <c r="G116" s="3142"/>
      <c r="H116" s="3039" t="s">
        <v>2318</v>
      </c>
      <c r="I116" s="3039"/>
    </row>
    <row r="117" spans="1:11" ht="18.75" customHeight="1">
      <c r="A117" s="3039"/>
      <c r="B117" s="3135"/>
      <c r="C117" s="3135"/>
      <c r="D117" s="1796" t="s">
        <v>2319</v>
      </c>
      <c r="E117" s="1796" t="s">
        <v>2320</v>
      </c>
      <c r="F117" s="1796" t="s">
        <v>2319</v>
      </c>
      <c r="G117" s="1796" t="s">
        <v>2321</v>
      </c>
      <c r="H117" s="1796" t="s">
        <v>2319</v>
      </c>
      <c r="I117" s="1796" t="s">
        <v>2321</v>
      </c>
    </row>
    <row r="118" spans="1:11" ht="24.75" customHeight="1">
      <c r="A118" s="2527" t="str">
        <f>项目基本情况!S2</f>
        <v>北京市大兴区黄村镇兴华园8号楼-1至7层8-1房地产</v>
      </c>
      <c r="B118" s="1796">
        <f>M18</f>
        <v>709.04</v>
      </c>
      <c r="C118" s="1796">
        <f>M19</f>
        <v>104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1962</v>
      </c>
      <c r="I118" s="1796">
        <f ca="1">ROUND(IF(D32="楼面单价",C32,H118*10000/B118),0)</f>
        <v>27671</v>
      </c>
    </row>
    <row r="119" spans="1:11" ht="18.75" customHeight="1">
      <c r="A119" s="3039" t="s">
        <v>2322</v>
      </c>
      <c r="B119" s="3039"/>
      <c r="C119" s="3039"/>
      <c r="D119" s="3139" t="e">
        <f ca="1">NUMBERSTRING(INT(D118*10000),2)&amp;"元整"</f>
        <v>#REF!</v>
      </c>
      <c r="E119" s="3141"/>
      <c r="F119" s="3139" t="e">
        <f ca="1">NUMBERSTRING(INT(F118*10000),2)&amp;"元整"</f>
        <v>#REF!</v>
      </c>
      <c r="G119" s="3141"/>
      <c r="H119" s="3139" t="str">
        <f ca="1">NUMBERSTRING(INT(H118*10000),2)&amp;"元整"</f>
        <v>壹仟玖佰陆拾贰万元整</v>
      </c>
      <c r="I119" s="3141"/>
    </row>
    <row r="120" spans="1:11" ht="18.75" customHeight="1">
      <c r="A120" s="3167" t="str">
        <f>IF(项目基本情况!B9="房地产市场价值","",MID(E103,3,LEN(E103)-2))</f>
        <v/>
      </c>
      <c r="B120" s="3168"/>
      <c r="C120" s="3169"/>
      <c r="D120" s="3167">
        <f>H103</f>
        <v>0</v>
      </c>
      <c r="E120" s="3168"/>
      <c r="F120" s="3168"/>
      <c r="G120" s="3168"/>
      <c r="H120" s="3168"/>
      <c r="I120" s="3169"/>
      <c r="K120" s="2424" t="str">
        <f>IF(D120=0,"故，本次评估不存在"&amp;A120,"故，本次评估"&amp;A120&amp;"为人民币"&amp;D120&amp;"万元整。")</f>
        <v>故，本次评估不存在</v>
      </c>
    </row>
    <row r="121" spans="1:11" ht="18.75" customHeight="1">
      <c r="A121" s="3143" t="s">
        <v>2322</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
      </c>
      <c r="B122" s="3130"/>
      <c r="C122" s="3130"/>
      <c r="D122" s="3167">
        <f ca="1">H107</f>
        <v>1962</v>
      </c>
      <c r="E122" s="3168"/>
      <c r="F122" s="3168"/>
      <c r="G122" s="3168"/>
      <c r="H122" s="3168"/>
      <c r="I122" s="3169"/>
    </row>
    <row r="123" spans="1:11" ht="18.75" customHeight="1">
      <c r="A123" s="3039" t="s">
        <v>2322</v>
      </c>
      <c r="B123" s="3039"/>
      <c r="C123" s="3039"/>
      <c r="D123" s="3139" t="str">
        <f ca="1">NUMBERSTRING(INT(D122*10000),2)&amp;"元整"</f>
        <v>壹仟玖佰陆拾贰万元整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2322</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2322</v>
      </c>
      <c r="B127" s="3039"/>
      <c r="C127" s="3039"/>
      <c r="D127" s="3139" t="e">
        <f>NUMBERSTRING(INT(D126*10000),2)&amp;"元整"</f>
        <v>#VALUE!</v>
      </c>
      <c r="E127" s="3140"/>
      <c r="F127" s="3140"/>
      <c r="G127" s="3140"/>
      <c r="H127" s="3140"/>
      <c r="I127" s="3141"/>
    </row>
    <row r="128" spans="1:11" ht="21.75" customHeight="1">
      <c r="A128" s="3149" t="s">
        <v>2323</v>
      </c>
      <c r="B128" s="3149"/>
      <c r="C128" s="3149"/>
      <c r="D128" s="3149"/>
      <c r="E128" s="3149"/>
      <c r="F128" s="3149"/>
      <c r="G128" s="3149"/>
      <c r="H128" s="3149"/>
      <c r="I128" s="3149"/>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2326</v>
      </c>
      <c r="G135" s="2545"/>
      <c r="H135" s="2545"/>
      <c r="I135" s="2546" t="s">
        <v>2327</v>
      </c>
    </row>
    <row r="136" spans="1:35" ht="21.75" customHeight="1">
      <c r="A136" s="793"/>
      <c r="B136" s="2547"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2329</v>
      </c>
    </row>
    <row r="139" spans="1:35" ht="21.75" customHeight="1">
      <c r="A139" s="793"/>
      <c r="B139" s="2547" t="s">
        <v>2330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2329</v>
      </c>
    </row>
    <row r="142" spans="1:35" ht="21.75" customHeight="1">
      <c r="A142" s="793"/>
      <c r="B142" s="2547"/>
      <c r="C142" s="2548"/>
      <c r="D142" s="2549"/>
      <c r="E142" s="2549"/>
      <c r="F142" s="2341"/>
      <c r="G142" s="793"/>
      <c r="H142" s="793"/>
      <c r="I142" s="793"/>
    </row>
    <row r="143" spans="1:35" s="137"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8"/>
      <c r="C1" s="240"/>
      <c r="D1" s="240"/>
      <c r="E1" s="240"/>
      <c r="F1" s="240"/>
      <c r="G1" s="1380">
        <f>MATCH(B1,'数据-取费表'!A6:A16,0)+5</f>
        <v>13</v>
      </c>
    </row>
    <row r="2" spans="1:9" s="242" customFormat="1" ht="18" customHeight="1">
      <c r="A2" s="243" t="s">
        <v>2332</v>
      </c>
      <c r="B2" s="244">
        <f ca="1">IF(D2="——",C52,C52-E2)</f>
        <v>757</v>
      </c>
      <c r="C2" s="241" t="s">
        <v>2333</v>
      </c>
      <c r="D2" s="2550" t="s">
        <v>70</v>
      </c>
      <c r="E2" s="1441" t="e">
        <f ca="1">SUMIF(INDIRECT("'"&amp;G2&amp;"'"&amp;"!A:A"),"承租人权益价值",INDIRECT("'"&amp;G2&amp;"'"&amp;"!c:c"))</f>
        <v>#REF!</v>
      </c>
      <c r="F2" s="2551" t="s">
        <v>2333</v>
      </c>
      <c r="G2" s="2552"/>
    </row>
    <row r="3" spans="1:9" s="242" customFormat="1" ht="18" customHeight="1" thickBot="1">
      <c r="A3" s="245" t="s">
        <v>2334</v>
      </c>
      <c r="B3" s="246">
        <f ca="1">ROUND(B2*10000/(IF(B1="",'数据-汇总表'!E3,INDIRECT("'数据-取费表'!k"&amp;$G$1))),0)</f>
        <v>1519</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C6+C7+C8</f>
        <v>0</v>
      </c>
      <c r="D5" s="253" t="s">
        <v>2339</v>
      </c>
      <c r="E5" s="254" t="s">
        <v>2340</v>
      </c>
      <c r="F5" s="254" t="s">
        <v>2341</v>
      </c>
      <c r="G5" s="255"/>
    </row>
    <row r="6" spans="1:9" s="256" customFormat="1" ht="13.5" customHeight="1">
      <c r="A6" s="950" t="s">
        <v>2342</v>
      </c>
      <c r="B6" s="257" t="s">
        <v>2343</v>
      </c>
      <c r="C6" s="258"/>
      <c r="D6" s="259"/>
      <c r="E6" s="260"/>
      <c r="F6" s="260"/>
      <c r="G6" s="261"/>
    </row>
    <row r="7" spans="1:9" s="256" customFormat="1" ht="13.5" customHeight="1">
      <c r="A7" s="950" t="s">
        <v>2344</v>
      </c>
      <c r="B7" s="257" t="s">
        <v>2345</v>
      </c>
      <c r="C7" s="262">
        <f>ROUND(C6*F7,0)</f>
        <v>0</v>
      </c>
      <c r="D7" s="262"/>
      <c r="E7" s="260"/>
      <c r="F7" s="263">
        <f>'数据-取费表'!B48+'数据-取费表'!B49</f>
        <v>3.0499999999999999E-2</v>
      </c>
      <c r="G7" s="261"/>
    </row>
    <row r="8" spans="1:9" s="265" customFormat="1">
      <c r="A8" s="950" t="s">
        <v>2346</v>
      </c>
      <c r="B8" s="257" t="s">
        <v>2347</v>
      </c>
      <c r="C8" s="262">
        <f>IF(G8="已包含在土地购买价格中","0",IF(B1="",'数据-取费表'!B29,IF(G9="全部缴纳",C9+C10,H9)))</f>
        <v>0</v>
      </c>
      <c r="D8" s="264"/>
      <c r="E8" s="262"/>
      <c r="F8" s="263"/>
      <c r="G8" s="2553"/>
    </row>
    <row r="9" spans="1:9" s="256" customFormat="1" ht="13.5" customHeight="1">
      <c r="A9" s="951" t="s">
        <v>800</v>
      </c>
      <c r="B9" s="266" t="s">
        <v>2348</v>
      </c>
      <c r="C9" s="267">
        <f ca="1">ROUND(D9*E9/10000,0)</f>
        <v>0</v>
      </c>
      <c r="D9" s="1033">
        <f ca="1">IF(B1="",'数据-汇总表'!E5,IF(INDIRECT("'数据-取费表'!c"&amp;$G$1)="住宅",INDIRECT("'数据-取费表'!k"&amp;$G$1),0))</f>
        <v>0</v>
      </c>
      <c r="E9" s="267">
        <f>'数据-取费表'!B27</f>
        <v>0</v>
      </c>
      <c r="F9" s="263"/>
      <c r="G9" s="2554"/>
      <c r="H9" s="1391"/>
      <c r="I9" s="2555" t="s">
        <v>2349</v>
      </c>
    </row>
    <row r="10" spans="1:9" s="256" customFormat="1" ht="13.5" customHeight="1">
      <c r="A10" s="951" t="s">
        <v>801</v>
      </c>
      <c r="B10" s="266" t="s">
        <v>2350</v>
      </c>
      <c r="C10" s="267">
        <f ca="1">ROUND(D10*E10/10000,0)</f>
        <v>100</v>
      </c>
      <c r="D10" s="1033">
        <f ca="1">IF(B1="",'数据-汇总表'!E6,IF(INDIRECT("'数据-取费表'!c"&amp;$G$1)="住宅",INDIRECT("'数据-取费表'!s"&amp;$G$1),INDIRECT("'数据-取费表'!k"&amp;$G$1)+INDIRECT("'数据-取费表'!s"&amp;$G$1)))</f>
        <v>4983.7199999999993</v>
      </c>
      <c r="E10" s="267">
        <f>'数据-取费表'!B28</f>
        <v>200</v>
      </c>
      <c r="F10" s="263"/>
      <c r="G10" s="268"/>
    </row>
    <row r="11" spans="1:9" s="256" customFormat="1" ht="13.5" hidden="1" customHeight="1">
      <c r="A11" s="269" t="s">
        <v>7</v>
      </c>
      <c r="B11" s="257" t="s">
        <v>2351</v>
      </c>
      <c r="C11" s="253"/>
      <c r="D11" s="1035"/>
      <c r="E11" s="260"/>
      <c r="F11" s="260"/>
      <c r="G11" s="261"/>
    </row>
    <row r="12" spans="1:9" s="256" customFormat="1" ht="13.5" hidden="1" customHeight="1">
      <c r="A12" s="269" t="s">
        <v>8</v>
      </c>
      <c r="B12" s="257" t="s">
        <v>2352</v>
      </c>
      <c r="C12" s="253">
        <v>0</v>
      </c>
      <c r="D12" s="1035"/>
      <c r="E12" s="270"/>
      <c r="F12" s="263">
        <v>3.0499999999999999E-2</v>
      </c>
      <c r="G12" s="261"/>
    </row>
    <row r="13" spans="1:9" s="256" customFormat="1" ht="13.5" hidden="1" customHeight="1">
      <c r="A13" s="269" t="s">
        <v>9</v>
      </c>
      <c r="B13" s="257" t="s">
        <v>2353</v>
      </c>
      <c r="C13" s="253"/>
      <c r="D13" s="1035"/>
      <c r="E13" s="260"/>
      <c r="F13" s="260"/>
      <c r="G13" s="261"/>
    </row>
    <row r="14" spans="1:9" s="256" customFormat="1" ht="13.5" hidden="1" customHeight="1">
      <c r="A14" s="269" t="s">
        <v>10</v>
      </c>
      <c r="B14" s="257" t="s">
        <v>2354</v>
      </c>
      <c r="C14" s="253"/>
      <c r="D14" s="1035"/>
      <c r="E14" s="260"/>
      <c r="F14" s="260"/>
      <c r="G14" s="261" t="s">
        <v>2355</v>
      </c>
    </row>
    <row r="15" spans="1:9" s="256" customFormat="1" ht="13.5" hidden="1" customHeight="1">
      <c r="A15" s="269" t="s">
        <v>11</v>
      </c>
      <c r="B15" s="257" t="s">
        <v>2356</v>
      </c>
      <c r="C15" s="262"/>
      <c r="D15" s="1035"/>
      <c r="E15" s="260"/>
      <c r="F15" s="260"/>
      <c r="G15" s="261" t="s">
        <v>2357</v>
      </c>
    </row>
    <row r="16" spans="1:9" s="256" customFormat="1" ht="13.5" hidden="1" customHeight="1">
      <c r="A16" s="269" t="s">
        <v>12</v>
      </c>
      <c r="B16" s="257" t="s">
        <v>2354</v>
      </c>
      <c r="C16" s="262"/>
      <c r="D16" s="1035"/>
      <c r="E16" s="260"/>
      <c r="F16" s="260"/>
      <c r="G16" s="261"/>
    </row>
    <row r="17" spans="1:7" s="256" customFormat="1" ht="13.5" hidden="1" customHeight="1">
      <c r="A17" s="269" t="s">
        <v>13</v>
      </c>
      <c r="B17" s="257" t="s">
        <v>2358</v>
      </c>
      <c r="C17" s="271"/>
      <c r="D17" s="1036"/>
      <c r="E17" s="271"/>
      <c r="F17" s="271"/>
      <c r="G17" s="261" t="s">
        <v>2357</v>
      </c>
    </row>
    <row r="18" spans="1:7" s="256" customFormat="1" ht="13.5" hidden="1" customHeight="1">
      <c r="A18" s="269" t="s">
        <v>14</v>
      </c>
      <c r="B18" s="257" t="s">
        <v>2359</v>
      </c>
      <c r="C18" s="262">
        <v>0</v>
      </c>
      <c r="D18" s="1035"/>
      <c r="E18" s="260"/>
      <c r="F18" s="263">
        <v>3.0499999999999999E-2</v>
      </c>
      <c r="G18" s="261" t="s">
        <v>2360</v>
      </c>
    </row>
    <row r="19" spans="1:7" s="265" customFormat="1" ht="13.5" customHeight="1">
      <c r="A19" s="297" t="s">
        <v>2361</v>
      </c>
      <c r="B19" s="252" t="s">
        <v>2362</v>
      </c>
      <c r="C19" s="253">
        <f ca="1">IF(G19="已包含在土地取得成本中","0",ROUND(D19*E19/10000,0))</f>
        <v>100</v>
      </c>
      <c r="D19" s="1037">
        <f ca="1">D9+D10</f>
        <v>4983.7199999999993</v>
      </c>
      <c r="E19" s="253">
        <f>'数据-取费表'!B31</f>
        <v>200</v>
      </c>
      <c r="F19" s="273"/>
      <c r="G19" s="2553"/>
    </row>
    <row r="20" spans="1:7" s="256" customFormat="1" ht="13.5" customHeight="1">
      <c r="A20" s="297" t="s">
        <v>2363</v>
      </c>
      <c r="B20" s="252" t="s">
        <v>2364</v>
      </c>
      <c r="C20" s="274">
        <f ca="1">ROUND((C5+C19)*F20,0)</f>
        <v>2</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55">
        <f ca="1">ROUND(SUM(C23:C25),0)</f>
        <v>10</v>
      </c>
      <c r="D22" s="277">
        <f ca="1">C26</f>
        <v>1E-3</v>
      </c>
      <c r="E22" s="278" t="s">
        <v>2368</v>
      </c>
      <c r="F22" s="279">
        <f ca="1">'数据-取费表'!B40</f>
        <v>4.7500000000000001E-2</v>
      </c>
      <c r="G22" s="276" t="str">
        <f>IF('数据-取费表'!B22&lt;=1,"单利计息","复利计息")</f>
        <v>复利计息</v>
      </c>
    </row>
    <row r="23" spans="1:7" s="256" customFormat="1" ht="13.5" customHeight="1">
      <c r="A23" s="952" t="s">
        <v>2372</v>
      </c>
      <c r="B23" s="257" t="s">
        <v>2373</v>
      </c>
      <c r="C23" s="1356">
        <f ca="1">ROUND(IF('数据-取费表'!B22&lt;=1,C5*F22*'数据-取费表'!B23,C5*(POWER((1+F22),'数据-取费表'!B23)-1)),0)</f>
        <v>0</v>
      </c>
      <c r="D23" s="280"/>
      <c r="E23" s="280"/>
      <c r="F23" s="281"/>
      <c r="G23" s="282" t="s">
        <v>2374</v>
      </c>
    </row>
    <row r="24" spans="1:7" s="256" customFormat="1" ht="13.5" customHeight="1">
      <c r="A24" s="952" t="s">
        <v>2375</v>
      </c>
      <c r="B24" s="257" t="s">
        <v>2376</v>
      </c>
      <c r="C24" s="1356">
        <f ca="1">ROUND(IF('数据-取费表'!B22&lt;=1,C19*F22*('数据-取费表'!B19/2+'数据-取费表'!B21),C19*(POWER((1+F22),('数据-取费表'!B19/2+'数据-取费表'!B21))-1)),0)</f>
        <v>10</v>
      </c>
      <c r="D24" s="280"/>
      <c r="E24" s="280"/>
      <c r="F24" s="281"/>
      <c r="G24" s="282" t="s">
        <v>2377</v>
      </c>
    </row>
    <row r="25" spans="1:7" s="256" customFormat="1" ht="24">
      <c r="A25" s="952" t="s">
        <v>2378</v>
      </c>
      <c r="B25" s="257" t="s">
        <v>2379</v>
      </c>
      <c r="C25" s="1356">
        <f ca="1">ROUND(IF('数据-取费表'!B22&lt;=1,C20*F22*'数据-取费表'!B23/2,C20*(POWER((1+F22),'数据-取费表'!B23/2)-1)),0)</f>
        <v>0</v>
      </c>
      <c r="D25" s="280"/>
      <c r="E25" s="283"/>
      <c r="F25" s="281"/>
      <c r="G25" s="284" t="s">
        <v>2380</v>
      </c>
    </row>
    <row r="26" spans="1:7" s="256" customFormat="1">
      <c r="A26" s="952" t="s">
        <v>795</v>
      </c>
      <c r="B26" s="257" t="s">
        <v>2381</v>
      </c>
      <c r="C26" s="280">
        <f ca="1">ROUND(IF('数据-取费表'!B22&lt;=1,F21*F22*'数据-取费表'!B23/2,F21*(POWER((1+F22),'数据-取费表'!B23/2)-1)),4)</f>
        <v>1E-3</v>
      </c>
      <c r="D26" s="280"/>
      <c r="E26" s="283"/>
      <c r="F26" s="281"/>
      <c r="G26" s="285"/>
    </row>
    <row r="27" spans="1:7" s="256" customFormat="1" ht="24.75">
      <c r="A27" s="297" t="s">
        <v>2382</v>
      </c>
      <c r="B27" s="286" t="s">
        <v>2383</v>
      </c>
      <c r="C27" s="287">
        <f ca="1">C28</f>
        <v>31</v>
      </c>
      <c r="D27" s="277">
        <f ca="1">C29</f>
        <v>6.0000000000000001E-3</v>
      </c>
      <c r="E27" s="278" t="s">
        <v>2384</v>
      </c>
      <c r="F27" s="288">
        <f ca="1">IF(B1="",'数据-取费表'!Q16,INDIRECT("'数据-取费表'!q"&amp;$G$1))</f>
        <v>0.3</v>
      </c>
      <c r="G27" s="289" t="s">
        <v>2385</v>
      </c>
    </row>
    <row r="28" spans="1:7" s="256" customFormat="1" ht="13.5" customHeight="1">
      <c r="A28" s="952" t="s">
        <v>791</v>
      </c>
      <c r="B28" s="290" t="s">
        <v>2386</v>
      </c>
      <c r="C28" s="291">
        <f ca="1">ROUND((C5+C19+C20)*F27*'数据-取费表'!B21/'数据-取费表'!B20,0)</f>
        <v>31</v>
      </c>
      <c r="D28" s="277"/>
      <c r="E28" s="278"/>
      <c r="F28" s="288"/>
      <c r="G28" s="289"/>
    </row>
    <row r="29" spans="1:7" s="256" customFormat="1" ht="13.5" customHeight="1">
      <c r="A29" s="952" t="s">
        <v>792</v>
      </c>
      <c r="B29" s="290" t="s">
        <v>2387</v>
      </c>
      <c r="C29" s="280">
        <f ca="1">ROUND(C21*F27*'数据-取费表'!B21/'数据-取费表'!B20,4)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155</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504</v>
      </c>
      <c r="D33" s="274"/>
      <c r="E33" s="254"/>
      <c r="F33" s="283"/>
      <c r="G33" s="276"/>
    </row>
    <row r="34" spans="1:7" s="300" customFormat="1" ht="13.5" customHeight="1">
      <c r="A34" s="952" t="s">
        <v>791</v>
      </c>
      <c r="B34" s="257" t="s">
        <v>2395</v>
      </c>
      <c r="C34" s="262">
        <f ca="1">IF(B1="",IF(F34=100%,'数据-取费表'!M16,'数据-取费表'!O16),IF(F34=100%,INDIRECT("'数据-取费表'!m"&amp;$G$1)+INDIRECT("'数据-取费表'!t"&amp;$G$1),INDIRECT("'数据-取费表'!o"&amp;$G$1)+INDIRECT("'数据-取费表'!aq"&amp;$G$1)))</f>
        <v>383</v>
      </c>
      <c r="D34" s="259"/>
      <c r="E34" s="262"/>
      <c r="F34" s="299">
        <f ca="1">IF('数据-取费表'!B24=0,1,IF(B1="",'数据-取费表'!N16,INDIRECT("'数据-取费表'!n"&amp;$G$1)))</f>
        <v>1</v>
      </c>
      <c r="G34" s="261" t="s">
        <v>2396</v>
      </c>
    </row>
    <row r="35" spans="1:7" ht="13.5" customHeight="1">
      <c r="A35" s="952" t="s">
        <v>796</v>
      </c>
      <c r="B35" s="257" t="s">
        <v>2397</v>
      </c>
      <c r="C35" s="262">
        <f ca="1">ROUND(C34*F35,0)</f>
        <v>15</v>
      </c>
      <c r="D35" s="262"/>
      <c r="E35" s="262"/>
      <c r="F35" s="301">
        <f>'数据-取费表'!B33</f>
        <v>0.04</v>
      </c>
      <c r="G35" s="261" t="s">
        <v>2398</v>
      </c>
    </row>
    <row r="36" spans="1:7" ht="24">
      <c r="A36" s="952"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2400</v>
      </c>
    </row>
    <row r="37" spans="1:7" s="300" customFormat="1" ht="13.5" customHeight="1">
      <c r="A37" s="952" t="s">
        <v>798</v>
      </c>
      <c r="B37" s="257" t="s">
        <v>2401</v>
      </c>
      <c r="C37" s="291">
        <f ca="1">ROUND(E37*D37*F34/10000,0)</f>
        <v>100</v>
      </c>
      <c r="D37" s="259">
        <f ca="1">D19</f>
        <v>4983.7199999999993</v>
      </c>
      <c r="E37" s="291">
        <f>'数据-取费表'!B35</f>
        <v>200</v>
      </c>
      <c r="F37" s="301"/>
      <c r="G37" s="303" t="s">
        <v>2402</v>
      </c>
    </row>
    <row r="38" spans="1:7" ht="13.5" customHeight="1">
      <c r="A38" s="952" t="s">
        <v>799</v>
      </c>
      <c r="B38" s="257" t="s">
        <v>2403</v>
      </c>
      <c r="C38" s="262">
        <f ca="1">ROUND(C34*F38,0)</f>
        <v>6</v>
      </c>
      <c r="D38" s="262"/>
      <c r="E38" s="262"/>
      <c r="F38" s="301">
        <f>'数据-取费表'!B36</f>
        <v>1.4999999999999999E-2</v>
      </c>
      <c r="G38" s="261" t="s">
        <v>2398</v>
      </c>
    </row>
    <row r="39" spans="1:7" s="256" customFormat="1" ht="13.5" customHeight="1">
      <c r="A39" s="297" t="s">
        <v>2404</v>
      </c>
      <c r="B39" s="252" t="s">
        <v>2405</v>
      </c>
      <c r="C39" s="274">
        <f ca="1">ROUND(C33*F20,0)</f>
        <v>10</v>
      </c>
      <c r="D39" s="274"/>
      <c r="E39" s="274"/>
      <c r="F39" s="275"/>
      <c r="G39" s="276" t="s">
        <v>2406</v>
      </c>
    </row>
    <row r="40" spans="1:7" s="256" customFormat="1" ht="13.5" customHeight="1">
      <c r="A40" s="297" t="s">
        <v>2407</v>
      </c>
      <c r="B40" s="252" t="s">
        <v>2408</v>
      </c>
      <c r="C40" s="1729">
        <f>F21</f>
        <v>0.02</v>
      </c>
      <c r="D40" s="278" t="s">
        <v>2409</v>
      </c>
      <c r="E40" s="274"/>
      <c r="F40" s="275"/>
      <c r="G40" s="276" t="s">
        <v>2410</v>
      </c>
    </row>
    <row r="41" spans="1:7" s="256" customFormat="1" ht="13.5" customHeight="1">
      <c r="A41" s="297" t="s">
        <v>2411</v>
      </c>
      <c r="B41" s="252" t="s">
        <v>2412</v>
      </c>
      <c r="C41" s="274">
        <f ca="1">ROUND(SUM(C42:C43),0)</f>
        <v>24</v>
      </c>
      <c r="D41" s="277">
        <f ca="1">C44</f>
        <v>1E-3</v>
      </c>
      <c r="E41" s="278" t="s">
        <v>2409</v>
      </c>
      <c r="F41" s="279"/>
      <c r="G41" s="276" t="str">
        <f>IF('数据-取费表'!B22&lt;=1,"单利计息","复利计息")</f>
        <v>复利计息</v>
      </c>
    </row>
    <row r="42" spans="1:7" ht="13.5" customHeight="1">
      <c r="A42" s="952" t="s">
        <v>791</v>
      </c>
      <c r="B42" s="257" t="s">
        <v>2413</v>
      </c>
      <c r="C42" s="280">
        <f ca="1">ROUND(IF('数据-取费表'!B22&lt;=1,C33*F22*'数据-取费表'!B21/2,C33*(POWER((1+F22),'数据-取费表'!B21/2)-1)),0)</f>
        <v>24</v>
      </c>
      <c r="D42" s="280"/>
      <c r="E42" s="280"/>
      <c r="F42" s="281"/>
      <c r="G42" s="3181" t="s">
        <v>2414</v>
      </c>
    </row>
    <row r="43" spans="1:7" ht="13.5" customHeight="1">
      <c r="A43" s="952" t="s">
        <v>792</v>
      </c>
      <c r="B43" s="257" t="s">
        <v>2415</v>
      </c>
      <c r="C43" s="280">
        <f ca="1">ROUND(IF('数据-取费表'!B22&lt;=1,C39*F22*'数据-取费表'!B21/2,C39*(POWER((1+F22),'数据-取费表'!B21/2)-1)),0)</f>
        <v>0</v>
      </c>
      <c r="D43" s="280"/>
      <c r="E43" s="280"/>
      <c r="F43" s="281"/>
      <c r="G43" s="3182"/>
    </row>
    <row r="44" spans="1:7" ht="13.5" customHeight="1">
      <c r="A44" s="952" t="s">
        <v>793</v>
      </c>
      <c r="B44" s="257" t="s">
        <v>2416</v>
      </c>
      <c r="C44" s="280">
        <f ca="1">ROUND(IF('数据-取费表'!B22&lt;=1,C40*F22*'数据-取费表'!B21/2,C40*(POWER((1+F22),'数据-取费表'!B21/2)-1)),4)</f>
        <v>1E-3</v>
      </c>
      <c r="D44" s="280"/>
      <c r="E44" s="280"/>
      <c r="F44" s="281"/>
      <c r="G44" s="3183"/>
    </row>
    <row r="45" spans="1:7" s="256" customFormat="1" ht="13.5" customHeight="1">
      <c r="A45" s="297" t="s">
        <v>2417</v>
      </c>
      <c r="B45" s="286" t="s">
        <v>2383</v>
      </c>
      <c r="C45" s="287">
        <f ca="1">C46</f>
        <v>154</v>
      </c>
      <c r="D45" s="277">
        <f ca="1">C47</f>
        <v>6.0000000000000001E-3</v>
      </c>
      <c r="E45" s="278" t="s">
        <v>2409</v>
      </c>
      <c r="F45" s="288"/>
      <c r="G45" s="289" t="s">
        <v>2418</v>
      </c>
    </row>
    <row r="46" spans="1:7" s="256" customFormat="1" ht="13.5" customHeight="1">
      <c r="A46" s="952" t="s">
        <v>791</v>
      </c>
      <c r="B46" s="290" t="s">
        <v>2419</v>
      </c>
      <c r="C46" s="291">
        <f ca="1">ROUND((C33+C39)*F27,0)</f>
        <v>154</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1729">
        <f>ROUND(F30/(1+'数据-取费表'!C42),4)</f>
        <v>5.2400000000000002E-2</v>
      </c>
      <c r="D48" s="278" t="s">
        <v>2409</v>
      </c>
      <c r="E48" s="274"/>
      <c r="F48" s="279"/>
      <c r="G48" s="276" t="s">
        <v>2422</v>
      </c>
    </row>
    <row r="49" spans="1:7" ht="16.5" customHeight="1">
      <c r="A49" s="297" t="s">
        <v>2388</v>
      </c>
      <c r="B49" s="252" t="s">
        <v>2423</v>
      </c>
      <c r="C49" s="274">
        <f ca="1">ROUND((C33+C39+C41+C45)/(1-C40-D41-D45-C48),0)</f>
        <v>752</v>
      </c>
      <c r="D49" s="274"/>
      <c r="E49" s="274"/>
      <c r="F49" s="306"/>
      <c r="G49" s="276" t="s">
        <v>2424</v>
      </c>
    </row>
    <row r="50" spans="1:7" s="300" customFormat="1" ht="24">
      <c r="A50" s="297" t="s">
        <v>2425</v>
      </c>
      <c r="B50" s="252" t="s">
        <v>2426</v>
      </c>
      <c r="C50" s="274"/>
      <c r="D50" s="274"/>
      <c r="E50" s="274"/>
      <c r="F50" s="306">
        <f>IF('数据-取费表'!B24=0,'数据-取费表'!N16,1)</f>
        <v>0.8</v>
      </c>
      <c r="G50" s="289" t="s">
        <v>2427</v>
      </c>
    </row>
    <row r="51" spans="1:7" ht="16.5" customHeight="1">
      <c r="A51" s="297" t="s">
        <v>2428</v>
      </c>
      <c r="B51" s="252" t="s">
        <v>2429</v>
      </c>
      <c r="C51" s="274">
        <f ca="1">ROUND(C49*F50,0)</f>
        <v>602</v>
      </c>
      <c r="D51" s="274"/>
      <c r="E51" s="274"/>
      <c r="F51" s="306"/>
      <c r="G51" s="276" t="s">
        <v>2430</v>
      </c>
    </row>
    <row r="52" spans="1:7" s="250" customFormat="1" ht="16.5" thickBot="1">
      <c r="A52" s="307" t="s">
        <v>2431</v>
      </c>
      <c r="B52" s="308"/>
      <c r="C52" s="309">
        <f ca="1">C31+C51</f>
        <v>757</v>
      </c>
      <c r="D52" s="308"/>
      <c r="E52" s="308"/>
      <c r="F52" s="308"/>
      <c r="G52" s="310"/>
    </row>
    <row r="55" spans="1:7" ht="15">
      <c r="B55" s="312" t="s">
        <v>2432</v>
      </c>
      <c r="C55" s="313"/>
    </row>
    <row r="56" spans="1:7">
      <c r="B56" s="315" t="s">
        <v>1513</v>
      </c>
      <c r="C56" s="317">
        <f ca="1">1-C57</f>
        <v>0.20499999999999996</v>
      </c>
    </row>
    <row r="57" spans="1:7">
      <c r="B57" s="315" t="s">
        <v>1514</v>
      </c>
      <c r="C57" s="316">
        <f ca="1">ROUND(C51/C52,3)</f>
        <v>0.79500000000000004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5" t="str">
        <f>项目基本情况!B1</f>
        <v>北京市大兴区黄村镇兴华园8号楼-1至7层8-1房地产市场价值预评估</v>
      </c>
      <c r="C37" s="2995"/>
      <c r="D37" s="2995"/>
      <c r="E37" s="2995"/>
      <c r="F37" s="2995"/>
      <c r="G37" s="2995"/>
      <c r="H37" s="2995"/>
      <c r="I37" s="2995"/>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陈颖（注册号：1120060040)、叶凌（注册号：1119970111)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2464</v>
      </c>
      <c r="B1" s="1582"/>
      <c r="C1" s="1583"/>
      <c r="D1" s="1581"/>
      <c r="E1" s="318"/>
      <c r="F1" s="318"/>
      <c r="G1" s="1582"/>
      <c r="H1" s="318"/>
      <c r="I1" s="318"/>
      <c r="J1" s="318"/>
      <c r="K1" s="318">
        <f>MATCH(C1,'数据-取费表'!A6:A16,0)+5</f>
        <v>13</v>
      </c>
    </row>
    <row r="2" spans="1:33" ht="18" customHeight="1">
      <c r="A2" s="243" t="s">
        <v>2332</v>
      </c>
      <c r="B2" s="246">
        <f ca="1">C32</f>
        <v>-129</v>
      </c>
      <c r="C2" s="318" t="s">
        <v>2465</v>
      </c>
      <c r="D2" s="318"/>
      <c r="E2" s="318"/>
      <c r="F2" s="318"/>
      <c r="G2" s="318"/>
      <c r="H2" s="318"/>
      <c r="I2" s="318"/>
      <c r="J2" s="318"/>
      <c r="K2" s="318"/>
    </row>
    <row r="3" spans="1:33" ht="18" customHeight="1" thickBot="1">
      <c r="A3" s="245" t="s">
        <v>2334</v>
      </c>
      <c r="B3" s="246">
        <f ca="1">ROUND(B2*10000/IF(C1="",'数据-汇总表'!E3,INDIRECT("'数据-取费表'!K"&amp;$K$1)),0)</f>
        <v>-259</v>
      </c>
      <c r="C3" s="318" t="s">
        <v>2466</v>
      </c>
      <c r="D3" s="318"/>
      <c r="E3" s="318"/>
      <c r="F3" s="318"/>
      <c r="G3" s="318"/>
      <c r="H3" s="318"/>
      <c r="I3" s="318"/>
      <c r="J3" s="318"/>
      <c r="K3" s="318"/>
    </row>
    <row r="4" spans="1:33" s="957" customFormat="1" ht="16.5" customHeight="1">
      <c r="A4" s="954" t="s">
        <v>2467</v>
      </c>
      <c r="B4" s="955"/>
      <c r="C4" s="997">
        <f>SUM(C8:K8)</f>
        <v>0</v>
      </c>
      <c r="D4" s="955"/>
      <c r="E4" s="955"/>
      <c r="F4" s="955"/>
      <c r="G4" s="955"/>
      <c r="H4" s="955"/>
      <c r="I4" s="955"/>
      <c r="J4" s="955"/>
      <c r="K4" s="956"/>
    </row>
    <row r="5" spans="1:33" s="961" customFormat="1" ht="24.75">
      <c r="A5" s="958" t="s">
        <v>2468</v>
      </c>
      <c r="B5" s="959" t="s">
        <v>2469</v>
      </c>
      <c r="C5" s="2557" t="s">
        <v>2470</v>
      </c>
      <c r="D5" s="2557" t="s">
        <v>2471</v>
      </c>
      <c r="E5" s="2557" t="s">
        <v>2472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2473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2476</v>
      </c>
      <c r="B8" s="175" t="s">
        <v>2477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2478</v>
      </c>
      <c r="B9" s="955"/>
      <c r="C9" s="955"/>
      <c r="D9" s="955"/>
      <c r="E9" s="955"/>
      <c r="F9" s="955"/>
      <c r="G9" s="955"/>
      <c r="H9" s="955"/>
      <c r="I9" s="955"/>
      <c r="J9" s="955"/>
      <c r="K9" s="956"/>
    </row>
    <row r="10" spans="1:33" s="971" customFormat="1" ht="13.5" customHeight="1">
      <c r="A10" s="958" t="s">
        <v>2479</v>
      </c>
      <c r="B10" s="8" t="s">
        <v>2480</v>
      </c>
      <c r="C10" s="967" t="s">
        <v>2481</v>
      </c>
      <c r="D10" s="968" t="s">
        <v>2482</v>
      </c>
      <c r="E10" s="968" t="s">
        <v>2483</v>
      </c>
      <c r="F10" s="968" t="s">
        <v>2484</v>
      </c>
      <c r="G10" s="8"/>
      <c r="H10" s="969"/>
      <c r="I10" s="969"/>
      <c r="J10" s="969"/>
      <c r="K10" s="970"/>
    </row>
    <row r="11" spans="1:33" s="976" customFormat="1" ht="13.5" customHeight="1">
      <c r="A11" s="972" t="s">
        <v>1334</v>
      </c>
      <c r="B11" s="973" t="s">
        <v>2485</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2486</v>
      </c>
      <c r="C12" s="24">
        <f ca="1">ROUND(C11*F12,0)</f>
        <v>0</v>
      </c>
      <c r="D12" s="974"/>
      <c r="E12" s="373"/>
      <c r="F12" s="977">
        <f>'数据-取费表'!B33</f>
        <v>0.04</v>
      </c>
      <c r="G12" s="8" t="s">
        <v>2487</v>
      </c>
      <c r="H12" s="969"/>
      <c r="I12" s="969"/>
      <c r="J12" s="969"/>
      <c r="K12" s="970"/>
    </row>
    <row r="13" spans="1:33" s="976" customFormat="1" ht="13.5" customHeight="1">
      <c r="A13" s="972" t="s">
        <v>1336</v>
      </c>
      <c r="B13" s="973" t="s">
        <v>2488</v>
      </c>
      <c r="C13" s="24">
        <f ca="1">ROUND(IF(C1="",SUMIF('数据-取费表'!C:C,"住宅",'数据-取费表'!P:P)*F13,IF(INDIRECT("'数据-取费表'!c"&amp;$K$1)="住宅",INDIRECT("'数据-取费表'!P"&amp;$K$1)*F13,0)),0)</f>
        <v>0</v>
      </c>
      <c r="D13" s="1034"/>
      <c r="E13" s="373"/>
      <c r="F13" s="977">
        <f>'数据-取费表'!B34</f>
        <v>0</v>
      </c>
      <c r="G13" s="8" t="s">
        <v>2489</v>
      </c>
      <c r="H13" s="969"/>
      <c r="I13" s="969"/>
      <c r="J13" s="969"/>
      <c r="K13" s="970"/>
    </row>
    <row r="14" spans="1:33" s="978" customFormat="1" ht="13.5" customHeight="1">
      <c r="A14" s="972" t="s">
        <v>1337</v>
      </c>
      <c r="B14" s="973" t="s">
        <v>2490</v>
      </c>
      <c r="C14" s="24">
        <f ca="1">ROUND(D14*E14*F11/10000,0)</f>
        <v>0</v>
      </c>
      <c r="D14" s="1034">
        <f ca="1">IF(C1="",'数据-汇总表'!E3,INDIRECT("'数据-取费表'!K"&amp;$K$1)+INDIRECT("'数据-取费表'!S"&amp;$K$1))</f>
        <v>4983.7199999999993</v>
      </c>
      <c r="E14" s="24">
        <f>'数据-取费表'!B35</f>
        <v>200</v>
      </c>
      <c r="F14" s="977"/>
      <c r="G14" s="8" t="s">
        <v>2491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2492</v>
      </c>
      <c r="C15" s="984">
        <f ca="1">ROUND(C11*F15,0)</f>
        <v>0</v>
      </c>
      <c r="D15" s="979"/>
      <c r="E15" s="984"/>
      <c r="F15" s="985">
        <f>'数据-取费表'!B36</f>
        <v>1.4999999999999999E-2</v>
      </c>
      <c r="G15" s="138" t="s">
        <v>2493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2494</v>
      </c>
      <c r="C16" s="984">
        <f ca="1">SUM(C11:C15)</f>
        <v>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2495</v>
      </c>
      <c r="C17" s="24">
        <f ca="1">ROUND(D17*E17/10000,0)</f>
        <v>0</v>
      </c>
      <c r="D17" s="1034">
        <f ca="1">D14</f>
        <v>4983.7199999999993</v>
      </c>
      <c r="E17" s="24">
        <f>'数据-取费表'!B32</f>
        <v>0</v>
      </c>
      <c r="F17" s="979"/>
      <c r="G17" s="138" t="s">
        <v>2496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2497</v>
      </c>
      <c r="C18" s="24">
        <f ca="1">C19+C20-IF(C1="",'数据-取费表'!B29,IF(G18="已全部缴纳",C19+C20,H18))</f>
        <v>100</v>
      </c>
      <c r="D18" s="1034"/>
      <c r="E18" s="24"/>
      <c r="F18" s="977"/>
      <c r="G18" s="2559"/>
      <c r="H18" s="1578"/>
      <c r="I18" s="2560" t="s">
        <v>2498</v>
      </c>
      <c r="J18" s="980"/>
      <c r="K18" s="981"/>
    </row>
    <row r="19" spans="1:33" s="976" customFormat="1" ht="13.5" customHeight="1">
      <c r="A19" s="972" t="s">
        <v>805</v>
      </c>
      <c r="B19" s="973" t="s">
        <v>2499</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2500</v>
      </c>
      <c r="C20" s="24">
        <f ca="1">ROUND(D20*E20/10000,0)</f>
        <v>100</v>
      </c>
      <c r="D20" s="1034">
        <f ca="1">IF(C1="",'数据-汇总表'!E6,IF(INDIRECT("'数据-取费表'!c"&amp;$K$1)="住宅",INDIRECT("'数据-取费表'!s"&amp;$K$1),INDIRECT("'数据-取费表'!k"&amp;$K$1)+INDIRECT("'数据-取费表'!s"&amp;$K$1)))</f>
        <v>4983.7199999999993</v>
      </c>
      <c r="E20" s="24">
        <f>'数据-取费表'!B28</f>
        <v>200</v>
      </c>
      <c r="F20" s="977"/>
      <c r="G20" s="15"/>
      <c r="H20" s="982"/>
      <c r="I20" s="982"/>
      <c r="J20" s="982"/>
      <c r="K20" s="983"/>
    </row>
    <row r="21" spans="1:33" s="976" customFormat="1" ht="13.5" customHeight="1">
      <c r="A21" s="962" t="s">
        <v>802</v>
      </c>
      <c r="B21" s="986" t="s">
        <v>2501</v>
      </c>
      <c r="C21" s="987">
        <f ca="1">C16+C17+C18</f>
        <v>100</v>
      </c>
      <c r="D21" s="988"/>
      <c r="E21" s="323"/>
      <c r="F21" s="323"/>
      <c r="G21" s="138" t="s">
        <v>2502</v>
      </c>
      <c r="H21" s="980"/>
      <c r="I21" s="980"/>
      <c r="J21" s="980"/>
      <c r="K21" s="981"/>
    </row>
    <row r="22" spans="1:33" s="976" customFormat="1" ht="13.5" customHeight="1">
      <c r="A22" s="962" t="s">
        <v>2474</v>
      </c>
      <c r="B22" s="986" t="s">
        <v>2503</v>
      </c>
      <c r="C22" s="987">
        <f ca="1">ROUND(C21*F22,0)</f>
        <v>2</v>
      </c>
      <c r="D22" s="323"/>
      <c r="E22" s="323"/>
      <c r="F22" s="989">
        <f>'数据-取费表'!B37</f>
        <v>0.02</v>
      </c>
      <c r="G22" s="8" t="s">
        <v>2504</v>
      </c>
      <c r="H22" s="969"/>
      <c r="I22" s="969"/>
      <c r="J22" s="969"/>
      <c r="K22" s="970"/>
    </row>
    <row r="23" spans="1:33" s="976" customFormat="1" ht="13.5" customHeight="1">
      <c r="A23" s="962" t="s">
        <v>2476</v>
      </c>
      <c r="B23" s="986" t="s">
        <v>2505</v>
      </c>
      <c r="C23" s="987">
        <f ca="1">ROUND(C4*F23*F11,0)</f>
        <v>0</v>
      </c>
      <c r="D23" s="323"/>
      <c r="E23" s="323"/>
      <c r="F23" s="989">
        <f>'数据-取费表'!B38</f>
        <v>0.02</v>
      </c>
      <c r="G23" s="8" t="s">
        <v>2506</v>
      </c>
      <c r="H23" s="969"/>
      <c r="I23" s="969"/>
      <c r="J23" s="969"/>
      <c r="K23" s="970"/>
    </row>
    <row r="24" spans="1:33" s="976" customFormat="1" ht="13.5" customHeight="1">
      <c r="A24" s="962" t="s">
        <v>2507</v>
      </c>
      <c r="B24" s="986" t="s">
        <v>2508</v>
      </c>
      <c r="C24" s="322">
        <f>ROUND(F24/(1+'数据-取费表'!C42),4)</f>
        <v>2.9000000000000001E-2</v>
      </c>
      <c r="D24" s="323" t="s">
        <v>15</v>
      </c>
      <c r="E24" s="323"/>
      <c r="F24" s="989">
        <f>'数据-取费表'!B48+'数据-取费表'!B49</f>
        <v>3.0499999999999999E-2</v>
      </c>
      <c r="G24" s="8" t="s">
        <v>2509</v>
      </c>
      <c r="H24" s="991"/>
      <c r="I24" s="991"/>
      <c r="J24" s="991"/>
      <c r="K24" s="992"/>
    </row>
    <row r="25" spans="1:33" s="976" customFormat="1" ht="13.5" customHeight="1">
      <c r="A25" s="962" t="s">
        <v>2510</v>
      </c>
      <c r="B25" s="988" t="s">
        <v>2511</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2512</v>
      </c>
      <c r="C26" s="1358">
        <f ca="1">ROUND(IF('数据-取费表'!B22&lt;=1,(1+C24)*F25*'数据-取费表'!B24,(1+C24)*(POWER((1+F25),'数据-取费表'!B24)-1)),4)</f>
        <v>0</v>
      </c>
      <c r="D26" s="326"/>
      <c r="E26" s="327"/>
      <c r="F26" s="328"/>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2513</v>
      </c>
      <c r="C27" s="1359">
        <f ca="1">ROUND(IF('数据-取费表'!B22&lt;=1,(C21+C22+C23)*F25*'数据-取费表'!B24/2,(C21+C22+C23)*(POWER((1+F25),'数据-取费表'!B24/2)-1)),0)</f>
        <v>0</v>
      </c>
      <c r="D27" s="326"/>
      <c r="E27" s="327"/>
      <c r="F27" s="328"/>
      <c r="G27" s="2561" t="str">
        <f>IF('数据-取费表'!B22&lt;=1,"（1）-（3）项×年利率×建设期÷2","（1）-（3）项×((1+年利率)^(建设期÷2)-1)")</f>
        <v>（1）-（3）项×((1+年利率)^(建设期÷2)-1)</v>
      </c>
      <c r="H27" s="980"/>
      <c r="I27" s="980"/>
      <c r="J27" s="980"/>
      <c r="K27" s="981"/>
    </row>
    <row r="28" spans="1:33" s="331" customFormat="1" ht="13.5" customHeight="1">
      <c r="A28" s="962" t="s">
        <v>2514</v>
      </c>
      <c r="B28" s="2562" t="s">
        <v>2515</v>
      </c>
      <c r="C28" s="329">
        <f ca="1">C30</f>
        <v>31</v>
      </c>
      <c r="D28" s="322">
        <f ca="1">C29</f>
        <v>0</v>
      </c>
      <c r="E28" s="324" t="s">
        <v>15</v>
      </c>
      <c r="F28" s="330">
        <f ca="1">IF(C1="",'数据-取费表'!Q16,INDIRECT("'数据-取费表'!q"&amp;$K$1))</f>
        <v>0.3</v>
      </c>
      <c r="G28" s="990"/>
      <c r="H28" s="991"/>
      <c r="I28" s="991"/>
      <c r="J28" s="991"/>
      <c r="K28" s="992"/>
    </row>
    <row r="29" spans="1:33" s="333" customFormat="1" ht="13.5" customHeight="1">
      <c r="A29" s="972" t="s">
        <v>803</v>
      </c>
      <c r="B29" s="995" t="s">
        <v>2516</v>
      </c>
      <c r="C29" s="326">
        <f ca="1">ROUND((1+C24)*F28*'数据-取费表'!B24/'数据-取费表'!B20,4)</f>
        <v>0</v>
      </c>
      <c r="D29" s="326"/>
      <c r="E29" s="327"/>
      <c r="F29" s="332"/>
      <c r="G29" s="138" t="s">
        <v>2517</v>
      </c>
      <c r="H29" s="980"/>
      <c r="I29" s="980"/>
      <c r="J29" s="980"/>
      <c r="K29" s="981"/>
    </row>
    <row r="30" spans="1:33" s="333" customFormat="1" ht="13.5" customHeight="1">
      <c r="A30" s="972" t="s">
        <v>804</v>
      </c>
      <c r="B30" s="995" t="s">
        <v>2518</v>
      </c>
      <c r="C30" s="334">
        <f ca="1">ROUND((C21+C22+C23)*F28,0)</f>
        <v>31</v>
      </c>
      <c r="D30" s="326"/>
      <c r="E30" s="327"/>
      <c r="F30" s="332"/>
      <c r="G30" s="138"/>
      <c r="H30" s="980"/>
      <c r="I30" s="980"/>
      <c r="J30" s="980"/>
      <c r="K30" s="981"/>
    </row>
    <row r="31" spans="1:33" s="976" customFormat="1" ht="13.5" customHeight="1" thickBot="1">
      <c r="A31" s="2563" t="s">
        <v>2519</v>
      </c>
      <c r="B31" s="1006" t="s">
        <v>2520</v>
      </c>
      <c r="C31" s="1007">
        <f>ROUND(C4*F31/(1+'数据-取费表'!C42),0)</f>
        <v>0</v>
      </c>
      <c r="D31" s="1008"/>
      <c r="E31" s="1009"/>
      <c r="F31" s="1010">
        <f>'数据-取费表'!B41</f>
        <v>5.5000000000000007E-2</v>
      </c>
      <c r="G31" s="1011" t="s">
        <v>2521</v>
      </c>
      <c r="H31" s="1012"/>
      <c r="I31" s="1012"/>
      <c r="J31" s="1012"/>
      <c r="K31" s="1013"/>
    </row>
    <row r="32" spans="1:33" s="971" customFormat="1" ht="13.5" customHeight="1" thickBot="1">
      <c r="A32" s="1001" t="s">
        <v>2522</v>
      </c>
      <c r="B32" s="1002"/>
      <c r="C32" s="1003">
        <f ca="1">ROUND((C4-C21-C22-C23-C25-C28-C31)/(1+C24+D25+D28),0)</f>
        <v>-129</v>
      </c>
      <c r="D32" s="1002"/>
      <c r="E32" s="1002"/>
      <c r="F32" s="1002"/>
      <c r="G32" s="1004" t="s">
        <v>2523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13</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0</v>
      </c>
      <c r="D5" s="1823" t="s">
        <v>1402</v>
      </c>
      <c r="E5" s="1294"/>
      <c r="F5" s="1295"/>
      <c r="G5" s="1852"/>
      <c r="H5" s="342">
        <v>1</v>
      </c>
      <c r="I5" s="343" t="s">
        <v>1401</v>
      </c>
      <c r="J5" s="1293">
        <f ca="1">J6+J10+J12</f>
        <v>0</v>
      </c>
      <c r="K5" s="1823" t="s">
        <v>1402</v>
      </c>
      <c r="L5" s="1294"/>
      <c r="M5" s="1295"/>
    </row>
    <row r="6" spans="1:37" ht="18" customHeight="1">
      <c r="A6" s="1292" t="s">
        <v>1035</v>
      </c>
      <c r="B6" s="3186" t="s">
        <v>1403</v>
      </c>
      <c r="C6" s="1297">
        <f ca="1">ROUND(F6*F8*F7*(1-F9)/10000,0)</f>
        <v>0</v>
      </c>
      <c r="D6" s="162" t="s">
        <v>3033</v>
      </c>
      <c r="E6" s="345" t="s">
        <v>1405</v>
      </c>
      <c r="F6" s="346">
        <f ca="1">INDIRECT("'数据-取费表'!u"&amp;$G$1)</f>
        <v>0</v>
      </c>
      <c r="G6" s="1852"/>
      <c r="H6" s="1292" t="s">
        <v>1035</v>
      </c>
      <c r="I6" s="3186" t="s">
        <v>1403</v>
      </c>
      <c r="J6" s="344">
        <f ca="1">ROUND(M6*M8*M7*(1-M9)/10000,0)</f>
        <v>0</v>
      </c>
      <c r="K6" s="162" t="s">
        <v>3032</v>
      </c>
      <c r="L6" s="345" t="s">
        <v>1405</v>
      </c>
      <c r="M6" s="346">
        <f ca="1">INDIRECT("'数据-取费表'!z"&amp;$G$1)</f>
        <v>0</v>
      </c>
    </row>
    <row r="7" spans="1:37" ht="18" customHeight="1">
      <c r="A7" s="1296"/>
      <c r="B7" s="3187"/>
      <c r="C7" s="1298"/>
      <c r="D7" s="350"/>
      <c r="E7" s="1299" t="s">
        <v>1406</v>
      </c>
      <c r="F7" s="346">
        <f ca="1">IF(INDIRECT("'数据-取费表'!ah"&amp;$G$1)="",INDIRECT("'数据-取费表'!k"&amp;$G$1),INDIRECT("'数据-取费表'!ah"&amp;$G$1))</f>
        <v>0</v>
      </c>
      <c r="G7" s="1852"/>
      <c r="H7" s="347"/>
      <c r="I7" s="3187"/>
      <c r="J7" s="349"/>
      <c r="K7" s="350"/>
      <c r="L7" s="345" t="s">
        <v>1406</v>
      </c>
      <c r="M7" s="346">
        <f ca="1">F7</f>
        <v>0</v>
      </c>
    </row>
    <row r="8" spans="1:37" ht="18" customHeight="1">
      <c r="A8" s="347"/>
      <c r="B8" s="3187"/>
      <c r="C8" s="349"/>
      <c r="D8" s="350"/>
      <c r="E8" s="345" t="s">
        <v>1407</v>
      </c>
      <c r="F8" s="346">
        <f ca="1">INDIRECT("'数据-取费表'!ai"&amp;$G$1)</f>
        <v>0</v>
      </c>
      <c r="G8" s="1852"/>
      <c r="H8" s="347"/>
      <c r="I8" s="3187"/>
      <c r="J8" s="349"/>
      <c r="K8" s="350"/>
      <c r="L8" s="345" t="s">
        <v>1407</v>
      </c>
      <c r="M8" s="346">
        <f ca="1">INDIRECT("'数据-取费表'!ai"&amp;$G$1)</f>
        <v>0</v>
      </c>
    </row>
    <row r="9" spans="1:37" ht="18" customHeight="1">
      <c r="A9" s="347"/>
      <c r="B9" s="3188"/>
      <c r="C9" s="349"/>
      <c r="D9" s="350"/>
      <c r="E9" s="345" t="s">
        <v>1408</v>
      </c>
      <c r="F9" s="355">
        <f ca="1">INDIRECT("'数据-取费表'!w"&amp;$G$1)</f>
        <v>0</v>
      </c>
      <c r="G9" s="1852"/>
      <c r="H9" s="347"/>
      <c r="I9" s="3188"/>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3041</v>
      </c>
      <c r="E10" s="356" t="s">
        <v>1410</v>
      </c>
      <c r="F10" s="1367"/>
      <c r="G10" s="1852"/>
      <c r="H10" s="1292" t="s">
        <v>1039</v>
      </c>
      <c r="I10" s="1824" t="s">
        <v>1409</v>
      </c>
      <c r="J10" s="344">
        <f ca="1">ROUND(IF(M10="押一",J6/12*M11,IF(M10="押二",J6/12*2*M11,IF(M10="押三",J6/12*3*M11,J11*M11))),0)</f>
        <v>0</v>
      </c>
      <c r="K10" s="1825" t="s">
        <v>3040</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ROUND(F17*(F43+INDIRECT("'数据-取费表'!S"&amp;$G$1))/10000,0)</f>
        <v>0</v>
      </c>
      <c r="D17" s="345" t="s">
        <v>1427</v>
      </c>
      <c r="E17" s="345" t="s">
        <v>1428</v>
      </c>
      <c r="F17" s="26">
        <f>'数据-取费表'!B35</f>
        <v>200</v>
      </c>
      <c r="G17" s="1855"/>
      <c r="H17" s="1202" t="s">
        <v>1035</v>
      </c>
      <c r="I17" s="345" t="s">
        <v>1429</v>
      </c>
      <c r="J17" s="24">
        <f ca="1">ROUND(IF(项目基本情况!B11="自然人",J5*M17,J18+J19+J20),1)</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IF(K19="按租金收入计税",ROUND(J5*M19,2),ROUND(C29*M19*0.7,2))</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ROUND(M20*M21/10000,2)</f>
        <v>0</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0.02</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ROUND(J14*M22,1)</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ROUND(J13*M23,1)</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3.5000000000000003E-2</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ROUND(C13*F37,1)</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0</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50</v>
      </c>
      <c r="M47" s="1839" t="str">
        <f>IF(ISNUMBER(FIND("住宅",C1)),"住宅","非住宅")</f>
        <v>非住宅</v>
      </c>
      <c r="O47" s="1885" t="s">
        <v>1040</v>
      </c>
      <c r="P47" s="1886" t="s">
        <v>1528</v>
      </c>
      <c r="Q47" s="1887">
        <f ca="1">C40+J29</f>
        <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31.53</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59">
        <f ca="1">ROUND(IF(F53="押一",C49/12*F11,IF(F53="押二",C49/12*2*F11,IF(F53="押三",C49/12*3*F11,C54*F11))),0)</f>
        <v>0</v>
      </c>
      <c r="D53" s="1825" t="s">
        <v>3040</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84" t="s">
        <v>1548</v>
      </c>
      <c r="L53" s="3185"/>
      <c r="O53" s="1885" t="s">
        <v>1046</v>
      </c>
      <c r="P53" s="1886" t="s">
        <v>1549</v>
      </c>
      <c r="Q53" s="1887">
        <f ca="1">Q47+Q48</f>
        <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0</v>
      </c>
      <c r="D56" s="1915"/>
      <c r="E56" s="1916"/>
      <c r="F56" s="1908"/>
      <c r="I56" s="1917" t="s">
        <v>1554</v>
      </c>
      <c r="J56" s="1918"/>
      <c r="K56" s="1888" t="s">
        <v>1555</v>
      </c>
      <c r="L56" s="1891">
        <f ca="1">IF(L48&lt;J51,"——",L48-J53)</f>
        <v>31.53</v>
      </c>
      <c r="O56" s="1885" t="s">
        <v>1040</v>
      </c>
      <c r="P56" s="1886" t="s">
        <v>1528</v>
      </c>
      <c r="Q56" s="1887">
        <f ca="1">C40+J29</f>
        <v>0</v>
      </c>
      <c r="R56" s="1887" t="s">
        <v>1529</v>
      </c>
    </row>
    <row r="57" spans="1:18" s="1843" customFormat="1" ht="24.75" thickBot="1">
      <c r="A57" s="1919"/>
      <c r="B57" s="1170" t="s">
        <v>1478</v>
      </c>
      <c r="C57" s="280">
        <f ca="1">C29</f>
        <v>0</v>
      </c>
      <c r="D57" s="1920"/>
      <c r="E57" s="1921"/>
      <c r="F57" s="1922"/>
      <c r="I57" s="1923" t="s">
        <v>1556</v>
      </c>
      <c r="J57" s="1924" t="str">
        <f ca="1">IF(OR(M47="住宅",J51&lt;L48,J56="是"),"——",J51-L48)</f>
        <v>——</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8" t="s">
        <v>1030</v>
      </c>
      <c r="B58" s="1178" t="s">
        <v>1424</v>
      </c>
      <c r="C58" s="359">
        <f ca="1">ROUND(C59+C64+C65+C66,0)</f>
        <v>0</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0</v>
      </c>
      <c r="D59" s="1183" t="s">
        <v>1430</v>
      </c>
      <c r="E59" s="1184" t="s">
        <v>1431</v>
      </c>
      <c r="F59" s="366"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4">
        <f t="shared" ca="1" si="0"/>
        <v>0</v>
      </c>
      <c r="I65" s="1930" t="s">
        <v>1579</v>
      </c>
      <c r="J65" s="1931">
        <v>40</v>
      </c>
      <c r="K65" s="1931">
        <v>30</v>
      </c>
      <c r="L65" s="1931">
        <v>50</v>
      </c>
      <c r="M65" s="1933">
        <v>0.02</v>
      </c>
      <c r="O65" s="1885" t="s">
        <v>1040</v>
      </c>
      <c r="P65" s="1886" t="s">
        <v>1580</v>
      </c>
      <c r="Q65" s="1887">
        <f ca="1">C40+J29</f>
        <v>0</v>
      </c>
      <c r="R65" s="1887" t="s">
        <v>1529</v>
      </c>
    </row>
    <row r="66" spans="1:18" s="1843" customFormat="1" ht="16.5" thickBot="1">
      <c r="A66" s="1202" t="s">
        <v>1504</v>
      </c>
      <c r="B66" s="1170" t="s">
        <v>1439</v>
      </c>
      <c r="C66" s="24">
        <f ca="1">ROUND(C48*F66,1)</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f ca="1">ROUND(C67*(1-((1+F70)/(1+F68))^F69)/(F68-F70),0)</f>
        <v>0</v>
      </c>
      <c r="D68" s="1185" t="s">
        <v>1469</v>
      </c>
      <c r="E68" s="1170" t="s">
        <v>1470</v>
      </c>
      <c r="F68" s="355">
        <f ca="1">F40</f>
        <v>3.5000000000000003E-2</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c r="O70" s="1895" t="s">
        <v>1049</v>
      </c>
      <c r="P70" s="1935" t="s">
        <v>1585</v>
      </c>
      <c r="Q70" s="1887">
        <f ca="1">C13</f>
        <v>0</v>
      </c>
      <c r="R70" s="1887" t="s">
        <v>1529</v>
      </c>
    </row>
    <row r="71" spans="1:18" s="1843" customFormat="1" ht="13.5" thickBot="1">
      <c r="A71" s="1191" t="s">
        <v>1033</v>
      </c>
      <c r="B71" s="1192" t="s">
        <v>1487</v>
      </c>
      <c r="C71" s="380" t="e">
        <f ca="1">ROUND(C68*10000/F71,0)</f>
        <v>#DIV/0!</v>
      </c>
      <c r="D71" s="1193" t="s">
        <v>1488</v>
      </c>
      <c r="E71" s="1194" t="s">
        <v>1489</v>
      </c>
      <c r="F71" s="383">
        <f ca="1">F43</f>
        <v>0</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D10" sqref="D10"/>
    </sheetView>
  </sheetViews>
  <sheetFormatPr defaultRowHeight="13.5"/>
  <cols>
    <col min="5" max="5" width="14.875" customWidth="1"/>
  </cols>
  <sheetData>
    <row r="2" spans="2:5">
      <c r="B2" s="2980" t="s">
        <v>3123</v>
      </c>
      <c r="C2" s="2980" t="s">
        <v>3127</v>
      </c>
      <c r="D2" s="2980" t="s">
        <v>3125</v>
      </c>
      <c r="E2" s="2980" t="s">
        <v>3126</v>
      </c>
    </row>
    <row r="3" spans="2:5">
      <c r="B3" s="2981">
        <v>1</v>
      </c>
      <c r="C3" s="2981">
        <f>'数据-汇总表'!F19</f>
        <v>709.04</v>
      </c>
      <c r="D3" s="2981">
        <f ca="1">典型户型修正!R24</f>
        <v>27672</v>
      </c>
      <c r="E3" s="2981">
        <f ca="1">ROUND(D3*C3,0)</f>
        <v>19620555</v>
      </c>
    </row>
    <row r="4" spans="2:5">
      <c r="B4" s="2981">
        <v>2</v>
      </c>
      <c r="C4" s="2981">
        <f>C3</f>
        <v>709.04</v>
      </c>
      <c r="D4" s="2981">
        <f ca="1">典型户型修正!R25</f>
        <v>26420</v>
      </c>
      <c r="E4" s="2981">
        <f t="shared" ref="E4:E9" ca="1" si="0">ROUND(D4*C4,0)</f>
        <v>18732837</v>
      </c>
    </row>
    <row r="5" spans="2:5">
      <c r="B5" s="2981">
        <v>3</v>
      </c>
      <c r="C5" s="2981">
        <f>C3</f>
        <v>709.04</v>
      </c>
      <c r="D5" s="2981">
        <f ca="1">典型户型修正!R26</f>
        <v>26551</v>
      </c>
      <c r="E5" s="2981">
        <f t="shared" ca="1" si="0"/>
        <v>18825721</v>
      </c>
    </row>
    <row r="6" spans="2:5">
      <c r="B6" s="2981">
        <v>4</v>
      </c>
      <c r="C6" s="2981">
        <f>C3</f>
        <v>709.04</v>
      </c>
      <c r="D6" s="2981">
        <f ca="1">典型户型修正!R27</f>
        <v>26683</v>
      </c>
      <c r="E6" s="2981">
        <f t="shared" ca="1" si="0"/>
        <v>18919314</v>
      </c>
    </row>
    <row r="7" spans="2:5">
      <c r="B7" s="2981">
        <v>5</v>
      </c>
      <c r="C7" s="2981">
        <f>C3</f>
        <v>709.04</v>
      </c>
      <c r="D7" s="2981">
        <f ca="1">典型户型修正!R28</f>
        <v>26814</v>
      </c>
      <c r="E7" s="2981">
        <f t="shared" ca="1" si="0"/>
        <v>19012199</v>
      </c>
    </row>
    <row r="8" spans="2:5">
      <c r="B8" s="2981">
        <v>6</v>
      </c>
      <c r="C8" s="2981">
        <f>C3</f>
        <v>709.04</v>
      </c>
      <c r="D8" s="2981">
        <f ca="1">典型户型修正!R29</f>
        <v>26946</v>
      </c>
      <c r="E8" s="2981">
        <f t="shared" ca="1" si="0"/>
        <v>19105792</v>
      </c>
    </row>
    <row r="9" spans="2:5">
      <c r="B9" s="2980" t="s">
        <v>3124</v>
      </c>
      <c r="C9" s="2980">
        <f>'数据-汇总表'!G22</f>
        <v>729.48</v>
      </c>
      <c r="D9" s="2981">
        <f ca="1">ROUND('收益法 (地下)'!B3*0.7+'成本法 (地下)'!B3*0.3,0)</f>
        <v>10388</v>
      </c>
      <c r="E9" s="2981">
        <f t="shared" ca="1" si="0"/>
        <v>7577838</v>
      </c>
    </row>
    <row r="10" spans="2:5">
      <c r="B10" s="2982" t="s">
        <v>3128</v>
      </c>
      <c r="C10" s="2983">
        <f>SUM(C3:C9)</f>
        <v>4983.7199999999993</v>
      </c>
      <c r="D10" s="2982" t="s">
        <v>3129</v>
      </c>
      <c r="E10" s="2983">
        <f ca="1">SUM(E3:E9)</f>
        <v>121794256</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M6" sqref="M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3067</v>
      </c>
      <c r="D1" s="1821" t="s">
        <v>70</v>
      </c>
      <c r="E1" s="1822" t="s">
        <v>1387</v>
      </c>
      <c r="F1" s="1284">
        <f ca="1">J53</f>
        <v>31.53</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f ca="1">ROUND(D2/10000,0)</f>
        <v>2043</v>
      </c>
      <c r="C2" s="1846" t="s">
        <v>1591</v>
      </c>
      <c r="D2" s="1939">
        <f ca="1">C40+J29+L46</f>
        <v>20426988</v>
      </c>
      <c r="E2" s="1847" t="s">
        <v>1592</v>
      </c>
      <c r="F2" s="1848"/>
      <c r="G2" s="1849"/>
      <c r="H2" s="1841"/>
      <c r="I2" s="1841"/>
      <c r="J2" s="1841"/>
      <c r="K2" s="1842"/>
      <c r="L2" s="1841"/>
      <c r="M2" s="1841"/>
    </row>
    <row r="3" spans="1:37" ht="18" customHeight="1" thickBot="1">
      <c r="A3" s="1850" t="s">
        <v>1593</v>
      </c>
      <c r="B3" s="1851">
        <f ca="1">IF(ISERROR(D2/F43),0,ROUND(D2/F43,0))</f>
        <v>28809</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417188</v>
      </c>
      <c r="D5" s="1823" t="s">
        <v>1601</v>
      </c>
      <c r="E5" s="1294"/>
      <c r="F5" s="1295"/>
      <c r="G5" s="1852"/>
      <c r="H5" s="342">
        <v>1</v>
      </c>
      <c r="I5" s="343" t="s">
        <v>1600</v>
      </c>
      <c r="J5" s="1293">
        <f ca="1">J6+J10+J12</f>
        <v>1026127</v>
      </c>
      <c r="K5" s="1823" t="s">
        <v>1601</v>
      </c>
      <c r="L5" s="1294"/>
      <c r="M5" s="1295"/>
    </row>
    <row r="6" spans="1:37" ht="18" customHeight="1">
      <c r="A6" s="1292" t="s">
        <v>1035</v>
      </c>
      <c r="B6" s="3186" t="s">
        <v>1403</v>
      </c>
      <c r="C6" s="1297">
        <f ca="1">ROUND(F6*F8*F7*(1-F9),0)</f>
        <v>416667</v>
      </c>
      <c r="D6" s="162" t="s">
        <v>3030</v>
      </c>
      <c r="E6" s="345" t="s">
        <v>1405</v>
      </c>
      <c r="F6" s="346">
        <f ca="1">INDIRECT("'数据-取费表'!u"&amp;$G$1)</f>
        <v>1.61</v>
      </c>
      <c r="G6" s="1852"/>
      <c r="H6" s="1292" t="s">
        <v>1035</v>
      </c>
      <c r="I6" s="3186" t="s">
        <v>1403</v>
      </c>
      <c r="J6" s="344">
        <f ca="1">ROUND(M6*M8*M7*(1-M9),0)</f>
        <v>1024846</v>
      </c>
      <c r="K6" s="1835" t="s">
        <v>3031</v>
      </c>
      <c r="L6" s="345" t="s">
        <v>1405</v>
      </c>
      <c r="M6" s="2994">
        <f ca="1">INDIRECT("'数据-取费表'!z"&amp;$G$1)</f>
        <v>4.4000000000000004</v>
      </c>
    </row>
    <row r="7" spans="1:37" ht="18" customHeight="1">
      <c r="A7" s="1296"/>
      <c r="B7" s="3187"/>
      <c r="C7" s="1298"/>
      <c r="D7" s="350"/>
      <c r="E7" s="1299" t="s">
        <v>1406</v>
      </c>
      <c r="F7" s="346">
        <f ca="1">IF(INDIRECT("'数据-取费表'!ah"&amp;$G$1)="",INDIRECT("'数据-取费表'!k"&amp;$G$1),INDIRECT("'数据-取费表'!ah"&amp;$G$1))</f>
        <v>709.04</v>
      </c>
      <c r="G7" s="1852"/>
      <c r="H7" s="347"/>
      <c r="I7" s="3187"/>
      <c r="J7" s="349"/>
      <c r="K7" s="350"/>
      <c r="L7" s="345" t="s">
        <v>1406</v>
      </c>
      <c r="M7" s="346">
        <f ca="1">F7</f>
        <v>709.04</v>
      </c>
    </row>
    <row r="8" spans="1:37" ht="18" customHeight="1">
      <c r="A8" s="347"/>
      <c r="B8" s="3187"/>
      <c r="C8" s="349"/>
      <c r="D8" s="350"/>
      <c r="E8" s="345" t="s">
        <v>1407</v>
      </c>
      <c r="F8" s="346">
        <f ca="1">INDIRECT("'数据-取费表'!ai"&amp;$G$1)</f>
        <v>365</v>
      </c>
      <c r="G8" s="1852"/>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v>
      </c>
      <c r="G9" s="1852"/>
      <c r="H9" s="347"/>
      <c r="I9" s="3188"/>
      <c r="J9" s="349"/>
      <c r="K9" s="350"/>
      <c r="L9" s="356" t="s">
        <v>1408</v>
      </c>
      <c r="M9" s="357">
        <f ca="1">INDIRECT("'数据-取费表'!ab"&amp;$G$1)</f>
        <v>0.1</v>
      </c>
    </row>
    <row r="10" spans="1:37" ht="18" customHeight="1">
      <c r="A10" s="1292" t="s">
        <v>1039</v>
      </c>
      <c r="B10" s="1824" t="s">
        <v>1409</v>
      </c>
      <c r="C10" s="359">
        <f ca="1">ROUND(IF(F10="押一",C6/12*F11,IF(F10="押二",C6/12*2*F11,IF(F10="押三",C6/12*3*F11,C11*F11))),0)</f>
        <v>521</v>
      </c>
      <c r="D10" s="1825" t="s">
        <v>3040</v>
      </c>
      <c r="E10" s="356" t="s">
        <v>1410</v>
      </c>
      <c r="F10" s="1367" t="s">
        <v>3080</v>
      </c>
      <c r="G10" s="1852"/>
      <c r="H10" s="1292" t="s">
        <v>1039</v>
      </c>
      <c r="I10" s="1824" t="s">
        <v>1409</v>
      </c>
      <c r="J10" s="344">
        <f ca="1">ROUND(IF(M10="押一",J6/12*M11,IF(M10="押二",J6/12*2*M11,IF(M10="押三",J6/12*3*M11,J11*M11))),0)</f>
        <v>1281</v>
      </c>
      <c r="K10" s="1836" t="s">
        <v>3042</v>
      </c>
      <c r="L10" s="356" t="s">
        <v>1410</v>
      </c>
      <c r="M10" s="1367" t="s">
        <v>3080</v>
      </c>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2867601</v>
      </c>
      <c r="D13" s="1332" t="s">
        <v>1415</v>
      </c>
      <c r="E13" s="1332" t="s">
        <v>1416</v>
      </c>
      <c r="F13" s="1333">
        <f ca="1">INDIRECT("'数据-取费表'!y"&amp;$G$1)</f>
        <v>0.8</v>
      </c>
      <c r="G13" s="1852"/>
      <c r="H13" s="1330">
        <v>2</v>
      </c>
      <c r="I13" s="1331" t="s">
        <v>1414</v>
      </c>
      <c r="J13" s="1291">
        <f ca="1">ROUND(J14*J15,0)</f>
        <v>2329926</v>
      </c>
      <c r="K13" s="1338" t="s">
        <v>1415</v>
      </c>
      <c r="L13" s="1853"/>
      <c r="M13" s="1854"/>
    </row>
    <row r="14" spans="1:37" ht="18" customHeight="1">
      <c r="A14" s="1202" t="s">
        <v>1034</v>
      </c>
      <c r="B14" s="345" t="s">
        <v>1417</v>
      </c>
      <c r="C14" s="361">
        <f ca="1">ROUND(INDIRECT("'数据-取费表'!l"&amp;$G$1)*F43+'数据-取费表'!L14*INDIRECT("'数据-取费表'!S"&amp;$G$1),0)</f>
        <v>2141301</v>
      </c>
      <c r="D14" s="1801" t="s">
        <v>1418</v>
      </c>
      <c r="E14" s="1795"/>
      <c r="F14" s="362"/>
      <c r="G14" s="1852"/>
      <c r="H14" s="1202" t="s">
        <v>1035</v>
      </c>
      <c r="I14" s="345" t="s">
        <v>1419</v>
      </c>
      <c r="J14" s="24">
        <f ca="1">C29</f>
        <v>3584501</v>
      </c>
      <c r="K14" s="15"/>
      <c r="L14" s="980"/>
      <c r="M14" s="981"/>
    </row>
    <row r="15" spans="1:37" s="1859" customFormat="1" ht="18" customHeight="1" thickBot="1">
      <c r="A15" s="1202" t="s">
        <v>1036</v>
      </c>
      <c r="B15" s="345" t="s">
        <v>1420</v>
      </c>
      <c r="C15" s="24">
        <f ca="1">ROUND(C14*F15,0)</f>
        <v>85652</v>
      </c>
      <c r="D15" s="363" t="s">
        <v>1421</v>
      </c>
      <c r="E15" s="363" t="s">
        <v>1422</v>
      </c>
      <c r="F15" s="364">
        <f>'数据-取费表'!B33</f>
        <v>0.04</v>
      </c>
      <c r="G15" s="1855"/>
      <c r="H15" s="1340" t="s">
        <v>1039</v>
      </c>
      <c r="I15" s="1341" t="s">
        <v>1416</v>
      </c>
      <c r="J15" s="1350">
        <f ca="1">INDIRECT("'数据-取费表'!ad"&amp;$G$1)</f>
        <v>0.65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151540</v>
      </c>
      <c r="K16" s="1338" t="s">
        <v>1425</v>
      </c>
      <c r="L16" s="1339"/>
      <c r="M16" s="1295"/>
    </row>
    <row r="17" spans="1:37" s="1859" customFormat="1" ht="18" customHeight="1">
      <c r="A17" s="1202" t="s">
        <v>1390</v>
      </c>
      <c r="B17" s="345" t="s">
        <v>1426</v>
      </c>
      <c r="C17" s="24">
        <f ca="1">ROUND(F17*(F43+INDIRECT("'数据-取费表'!S"&amp;$G$1)),0)</f>
        <v>141808</v>
      </c>
      <c r="D17" s="345" t="s">
        <v>1427</v>
      </c>
      <c r="E17" s="345" t="s">
        <v>1428</v>
      </c>
      <c r="F17" s="26">
        <f>'数据-取费表'!B35</f>
        <v>200</v>
      </c>
      <c r="G17" s="1855"/>
      <c r="H17" s="1202" t="s">
        <v>1035</v>
      </c>
      <c r="I17" s="345" t="s">
        <v>1429</v>
      </c>
      <c r="J17" s="24">
        <f ca="1">ROUND(IF(项目基本情况!B11="自然人",J5*M17,J18+J19+J20),0)</f>
        <v>84016</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32120</v>
      </c>
      <c r="D18" s="345" t="s">
        <v>1421</v>
      </c>
      <c r="E18" s="345" t="s">
        <v>1422</v>
      </c>
      <c r="F18" s="365">
        <f>'数据-取费表'!B36</f>
        <v>1.4999999999999999E-2</v>
      </c>
      <c r="G18" s="1855"/>
      <c r="H18" s="1202" t="s">
        <v>1034</v>
      </c>
      <c r="I18" s="345" t="s">
        <v>1433</v>
      </c>
      <c r="J18" s="24">
        <f ca="1">ROUND(J5*M18/(1+'数据-取费表'!C42),0)</f>
        <v>53750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2400881</v>
      </c>
      <c r="D19" s="138" t="s">
        <v>1436</v>
      </c>
      <c r="E19" s="1819"/>
      <c r="F19" s="26"/>
      <c r="G19" s="1852"/>
      <c r="H19" s="1202" t="s">
        <v>1036</v>
      </c>
      <c r="I19" s="345" t="s">
        <v>1437</v>
      </c>
      <c r="J19" s="24">
        <f ca="1">IF(K19="按租金收入计税",ROUND(J5*M19,0),ROUND(C29*M19*0.7,0))</f>
        <v>30110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48018</v>
      </c>
      <c r="D20" s="367" t="s">
        <v>1440</v>
      </c>
      <c r="E20" s="345" t="s">
        <v>1422</v>
      </c>
      <c r="F20" s="365">
        <f>'数据-取费表'!B37</f>
        <v>0.02</v>
      </c>
      <c r="G20" s="1855"/>
      <c r="H20" s="1202" t="s">
        <v>1389</v>
      </c>
      <c r="I20" s="162" t="s">
        <v>1441</v>
      </c>
      <c r="J20" s="25">
        <f ca="1">ROUND(M20*M21,0)</f>
        <v>156</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104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ROUND(J14*M22,0)</f>
        <v>53768</v>
      </c>
      <c r="K22" s="1799" t="s">
        <v>1450</v>
      </c>
      <c r="L22" s="345" t="s">
        <v>1422</v>
      </c>
      <c r="M22" s="372">
        <f ca="1">INDIRECT("'数据-取费表'!Ak"&amp;$G$1)</f>
        <v>1.4999999999999999E-2</v>
      </c>
    </row>
    <row r="23" spans="1:37" s="1859" customFormat="1" ht="18" customHeight="1">
      <c r="A23" s="1202" t="s">
        <v>1034</v>
      </c>
      <c r="B23" s="345" t="s">
        <v>1451</v>
      </c>
      <c r="C23" s="24">
        <f ca="1">IF('数据-取费表'!B22&lt;=1,ROUND(C19*F24*F23/2,0)+ROUND(C20*F24*F23/2,0),ROUND(C19*(POWER((1+F24),F23/2)-1),0)+ROUND(C20*(POWER((1+F24),F23/2)-1),0))</f>
        <v>116323</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ROUND(J13*M23,0)</f>
        <v>3495</v>
      </c>
      <c r="K23" s="1799" t="s">
        <v>1454</v>
      </c>
      <c r="L23" s="345" t="s">
        <v>1455</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ROUND(J5*M24,0)</f>
        <v>10261</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874587</v>
      </c>
      <c r="K25" s="1346" t="s">
        <v>1464</v>
      </c>
      <c r="L25" s="1347"/>
      <c r="M25" s="1348"/>
    </row>
    <row r="26" spans="1:37" ht="18" customHeight="1">
      <c r="A26" s="1202" t="s">
        <v>1034</v>
      </c>
      <c r="B26" s="345" t="s">
        <v>1465</v>
      </c>
      <c r="C26" s="24">
        <f ca="1">ROUND((C19+C20)*F26,0)</f>
        <v>734670</v>
      </c>
      <c r="D26" s="367" t="s">
        <v>1466</v>
      </c>
      <c r="E26" s="356" t="s">
        <v>1467</v>
      </c>
      <c r="F26" s="355">
        <f ca="1">INDIRECT("'数据-取费表'!q"&amp;$G$1)</f>
        <v>0.3</v>
      </c>
      <c r="G26" s="1852"/>
      <c r="H26" s="342" t="s">
        <v>1032</v>
      </c>
      <c r="I26" s="343" t="s">
        <v>1468</v>
      </c>
      <c r="J26" s="344">
        <f ca="1">IF(J5&lt;&gt;0,ROUND(J25*(1-((1+M28)/(1+M26))^M27)/(M26-M28),0),0)</f>
        <v>14803163</v>
      </c>
      <c r="K26" s="368" t="s">
        <v>1469</v>
      </c>
      <c r="L26" s="345" t="s">
        <v>1470</v>
      </c>
      <c r="M26" s="355">
        <f ca="1">INDIRECT("'数据-取费表'!I"&amp;$G$1)</f>
        <v>3.5000000000000003E-2</v>
      </c>
    </row>
    <row r="27" spans="1:37" ht="18" customHeight="1">
      <c r="A27" s="1202" t="s">
        <v>1036</v>
      </c>
      <c r="B27" s="345" t="s">
        <v>1471</v>
      </c>
      <c r="C27" s="24">
        <f ca="1">ROUND(F21*F26,4)</f>
        <v>6.0000000000000001E-3</v>
      </c>
      <c r="D27" s="367" t="s">
        <v>1472</v>
      </c>
      <c r="E27" s="363"/>
      <c r="F27" s="364"/>
      <c r="G27" s="1852"/>
      <c r="H27" s="347"/>
      <c r="I27" s="348"/>
      <c r="J27" s="349"/>
      <c r="K27" s="376" t="s">
        <v>1473</v>
      </c>
      <c r="L27" s="345" t="s">
        <v>1474</v>
      </c>
      <c r="M27" s="377">
        <f ca="1">INDIRECT("'数据-取费表'!ag"&amp;$G$1)</f>
        <v>18.260000000000002</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3584501</v>
      </c>
      <c r="D29" s="1343"/>
      <c r="E29" s="1341"/>
      <c r="F29" s="1344"/>
      <c r="G29" s="1855"/>
      <c r="H29" s="378" t="s">
        <v>1033</v>
      </c>
      <c r="I29" s="379" t="s">
        <v>1479</v>
      </c>
      <c r="J29" s="380">
        <f ca="1">ROUND(J26/(1+F40)^F41,0)</f>
        <v>9377694</v>
      </c>
      <c r="K29" s="381" t="s">
        <v>1480</v>
      </c>
      <c r="L29" s="382"/>
      <c r="M29" s="383">
        <f ca="1">INDIRECT("'数据-取费表'!k"&amp;$G$1)</f>
        <v>709.04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134313</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72072</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21853</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50063</v>
      </c>
      <c r="D33" s="1829" t="s">
        <v>3103</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f>
        <v>156</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104</v>
      </c>
      <c r="G35" s="1852"/>
      <c r="H35" s="743"/>
      <c r="I35" s="1861"/>
      <c r="J35" s="1862"/>
      <c r="K35" s="1863"/>
      <c r="L35" s="1860"/>
      <c r="M35" s="1860"/>
    </row>
    <row r="36" spans="1:18" ht="18" customHeight="1">
      <c r="A36" s="1353" t="s">
        <v>1039</v>
      </c>
      <c r="B36" s="345" t="s">
        <v>1449</v>
      </c>
      <c r="C36" s="24">
        <f ca="1">ROUND(C29*F36,0)</f>
        <v>53768</v>
      </c>
      <c r="D36" s="1799" t="s">
        <v>1482</v>
      </c>
      <c r="E36" s="345" t="s">
        <v>1422</v>
      </c>
      <c r="F36" s="372">
        <f ca="1">INDIRECT("'数据-取费表'!Ak"&amp;$G$1)</f>
        <v>1.4999999999999999E-2</v>
      </c>
      <c r="G36" s="1852"/>
      <c r="H36" s="1860"/>
      <c r="I36" s="1861"/>
      <c r="J36" s="1862"/>
      <c r="K36" s="749"/>
      <c r="L36" s="1860"/>
      <c r="M36" s="1860"/>
    </row>
    <row r="37" spans="1:18" ht="18" customHeight="1">
      <c r="A37" s="1202" t="s">
        <v>1075</v>
      </c>
      <c r="B37" s="345" t="s">
        <v>1453</v>
      </c>
      <c r="C37" s="24">
        <f ca="1">ROUND(C13*F37,0)</f>
        <v>4301</v>
      </c>
      <c r="D37" s="1799" t="s">
        <v>1454</v>
      </c>
      <c r="E37" s="345" t="s">
        <v>1455</v>
      </c>
      <c r="F37" s="374">
        <f ca="1">INDIRECT("'数据-取费表'!Al"&amp;$G$1)</f>
        <v>1.5E-3</v>
      </c>
      <c r="G37" s="1852"/>
      <c r="H37" s="1860"/>
      <c r="I37" s="1861"/>
      <c r="J37" s="1862"/>
      <c r="K37" s="749"/>
      <c r="L37" s="1860"/>
      <c r="M37" s="1860"/>
    </row>
    <row r="38" spans="1:18" ht="18" customHeight="1" thickBot="1">
      <c r="A38" s="1340" t="s">
        <v>1393</v>
      </c>
      <c r="B38" s="1341" t="s">
        <v>1439</v>
      </c>
      <c r="C38" s="1342">
        <f ca="1">ROUND(C5*F38,1)</f>
        <v>4171.8999999999996</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3">
        <f ca="1">C5-C30</f>
        <v>282875</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9346656</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13.27</v>
      </c>
      <c r="G41" s="1852"/>
      <c r="H41" s="730"/>
      <c r="I41" s="1861"/>
      <c r="J41" s="1862"/>
      <c r="K41" s="749"/>
      <c r="L41" s="730"/>
      <c r="M41" s="730"/>
    </row>
    <row r="42" spans="1:18" ht="18" customHeight="1">
      <c r="A42" s="351"/>
      <c r="B42" s="352"/>
      <c r="C42" s="353"/>
      <c r="D42" s="371"/>
      <c r="E42" s="345" t="s">
        <v>1477</v>
      </c>
      <c r="F42" s="355">
        <f ca="1">INDIRECT("'数据-取费表'!v"&amp;$G$1)</f>
        <v>0.18295</v>
      </c>
      <c r="G42" s="1852"/>
      <c r="H42" s="730"/>
      <c r="I42" s="1861"/>
      <c r="J42" s="1862"/>
      <c r="K42" s="749"/>
      <c r="L42" s="730"/>
      <c r="M42" s="730"/>
    </row>
    <row r="43" spans="1:18" ht="18" customHeight="1" thickBot="1">
      <c r="A43" s="378" t="s">
        <v>1033</v>
      </c>
      <c r="B43" s="379" t="s">
        <v>1487</v>
      </c>
      <c r="C43" s="380">
        <f ca="1">ROUND(C40/F43,0)</f>
        <v>13182</v>
      </c>
      <c r="D43" s="381" t="s">
        <v>1488</v>
      </c>
      <c r="E43" s="382" t="s">
        <v>1489</v>
      </c>
      <c r="F43" s="383">
        <f ca="1">INDIRECT("'数据-取费表'!k"&amp;$G$1)</f>
        <v>709.04</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-5653735</v>
      </c>
      <c r="D45" s="1941" t="s">
        <v>1604</v>
      </c>
      <c r="E45" s="1867"/>
      <c r="F45" s="1867"/>
      <c r="O45" s="1870" t="s">
        <v>1519</v>
      </c>
      <c r="P45" s="1840"/>
      <c r="Q45" s="1840"/>
      <c r="R45" s="1840"/>
    </row>
    <row r="46" spans="1:18" s="1843" customFormat="1" ht="13.5" thickBot="1">
      <c r="A46" s="1871" t="s">
        <v>1520</v>
      </c>
      <c r="C46" s="1872">
        <f ca="1">ROUND(C45/10000,0)</f>
        <v>-565</v>
      </c>
      <c r="D46" s="1873" t="str">
        <f>C2</f>
        <v>万元</v>
      </c>
      <c r="I46" s="1874" t="s">
        <v>1521</v>
      </c>
      <c r="J46" s="1875"/>
      <c r="K46" s="1876"/>
      <c r="L46" s="1877">
        <f ca="1">IF(M47="住宅",0,IF(L48&gt;J51,L60,J60))</f>
        <v>1702638</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3101</v>
      </c>
      <c r="K47" s="1883" t="s">
        <v>1527</v>
      </c>
      <c r="L47" s="1884">
        <f ca="1">INDIRECT("'数据-取费表'!d"&amp;$G$1)</f>
        <v>50</v>
      </c>
      <c r="M47" s="1839" t="str">
        <f>IF(ISNUMBER(FIND("住宅",C1)),"住宅","非住宅")</f>
        <v>非住宅</v>
      </c>
      <c r="O47" s="1885" t="s">
        <v>1040</v>
      </c>
      <c r="P47" s="1886" t="s">
        <v>1528</v>
      </c>
      <c r="Q47" s="1887">
        <f ca="1">C40+J29</f>
        <v>18724350</v>
      </c>
      <c r="R47" s="1887" t="s">
        <v>1529</v>
      </c>
    </row>
    <row r="48" spans="1:18" s="1843" customFormat="1" ht="28.5" thickBot="1">
      <c r="A48" s="1361" t="s">
        <v>1135</v>
      </c>
      <c r="B48" s="343" t="s">
        <v>1401</v>
      </c>
      <c r="C48" s="1818">
        <f ca="1">C49+C53+C55</f>
        <v>699632</v>
      </c>
      <c r="D48" s="1363"/>
      <c r="E48" s="1364"/>
      <c r="F48" s="1182"/>
      <c r="G48" s="790"/>
      <c r="H48" s="791"/>
      <c r="I48" s="1888" t="s">
        <v>1530</v>
      </c>
      <c r="J48" s="1889" t="s">
        <v>3102</v>
      </c>
      <c r="K48" s="1890" t="s">
        <v>1531</v>
      </c>
      <c r="L48" s="1891">
        <f ca="1">INDIRECT("'数据-取费表'!f"&amp;$G$1)</f>
        <v>31.53</v>
      </c>
      <c r="O48" s="1885" t="s">
        <v>1041</v>
      </c>
      <c r="P48" s="1886" t="s">
        <v>1532</v>
      </c>
      <c r="Q48" s="1887">
        <f ca="1">J60</f>
        <v>1702638</v>
      </c>
      <c r="R48" s="1887" t="s">
        <v>1533</v>
      </c>
    </row>
    <row r="49" spans="1:18" s="1843" customFormat="1" ht="13.5" thickBot="1">
      <c r="A49" s="1195" t="s">
        <v>1136</v>
      </c>
      <c r="B49" s="1830" t="s">
        <v>1490</v>
      </c>
      <c r="C49" s="1365">
        <f ca="1">ROUND(F49*F51*F50*(1-F52),0)</f>
        <v>698759</v>
      </c>
      <c r="D49" s="1277" t="s">
        <v>1404</v>
      </c>
      <c r="E49" s="1831" t="s">
        <v>1491</v>
      </c>
      <c r="F49" s="1282">
        <v>3</v>
      </c>
      <c r="G49" s="1892"/>
      <c r="H49" s="791"/>
      <c r="I49" s="1888" t="s">
        <v>1534</v>
      </c>
      <c r="J49" s="1893"/>
      <c r="K49" s="1890" t="s">
        <v>1535</v>
      </c>
      <c r="L49" s="1894"/>
      <c r="O49" s="1895" t="s">
        <v>1042</v>
      </c>
      <c r="P49" s="1886" t="s">
        <v>1536</v>
      </c>
      <c r="Q49" s="1887">
        <f ca="1">C29</f>
        <v>3584501</v>
      </c>
      <c r="R49" s="1887" t="s">
        <v>1529</v>
      </c>
    </row>
    <row r="50" spans="1:18" s="1843" customFormat="1" ht="13.5" thickBot="1">
      <c r="A50" s="1196"/>
      <c r="B50" s="1199"/>
      <c r="C50" s="1200"/>
      <c r="D50" s="1173"/>
      <c r="E50" s="1278" t="s">
        <v>1406</v>
      </c>
      <c r="F50" s="1279">
        <f ca="1">F7</f>
        <v>709.04</v>
      </c>
      <c r="H50" s="791"/>
      <c r="I50" s="1888" t="s">
        <v>1537</v>
      </c>
      <c r="J50" s="1896">
        <f>SUMPRODUCT((I63:I65=J47)*(J62:L62=J48)*(J63:L65))</f>
        <v>60</v>
      </c>
      <c r="K50" s="1890" t="s">
        <v>1538</v>
      </c>
      <c r="L50" s="1894"/>
      <c r="M50" s="1897"/>
      <c r="O50" s="1895" t="s">
        <v>1043</v>
      </c>
      <c r="P50" s="1886" t="s">
        <v>1539</v>
      </c>
      <c r="Q50" s="1898">
        <f ca="1">J58</f>
        <v>0.47499999999999998</v>
      </c>
      <c r="R50" s="1887"/>
    </row>
    <row r="51" spans="1:18" s="1843" customFormat="1" ht="13.5" thickBot="1">
      <c r="A51" s="1197"/>
      <c r="B51" s="1199"/>
      <c r="C51" s="1200"/>
      <c r="D51" s="1173"/>
      <c r="E51" s="1201" t="s">
        <v>1407</v>
      </c>
      <c r="F51" s="346">
        <f ca="1">F8</f>
        <v>365</v>
      </c>
      <c r="I51" s="1899" t="s">
        <v>1540</v>
      </c>
      <c r="J51" s="1900">
        <f>IF(J49="",J50,J49+J50-YEAR('数据-取费表'!B2))</f>
        <v>60</v>
      </c>
      <c r="K51" s="1901" t="s">
        <v>1541</v>
      </c>
      <c r="L51" s="1902">
        <f ca="1">ROUND(-PV(INDIRECT("'数据-取费表'!h"&amp;$G$1),L48,(C39-C13*C76),0),0)</f>
        <v>2818869</v>
      </c>
      <c r="M51" s="1903"/>
      <c r="O51" s="1895" t="s">
        <v>1044</v>
      </c>
      <c r="P51" s="1886" t="s">
        <v>1542</v>
      </c>
      <c r="Q51" s="1898">
        <f>J52</f>
        <v>0</v>
      </c>
      <c r="R51" s="1887"/>
    </row>
    <row r="52" spans="1:18" s="1843" customFormat="1" ht="13.5" thickBot="1">
      <c r="A52" s="1197"/>
      <c r="B52" s="1199"/>
      <c r="C52" s="1200"/>
      <c r="D52" s="1173"/>
      <c r="E52" s="1201" t="s">
        <v>1408</v>
      </c>
      <c r="F52" s="1276">
        <v>0.1</v>
      </c>
      <c r="I52" s="1904" t="s">
        <v>1543</v>
      </c>
      <c r="J52" s="1905"/>
      <c r="K52" s="1904" t="s">
        <v>1544</v>
      </c>
      <c r="L52" s="1905"/>
      <c r="O52" s="1895" t="s">
        <v>1045</v>
      </c>
      <c r="P52" s="1886" t="s">
        <v>1545</v>
      </c>
      <c r="Q52" s="1887">
        <f ca="1">J53</f>
        <v>31.53</v>
      </c>
      <c r="R52" s="1887" t="s">
        <v>1546</v>
      </c>
    </row>
    <row r="53" spans="1:18" s="1843" customFormat="1" ht="30.75" customHeight="1" thickBot="1">
      <c r="A53" s="1362" t="s">
        <v>1137</v>
      </c>
      <c r="B53" s="367" t="s">
        <v>1409</v>
      </c>
      <c r="C53" s="359">
        <f ca="1">ROUND(IF(F53="押一",C49/12*F11,IF(F53="押二",C49/12*2*F11,IF(F53="押三",C49/12*3*F11,C54*F11))),0)</f>
        <v>873</v>
      </c>
      <c r="D53" s="1825" t="s">
        <v>3043</v>
      </c>
      <c r="E53" s="356" t="s">
        <v>1410</v>
      </c>
      <c r="F53" s="1367" t="s">
        <v>3080</v>
      </c>
      <c r="I53" s="1906" t="s">
        <v>1547</v>
      </c>
      <c r="J53" s="1907">
        <f ca="1">IF(M47="住宅",IF(D1="——",MAX(J51,L48),IF(D1="在建（套用方法）",MAX(J51,L48-'数据-取费表'!B24),MAX(J51,L48-'数据-取费表'!B20))),IF(D1="——",MIN(J51,L48),IF(D1="在建（套用方法）",MIN(J51,L48-'数据-取费表'!B24),IF(D1="土地（套用方法）",MIN(J51,L48-'数据-取费表'!B20)))))</f>
        <v>31.53</v>
      </c>
      <c r="K53" s="3184" t="s">
        <v>1548</v>
      </c>
      <c r="L53" s="3185"/>
      <c r="O53" s="1885" t="s">
        <v>1046</v>
      </c>
      <c r="P53" s="1886" t="s">
        <v>1549</v>
      </c>
      <c r="Q53" s="1887">
        <f ca="1">Q47+Q48</f>
        <v>20426988</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0.47499999999999998</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2867601</v>
      </c>
      <c r="D56" s="1915"/>
      <c r="E56" s="1916"/>
      <c r="F56" s="1908"/>
      <c r="I56" s="1917" t="s">
        <v>1554</v>
      </c>
      <c r="J56" s="1918"/>
      <c r="K56" s="1888" t="s">
        <v>1555</v>
      </c>
      <c r="L56" s="1891" t="str">
        <f ca="1">IF(L48&lt;J51,"——",L48-J51)</f>
        <v>——</v>
      </c>
      <c r="O56" s="1885" t="s">
        <v>1040</v>
      </c>
      <c r="P56" s="1886" t="s">
        <v>1528</v>
      </c>
      <c r="Q56" s="1887">
        <f ca="1">C40+J29</f>
        <v>18724350</v>
      </c>
      <c r="R56" s="1887" t="s">
        <v>1529</v>
      </c>
    </row>
    <row r="57" spans="1:18" s="1843" customFormat="1" ht="24.75" thickBot="1">
      <c r="A57" s="1919"/>
      <c r="B57" s="1170" t="s">
        <v>1478</v>
      </c>
      <c r="C57" s="280">
        <f ca="1">C29</f>
        <v>3584501</v>
      </c>
      <c r="D57" s="1920"/>
      <c r="E57" s="1921"/>
      <c r="F57" s="1922"/>
      <c r="I57" s="1923" t="s">
        <v>1556</v>
      </c>
      <c r="J57" s="1924">
        <f ca="1">IF(OR(M47="住宅",J51&lt;L48,J56="是"),"——",J51-L48)</f>
        <v>28.47</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8" t="s">
        <v>1030</v>
      </c>
      <c r="B58" s="1178" t="s">
        <v>1424</v>
      </c>
      <c r="C58" s="359">
        <f ca="1">ROUND(C59+C64+C65+C66,0)</f>
        <v>402966</v>
      </c>
      <c r="D58" s="1180" t="s">
        <v>1425</v>
      </c>
      <c r="E58" s="1181"/>
      <c r="F58" s="1182"/>
      <c r="I58" s="1923" t="s">
        <v>1560</v>
      </c>
      <c r="J58" s="1925">
        <f ca="1">IF(J55&lt;0.4,0.4,J55)</f>
        <v>0.47499999999999998</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337901</v>
      </c>
      <c r="D59" s="1183" t="s">
        <v>1430</v>
      </c>
      <c r="E59" s="1184" t="s">
        <v>1431</v>
      </c>
      <c r="F59" s="366" t="str">
        <f ca="1">IF(项目基本情况!B11="企业","",IF(INDIRECT("'数据-取费表'!c"&amp;$G$1)="住宅",5%,IF(F49*F50*F51/12/(1+'数据-取费表'!C42)&gt;20000,12%,7%)))</f>
        <v/>
      </c>
      <c r="I59" s="1923" t="s">
        <v>1563</v>
      </c>
      <c r="J59" s="1924">
        <f ca="1">IF(OR(M47="住宅",J51&lt;L48,J56="是"),"——",ROUND(C29*J58,0))</f>
        <v>1702638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36647</v>
      </c>
      <c r="D60" s="1184" t="s">
        <v>1434</v>
      </c>
      <c r="E60" s="1170" t="s">
        <v>1422</v>
      </c>
      <c r="F60" s="375">
        <f t="shared" ref="F60:F66" si="0">F32</f>
        <v>5.5000000000000007E-2</v>
      </c>
      <c r="I60" s="1926" t="s">
        <v>1565</v>
      </c>
      <c r="J60" s="1927">
        <f ca="1">IF(OR(M47="住宅",J51&lt;L48,J56="是"),"0",ROUND(J59/(1+J52)^J53,0))</f>
        <v>1702638</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301098</v>
      </c>
      <c r="D61" s="1829" t="s">
        <v>1438</v>
      </c>
      <c r="E61" s="1170" t="s">
        <v>1494</v>
      </c>
      <c r="F61" s="365">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IF(项目基本情况!B11="自然人","——",ROUND(F62*F63,0))</f>
        <v>156</v>
      </c>
      <c r="D62" s="1185" t="s">
        <v>1497</v>
      </c>
      <c r="E62" s="1170" t="s">
        <v>1498</v>
      </c>
      <c r="F62" s="369">
        <f t="shared" si="0"/>
        <v>1.5</v>
      </c>
      <c r="I62" s="1930" t="s">
        <v>1570</v>
      </c>
      <c r="J62" s="1931" t="s">
        <v>1571</v>
      </c>
      <c r="K62" s="1931" t="s">
        <v>1572</v>
      </c>
      <c r="L62" s="1931" t="s">
        <v>1573</v>
      </c>
      <c r="M62" s="1932" t="s">
        <v>1574</v>
      </c>
      <c r="O62" s="1885" t="s">
        <v>1046</v>
      </c>
      <c r="P62" s="1886" t="s">
        <v>1575</v>
      </c>
      <c r="Q62" s="1887">
        <f ca="1">Q56+Q57</f>
        <v>18724350</v>
      </c>
      <c r="R62" s="1887" t="s">
        <v>1047</v>
      </c>
    </row>
    <row r="63" spans="1:18" s="1843" customFormat="1" ht="13.5" thickBot="1">
      <c r="A63" s="370"/>
      <c r="B63" s="1176"/>
      <c r="C63" s="29"/>
      <c r="D63" s="1186"/>
      <c r="E63" s="1170" t="s">
        <v>1499</v>
      </c>
      <c r="F63" s="346">
        <f t="shared" ca="1" si="0"/>
        <v>104</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53768</v>
      </c>
      <c r="D64" s="1184" t="s">
        <v>1502</v>
      </c>
      <c r="E64" s="1170" t="s">
        <v>1494</v>
      </c>
      <c r="F64" s="372">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4301</v>
      </c>
      <c r="D65" s="1184" t="s">
        <v>1454</v>
      </c>
      <c r="E65" s="1170" t="s">
        <v>1455</v>
      </c>
      <c r="F65" s="374">
        <f t="shared" ca="1" si="0"/>
        <v>1.5E-3</v>
      </c>
      <c r="I65" s="1930" t="s">
        <v>1579</v>
      </c>
      <c r="J65" s="1931">
        <v>40</v>
      </c>
      <c r="K65" s="1931">
        <v>30</v>
      </c>
      <c r="L65" s="1931">
        <v>50</v>
      </c>
      <c r="M65" s="1933">
        <v>0.02</v>
      </c>
      <c r="O65" s="1885" t="s">
        <v>1040</v>
      </c>
      <c r="P65" s="1886" t="s">
        <v>1580</v>
      </c>
      <c r="Q65" s="1887">
        <f ca="1">C40+J29</f>
        <v>18724350</v>
      </c>
      <c r="R65" s="1887" t="s">
        <v>1529</v>
      </c>
    </row>
    <row r="66" spans="1:18" s="1843" customFormat="1" ht="16.5" thickBot="1">
      <c r="A66" s="1202" t="s">
        <v>1504</v>
      </c>
      <c r="B66" s="1170" t="s">
        <v>1439</v>
      </c>
      <c r="C66" s="24">
        <f ca="1">ROUND(C48*F66,0)</f>
        <v>6996</v>
      </c>
      <c r="D66" s="1184" t="s">
        <v>1505</v>
      </c>
      <c r="E66" s="1170" t="s">
        <v>1422</v>
      </c>
      <c r="F66" s="355">
        <f t="shared" ca="1" si="0"/>
        <v>0.01</v>
      </c>
      <c r="O66" s="1885" t="s">
        <v>1041</v>
      </c>
      <c r="P66" s="1886" t="s">
        <v>1558</v>
      </c>
      <c r="Q66" s="1887">
        <f ca="1">L60</f>
        <v>0</v>
      </c>
      <c r="R66" s="1887" t="s">
        <v>1581</v>
      </c>
    </row>
    <row r="67" spans="1:18" s="1843" customFormat="1" ht="16.5" thickBot="1">
      <c r="A67" s="1177" t="s">
        <v>1031</v>
      </c>
      <c r="B67" s="1187" t="s">
        <v>1463</v>
      </c>
      <c r="C67" s="359">
        <f ca="1">C48-C58</f>
        <v>296666</v>
      </c>
      <c r="D67" s="1183" t="s">
        <v>1464</v>
      </c>
      <c r="E67" s="1188"/>
      <c r="F67" s="1189"/>
      <c r="O67" s="1895" t="s">
        <v>1042</v>
      </c>
      <c r="P67" s="1886" t="s">
        <v>1562</v>
      </c>
      <c r="Q67" s="1934">
        <f ca="1">L51</f>
        <v>2818869</v>
      </c>
      <c r="R67" s="1887" t="s">
        <v>1582</v>
      </c>
    </row>
    <row r="68" spans="1:18" s="1843" customFormat="1" ht="16.5" thickBot="1">
      <c r="A68" s="1167" t="s">
        <v>1032</v>
      </c>
      <c r="B68" s="1168" t="s">
        <v>1485</v>
      </c>
      <c r="C68" s="344">
        <f ca="1">ROUND(C67*(1-((1+F70)/(1+F68))^F69)/(F68-F70),0)</f>
        <v>3692921</v>
      </c>
      <c r="D68" s="1185" t="s">
        <v>1469</v>
      </c>
      <c r="E68" s="1170" t="s">
        <v>1470</v>
      </c>
      <c r="F68" s="355">
        <f ca="1">F40</f>
        <v>3.5000000000000003E-2</v>
      </c>
      <c r="O68" s="1895" t="s">
        <v>1043</v>
      </c>
      <c r="P68" s="1935" t="s">
        <v>1583</v>
      </c>
      <c r="Q68" s="1887">
        <f ca="1">ROUND(Q69-Q70*Q71,0)</f>
        <v>139495</v>
      </c>
      <c r="R68" s="1887" t="s">
        <v>1051</v>
      </c>
    </row>
    <row r="69" spans="1:18" s="1843" customFormat="1" ht="13.5" thickBot="1">
      <c r="A69" s="1171"/>
      <c r="B69" s="1172"/>
      <c r="C69" s="349"/>
      <c r="D69" s="1190" t="s">
        <v>1473</v>
      </c>
      <c r="E69" s="1170" t="s">
        <v>1474</v>
      </c>
      <c r="F69" s="377">
        <f ca="1">F41</f>
        <v>13.27</v>
      </c>
      <c r="O69" s="1895" t="s">
        <v>1048</v>
      </c>
      <c r="P69" s="1935" t="s">
        <v>1584</v>
      </c>
      <c r="Q69" s="1887">
        <f ca="1">C39</f>
        <v>282875</v>
      </c>
      <c r="R69" s="1887" t="s">
        <v>1529</v>
      </c>
    </row>
    <row r="70" spans="1:18" s="1843" customFormat="1" ht="13.5" thickBot="1">
      <c r="A70" s="1174"/>
      <c r="B70" s="1175"/>
      <c r="C70" s="353"/>
      <c r="D70" s="1186"/>
      <c r="E70" s="1170" t="s">
        <v>1477</v>
      </c>
      <c r="F70" s="1276">
        <v>0.03</v>
      </c>
      <c r="O70" s="1895" t="s">
        <v>1049</v>
      </c>
      <c r="P70" s="1935" t="s">
        <v>1585</v>
      </c>
      <c r="Q70" s="1887">
        <f ca="1">C13</f>
        <v>2867601</v>
      </c>
      <c r="R70" s="1887" t="s">
        <v>1529</v>
      </c>
    </row>
    <row r="71" spans="1:18" s="1843" customFormat="1" ht="13.5" thickBot="1">
      <c r="A71" s="1191" t="s">
        <v>1033</v>
      </c>
      <c r="B71" s="1192" t="s">
        <v>1487</v>
      </c>
      <c r="C71" s="380">
        <f ca="1">ROUND(C68/F71,0)</f>
        <v>5208</v>
      </c>
      <c r="D71" s="1193" t="s">
        <v>1488</v>
      </c>
      <c r="E71" s="1194" t="s">
        <v>1489</v>
      </c>
      <c r="F71" s="383">
        <f ca="1">F43</f>
        <v>709.04</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4" t="s">
        <v>1506</v>
      </c>
      <c r="C75" s="385">
        <f ca="1">ROUND(C13*C76,0)</f>
        <v>143380</v>
      </c>
      <c r="D75" s="1843"/>
      <c r="E75" s="1843"/>
      <c r="F75" s="1843"/>
      <c r="K75" s="1869"/>
      <c r="L75" s="1843"/>
      <c r="O75" s="1885" t="s">
        <v>1046</v>
      </c>
      <c r="P75" s="1886" t="s">
        <v>1549</v>
      </c>
      <c r="Q75" s="1887">
        <f ca="1">Q65+Q66</f>
        <v>18724350</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0.49299999999999999</v>
      </c>
    </row>
    <row r="80" spans="1:18">
      <c r="B80" s="384" t="s">
        <v>1511</v>
      </c>
      <c r="C80" s="316">
        <f ca="1">ROUND(C75/C39,3)</f>
        <v>0.50700000000000001</v>
      </c>
    </row>
    <row r="81" spans="2:3">
      <c r="B81" s="312" t="s">
        <v>1512</v>
      </c>
      <c r="C81" s="280"/>
    </row>
    <row r="82" spans="2:3">
      <c r="B82" s="315" t="s">
        <v>1513</v>
      </c>
      <c r="C82" s="317">
        <f ca="1">1-C83</f>
        <v>0.69300000000000006</v>
      </c>
    </row>
    <row r="83" spans="2:3">
      <c r="B83" s="315" t="s">
        <v>1514</v>
      </c>
      <c r="C83" s="316">
        <f ca="1">ROUND(C13/C40,3)</f>
        <v>0.307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2531</v>
      </c>
      <c r="B1" s="2565"/>
      <c r="C1" s="2565"/>
      <c r="D1" s="2565"/>
      <c r="E1" s="2566"/>
    </row>
    <row r="2" spans="1:6" ht="15.75">
      <c r="A2" s="2567" t="s">
        <v>2332</v>
      </c>
      <c r="B2" s="2568">
        <f ca="1">SUMIF(B6:B13,"&lt;&gt;#ref!",B6:B13)</f>
        <v>2664</v>
      </c>
      <c r="C2" s="2569" t="s">
        <v>2524</v>
      </c>
      <c r="D2" s="2570" t="s">
        <v>2525</v>
      </c>
      <c r="E2" s="2571">
        <f>SUM(E6:E13)</f>
        <v>1438.52</v>
      </c>
    </row>
    <row r="3" spans="1:6" ht="15.75">
      <c r="A3" s="2567" t="s">
        <v>1395</v>
      </c>
      <c r="B3" s="2568">
        <f ca="1">ROUND(B2*10000/E2,0)</f>
        <v>18519</v>
      </c>
      <c r="C3" s="2569" t="s">
        <v>2532</v>
      </c>
      <c r="D3" s="2572"/>
      <c r="E3" s="2573"/>
    </row>
    <row r="4" spans="1:6" ht="15.75">
      <c r="A4" s="2574"/>
      <c r="B4" s="2572"/>
      <c r="C4" s="2572"/>
      <c r="D4" s="2572"/>
      <c r="E4" s="2573"/>
    </row>
    <row r="5" spans="1:6" ht="15">
      <c r="A5" s="2575" t="s">
        <v>2526</v>
      </c>
      <c r="B5" s="3189" t="s">
        <v>2527</v>
      </c>
      <c r="C5" s="3189"/>
      <c r="D5" s="2576"/>
      <c r="E5" s="2577" t="s">
        <v>2528</v>
      </c>
      <c r="F5" s="2578" t="s">
        <v>2529</v>
      </c>
    </row>
    <row r="6" spans="1:6">
      <c r="A6" s="2579" t="str">
        <f>'数据-取费表'!AN6</f>
        <v>收益法 (元)</v>
      </c>
      <c r="B6" s="2578">
        <f ca="1">IF(F6="是",'数据-取费表'!AO6,0)</f>
        <v>2043</v>
      </c>
      <c r="C6" s="2569" t="s">
        <v>2524</v>
      </c>
      <c r="D6" s="2572"/>
      <c r="E6" s="2580">
        <f>IF(OR(A6=0,F6="否"),0,'数据-取费表'!K6+'数据-取费表'!S6)</f>
        <v>709.04</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t="str">
        <f>'数据-取费表'!AN9</f>
        <v>收益法 (地下)</v>
      </c>
      <c r="B9" s="2578">
        <f ca="1">IF(F9="是",'数据-取费表'!AO9,0)</f>
        <v>621</v>
      </c>
      <c r="C9" s="2569" t="s">
        <v>2524</v>
      </c>
      <c r="D9" s="2572"/>
      <c r="E9" s="2580">
        <f>IF(OR(A9=0,F9="否"),0,'数据-取费表'!K9+'数据-取费表'!S9)</f>
        <v>729.48</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6" t="s">
        <v>1076</v>
      </c>
      <c r="B1" s="3207"/>
      <c r="C1" s="3208"/>
      <c r="D1" s="3209">
        <f>SUM(I10,I15,I20,I21,I23)</f>
        <v>0</v>
      </c>
      <c r="E1" s="3209"/>
      <c r="F1" s="3209"/>
      <c r="G1" s="3209"/>
      <c r="H1" s="3209"/>
      <c r="I1" s="3210"/>
    </row>
    <row r="2" spans="1:9">
      <c r="A2" s="3196" t="s">
        <v>1077</v>
      </c>
      <c r="B2" s="3197" t="s">
        <v>1078</v>
      </c>
      <c r="C2" s="3197"/>
      <c r="D2" s="1302" t="s">
        <v>1079</v>
      </c>
      <c r="E2" s="1302" t="s">
        <v>1080</v>
      </c>
      <c r="F2" s="1302" t="s">
        <v>1081</v>
      </c>
      <c r="G2" s="1302" t="s">
        <v>1082</v>
      </c>
      <c r="H2" s="1302" t="s">
        <v>1083</v>
      </c>
      <c r="I2" s="1303" t="s">
        <v>1084</v>
      </c>
    </row>
    <row r="3" spans="1:9">
      <c r="A3" s="3196"/>
      <c r="B3" s="3197" t="s">
        <v>1085</v>
      </c>
      <c r="C3" s="3197"/>
      <c r="D3" s="1304"/>
      <c r="E3" s="1302"/>
      <c r="F3" s="1305"/>
      <c r="G3" s="1305"/>
      <c r="H3" s="1306"/>
      <c r="I3" s="1307">
        <f>ROUND(D3*E3*F3*G3*H3/10000,0)</f>
        <v>0</v>
      </c>
    </row>
    <row r="4" spans="1:9">
      <c r="A4" s="3196"/>
      <c r="B4" s="3197" t="s">
        <v>1086</v>
      </c>
      <c r="C4" s="3197"/>
      <c r="D4" s="1304"/>
      <c r="E4" s="1302"/>
      <c r="F4" s="1305"/>
      <c r="G4" s="1305"/>
      <c r="H4" s="1306"/>
      <c r="I4" s="1307">
        <f t="shared" ref="I4:I9" si="0">ROUND(D4*E4*F4*G4*H4/10000,0)</f>
        <v>0</v>
      </c>
    </row>
    <row r="5" spans="1:9">
      <c r="A5" s="3196"/>
      <c r="B5" s="3197" t="s">
        <v>1087</v>
      </c>
      <c r="C5" s="3197"/>
      <c r="D5" s="1304"/>
      <c r="E5" s="1302"/>
      <c r="F5" s="1305"/>
      <c r="G5" s="1305"/>
      <c r="H5" s="1306"/>
      <c r="I5" s="1307">
        <f t="shared" si="0"/>
        <v>0</v>
      </c>
    </row>
    <row r="6" spans="1:9">
      <c r="A6" s="3196"/>
      <c r="B6" s="3197" t="s">
        <v>1088</v>
      </c>
      <c r="C6" s="3197"/>
      <c r="D6" s="1304"/>
      <c r="E6" s="1302"/>
      <c r="F6" s="1305"/>
      <c r="G6" s="1305"/>
      <c r="H6" s="1306"/>
      <c r="I6" s="1307">
        <f t="shared" si="0"/>
        <v>0</v>
      </c>
    </row>
    <row r="7" spans="1:9">
      <c r="A7" s="3196"/>
      <c r="B7" s="3197" t="s">
        <v>1089</v>
      </c>
      <c r="C7" s="3197"/>
      <c r="D7" s="1304"/>
      <c r="E7" s="1302"/>
      <c r="F7" s="1305"/>
      <c r="G7" s="1305"/>
      <c r="H7" s="1306"/>
      <c r="I7" s="1307">
        <f t="shared" si="0"/>
        <v>0</v>
      </c>
    </row>
    <row r="8" spans="1:9">
      <c r="A8" s="3196"/>
      <c r="B8" s="3197" t="s">
        <v>1090</v>
      </c>
      <c r="C8" s="3197"/>
      <c r="D8" s="1304"/>
      <c r="E8" s="1302"/>
      <c r="F8" s="1305"/>
      <c r="G8" s="1305"/>
      <c r="H8" s="1306"/>
      <c r="I8" s="1307">
        <f t="shared" si="0"/>
        <v>0</v>
      </c>
    </row>
    <row r="9" spans="1:9">
      <c r="A9" s="3196"/>
      <c r="B9" s="3197" t="s">
        <v>1091</v>
      </c>
      <c r="C9" s="3197"/>
      <c r="D9" s="1304"/>
      <c r="E9" s="1302"/>
      <c r="F9" s="1305"/>
      <c r="G9" s="1305"/>
      <c r="H9" s="1306"/>
      <c r="I9" s="1307">
        <f t="shared" si="0"/>
        <v>0</v>
      </c>
    </row>
    <row r="10" spans="1:9">
      <c r="A10" s="3196"/>
      <c r="B10" s="3198" t="s">
        <v>1092</v>
      </c>
      <c r="C10" s="3198"/>
      <c r="D10" s="1308"/>
      <c r="E10" s="1308" t="e">
        <f>ROUND(D1*10000/D10/H9,0)</f>
        <v>#DIV/0!</v>
      </c>
      <c r="F10" s="1309"/>
      <c r="G10" s="1309"/>
      <c r="H10" s="1310"/>
      <c r="I10" s="1311">
        <f>SUM(I3:I9)</f>
        <v>0</v>
      </c>
    </row>
    <row r="11" spans="1:9" ht="14.25">
      <c r="A11" s="3196" t="s">
        <v>1093</v>
      </c>
      <c r="B11" s="3197" t="s">
        <v>1094</v>
      </c>
      <c r="C11" s="3197"/>
      <c r="D11" s="1304" t="s">
        <v>1095</v>
      </c>
      <c r="E11" s="1304" t="s">
        <v>1096</v>
      </c>
      <c r="F11" s="1305" t="s">
        <v>1097</v>
      </c>
      <c r="G11" s="1305" t="s">
        <v>1083</v>
      </c>
      <c r="H11" s="1312" t="s">
        <v>1098</v>
      </c>
      <c r="I11" s="1303" t="s">
        <v>1084</v>
      </c>
    </row>
    <row r="12" spans="1:9">
      <c r="A12" s="3196"/>
      <c r="B12" s="3197" t="s">
        <v>1099</v>
      </c>
      <c r="C12" s="3197"/>
      <c r="D12" s="1304"/>
      <c r="E12" s="1304"/>
      <c r="F12" s="1305"/>
      <c r="G12" s="1306"/>
      <c r="H12" s="1313"/>
      <c r="I12" s="1303">
        <f>ROUND(D12*E12*F12*G12/10000,0)</f>
        <v>0</v>
      </c>
    </row>
    <row r="13" spans="1:9">
      <c r="A13" s="3196"/>
      <c r="B13" s="3197" t="s">
        <v>1100</v>
      </c>
      <c r="C13" s="3197"/>
      <c r="D13" s="1304"/>
      <c r="E13" s="1304"/>
      <c r="F13" s="1305"/>
      <c r="G13" s="1306"/>
      <c r="H13" s="1313"/>
      <c r="I13" s="1303">
        <f>ROUND(D13*E13*F13*G13/10000,0)</f>
        <v>0</v>
      </c>
    </row>
    <row r="14" spans="1:9">
      <c r="A14" s="3196"/>
      <c r="B14" s="3197" t="s">
        <v>1101</v>
      </c>
      <c r="C14" s="3197"/>
      <c r="D14" s="1304"/>
      <c r="E14" s="1304"/>
      <c r="F14" s="1305"/>
      <c r="G14" s="1306"/>
      <c r="H14" s="1313"/>
      <c r="I14" s="1303">
        <f>ROUND(D14*E14*F14*G14/10000,0)</f>
        <v>0</v>
      </c>
    </row>
    <row r="15" spans="1:9">
      <c r="A15" s="3196"/>
      <c r="B15" s="3198" t="s">
        <v>1092</v>
      </c>
      <c r="C15" s="3198"/>
      <c r="D15" s="1308"/>
      <c r="E15" s="1308">
        <f>SUM(E12:E14)</f>
        <v>0</v>
      </c>
      <c r="F15" s="1309"/>
      <c r="G15" s="1306"/>
      <c r="H15" s="1313"/>
      <c r="I15" s="1314">
        <f>SUM(I12:I14)</f>
        <v>0</v>
      </c>
    </row>
    <row r="16" spans="1:9" ht="24">
      <c r="A16" s="3196" t="s">
        <v>1102</v>
      </c>
      <c r="B16" s="3197" t="s">
        <v>1103</v>
      </c>
      <c r="C16" s="3197"/>
      <c r="D16" s="1304" t="s">
        <v>1079</v>
      </c>
      <c r="E16" s="1315" t="s">
        <v>1104</v>
      </c>
      <c r="F16" s="1305" t="s">
        <v>1105</v>
      </c>
      <c r="G16" s="1306" t="s">
        <v>1083</v>
      </c>
      <c r="H16" s="1312" t="s">
        <v>1098</v>
      </c>
      <c r="I16" s="1303" t="s">
        <v>1084</v>
      </c>
    </row>
    <row r="17" spans="1:9" ht="14.25">
      <c r="A17" s="3196"/>
      <c r="B17" s="3197" t="s">
        <v>1106</v>
      </c>
      <c r="C17" s="3197"/>
      <c r="D17" s="1304"/>
      <c r="E17" s="1304"/>
      <c r="F17" s="1305"/>
      <c r="G17" s="1306"/>
      <c r="H17" s="1316"/>
      <c r="I17" s="1317">
        <f>ROUND(D17*E17*F17*G17/10000,0)</f>
        <v>0</v>
      </c>
    </row>
    <row r="18" spans="1:9" ht="14.25">
      <c r="A18" s="3196"/>
      <c r="B18" s="3197" t="s">
        <v>1107</v>
      </c>
      <c r="C18" s="3197"/>
      <c r="D18" s="1304"/>
      <c r="E18" s="1304"/>
      <c r="F18" s="1305"/>
      <c r="G18" s="1306"/>
      <c r="H18" s="1316"/>
      <c r="I18" s="1317">
        <f>ROUND(D18*E18*F18*G18/10000,0)</f>
        <v>0</v>
      </c>
    </row>
    <row r="19" spans="1:9" ht="14.25">
      <c r="A19" s="3196"/>
      <c r="B19" s="3197" t="s">
        <v>1108</v>
      </c>
      <c r="C19" s="3197"/>
      <c r="D19" s="1304"/>
      <c r="E19" s="1304"/>
      <c r="F19" s="1305"/>
      <c r="G19" s="1306"/>
      <c r="H19" s="1316"/>
      <c r="I19" s="1317">
        <f>ROUND(D19*E19*F19*G19/10000,0)</f>
        <v>0</v>
      </c>
    </row>
    <row r="20" spans="1:9">
      <c r="A20" s="3196"/>
      <c r="B20" s="3198" t="s">
        <v>1092</v>
      </c>
      <c r="C20" s="3198"/>
      <c r="D20" s="1308">
        <f>SUM(D17:D19)</f>
        <v>0</v>
      </c>
      <c r="E20" s="1308"/>
      <c r="F20" s="1309"/>
      <c r="G20" s="1306"/>
      <c r="H20" s="1313"/>
      <c r="I20" s="1314">
        <f>SUM(I17:I19)</f>
        <v>0</v>
      </c>
    </row>
    <row r="21" spans="1:9">
      <c r="A21" s="3196" t="s">
        <v>1109</v>
      </c>
      <c r="B21" s="3199"/>
      <c r="C21" s="3199"/>
      <c r="D21" s="3199"/>
      <c r="E21" s="3199"/>
      <c r="F21" s="3199"/>
      <c r="G21" s="3199"/>
      <c r="H21" s="1766">
        <v>0.1</v>
      </c>
      <c r="I21" s="1311">
        <f>ROUND(I10*H21,0)</f>
        <v>0</v>
      </c>
    </row>
    <row r="22" spans="1:9" ht="14.25">
      <c r="A22" s="3200" t="s">
        <v>1110</v>
      </c>
      <c r="B22" s="3201"/>
      <c r="C22" s="3202"/>
      <c r="D22" s="1318" t="s">
        <v>1111</v>
      </c>
      <c r="E22" s="1318" t="s">
        <v>1112</v>
      </c>
      <c r="F22" s="1319" t="s">
        <v>1113</v>
      </c>
      <c r="G22" s="1319" t="s">
        <v>1114</v>
      </c>
      <c r="H22" s="1312" t="s">
        <v>1115</v>
      </c>
      <c r="I22" s="1303" t="s">
        <v>1116</v>
      </c>
    </row>
    <row r="23" spans="1:9" ht="14.25" thickBot="1">
      <c r="A23" s="3203"/>
      <c r="B23" s="3204"/>
      <c r="C23" s="3205"/>
      <c r="D23" s="1320"/>
      <c r="E23" s="1320"/>
      <c r="F23" s="1320"/>
      <c r="G23" s="1321"/>
      <c r="H23" s="1322"/>
      <c r="I23" s="1323">
        <f>ROUND(E23*D23*F23*(1-G23)/10000,0)</f>
        <v>0</v>
      </c>
    </row>
    <row r="26" spans="1:9">
      <c r="A26" s="1324" t="s">
        <v>1117</v>
      </c>
      <c r="B26" s="1324"/>
      <c r="C26" s="1324"/>
      <c r="D26" s="1324"/>
      <c r="E26" s="3193">
        <f>C27-C30-C31-C32</f>
        <v>0</v>
      </c>
      <c r="F26" s="3193"/>
      <c r="G26" s="3193"/>
      <c r="H26" s="1738" t="s">
        <v>1340</v>
      </c>
    </row>
    <row r="27" spans="1:9">
      <c r="A27" s="1325">
        <v>1</v>
      </c>
      <c r="B27" s="1326" t="s">
        <v>1118</v>
      </c>
      <c r="C27" s="1326">
        <f>C28+C29</f>
        <v>0</v>
      </c>
      <c r="D27" s="1326"/>
      <c r="E27" s="3194"/>
      <c r="F27" s="3194"/>
      <c r="G27" s="3194"/>
    </row>
    <row r="28" spans="1:9">
      <c r="A28" s="1327" t="s">
        <v>1119</v>
      </c>
      <c r="B28" s="1326" t="s">
        <v>1120</v>
      </c>
      <c r="C28" s="1326"/>
      <c r="D28" s="1326"/>
      <c r="E28" s="3194"/>
      <c r="F28" s="3194"/>
      <c r="G28" s="319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5"/>
      <c r="F32" s="3195"/>
      <c r="G32" s="3195"/>
    </row>
    <row r="33" spans="1:7" hidden="1">
      <c r="A33" s="3190" t="s">
        <v>1129</v>
      </c>
      <c r="B33" s="3191"/>
      <c r="C33" s="3191"/>
      <c r="D33" s="3192"/>
      <c r="E33" s="3193"/>
      <c r="F33" s="3193"/>
      <c r="G33" s="3193"/>
    </row>
    <row r="34" spans="1:7" hidden="1">
      <c r="A34" s="1329">
        <v>1</v>
      </c>
      <c r="B34" s="1326" t="s">
        <v>1130</v>
      </c>
      <c r="C34" s="1326"/>
      <c r="D34" s="1326"/>
      <c r="E34" s="3194"/>
      <c r="F34" s="3194"/>
      <c r="G34" s="3194"/>
    </row>
    <row r="35" spans="1:7" hidden="1">
      <c r="A35" s="1329">
        <v>2</v>
      </c>
      <c r="B35" s="1326" t="s">
        <v>1131</v>
      </c>
      <c r="C35" s="1326"/>
      <c r="D35" s="1326"/>
      <c r="E35" s="3194"/>
      <c r="F35" s="3194"/>
      <c r="G35" s="3194"/>
    </row>
    <row r="36" spans="1:7" hidden="1">
      <c r="A36" s="1329">
        <v>3</v>
      </c>
      <c r="B36" s="1326" t="s">
        <v>1132</v>
      </c>
      <c r="C36" s="1326"/>
      <c r="D36" s="1326"/>
      <c r="E36" s="3194"/>
      <c r="F36" s="3194"/>
      <c r="G36" s="3194"/>
    </row>
    <row r="37" spans="1:7" hidden="1">
      <c r="A37" s="1329">
        <v>4</v>
      </c>
      <c r="B37" s="1326" t="s">
        <v>1133</v>
      </c>
      <c r="C37" s="1326"/>
      <c r="D37" s="1326"/>
      <c r="E37" s="3194"/>
      <c r="F37" s="3194"/>
      <c r="G37" s="3194"/>
    </row>
    <row r="38" spans="1:7" hidden="1">
      <c r="A38" s="3190" t="s">
        <v>1134</v>
      </c>
      <c r="B38" s="3191"/>
      <c r="C38" s="3191"/>
      <c r="D38" s="3192"/>
      <c r="E38" s="3193"/>
      <c r="F38" s="3193"/>
      <c r="G38" s="31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585" t="s">
        <v>2534</v>
      </c>
      <c r="C1" s="1635" t="s">
        <v>2535</v>
      </c>
      <c r="D1" s="1622"/>
      <c r="E1" s="2586"/>
      <c r="F1" s="2587" t="s">
        <v>2536</v>
      </c>
      <c r="G1" s="1632" t="s">
        <v>2537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89"/>
      <c r="D2" s="1366" t="e">
        <f ca="1">SUMIF(INDIRECT("'"&amp;F2&amp;"'"&amp;"!A:A"),"承租人权益价值",INDIRECT("'"&amp;F2&amp;"'"&amp;"!c:c"))</f>
        <v>#REF!</v>
      </c>
      <c r="E2" s="2590" t="s">
        <v>2538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1" customFormat="1" ht="28.5" customHeight="1" thickBot="1">
      <c r="A3" s="245" t="s">
        <v>1395</v>
      </c>
      <c r="B3" s="397" t="e">
        <f ca="1">IF(C2="——",C49,ROUND(B2*10000/D3,0))</f>
        <v>#DIV/0!</v>
      </c>
      <c r="C3" s="398" t="s">
        <v>2539</v>
      </c>
      <c r="D3" s="397">
        <f>IF(D1="",'数据-汇总表'!E3,SUMIF('数据-汇总表'!$C19:$C33,D1,'数据-汇总表'!$E19:$E33))</f>
        <v>4983.7199999999993</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399" t="s">
        <v>2540</v>
      </c>
      <c r="B4" s="400"/>
      <c r="C4" s="3229" t="s">
        <v>2541</v>
      </c>
      <c r="D4" s="3230"/>
      <c r="E4" s="3231" t="s">
        <v>2542</v>
      </c>
      <c r="F4" s="3232"/>
      <c r="G4" s="3229" t="s">
        <v>2543</v>
      </c>
      <c r="H4" s="3230"/>
      <c r="I4" s="3229" t="s">
        <v>2544</v>
      </c>
      <c r="J4" s="3230"/>
      <c r="K4" s="2599" t="s">
        <v>2545</v>
      </c>
      <c r="L4" s="1131"/>
      <c r="M4" s="1132"/>
      <c r="N4" s="1132"/>
      <c r="O4" s="1132"/>
      <c r="P4" s="3233" t="s">
        <v>2546</v>
      </c>
      <c r="Q4" s="3234"/>
      <c r="R4" s="3239" t="s">
        <v>2542</v>
      </c>
      <c r="S4" s="3240"/>
      <c r="T4" s="3239" t="s">
        <v>2543</v>
      </c>
      <c r="U4" s="3240"/>
      <c r="V4" s="3245" t="s">
        <v>2544</v>
      </c>
      <c r="W4" s="3245"/>
      <c r="X4" s="1814"/>
      <c r="Y4" s="3239" t="s">
        <v>2546</v>
      </c>
      <c r="Z4" s="3240"/>
      <c r="AA4" s="3226" t="s">
        <v>2542</v>
      </c>
      <c r="AB4" s="3226" t="s">
        <v>2543</v>
      </c>
      <c r="AC4" s="3226" t="s">
        <v>2544</v>
      </c>
    </row>
    <row r="5" spans="1:29" ht="15">
      <c r="A5" s="402"/>
      <c r="B5" s="403"/>
      <c r="C5" s="3248" t="s">
        <v>2547</v>
      </c>
      <c r="D5" s="3249"/>
      <c r="E5" s="3255" t="s">
        <v>2548</v>
      </c>
      <c r="F5" s="3256"/>
      <c r="G5" s="3248" t="s">
        <v>2549</v>
      </c>
      <c r="H5" s="3249"/>
      <c r="I5" s="3248" t="s">
        <v>2550</v>
      </c>
      <c r="J5" s="3249"/>
      <c r="K5" s="2600"/>
      <c r="L5" s="1131"/>
      <c r="M5" s="1132"/>
      <c r="N5" s="1132"/>
      <c r="O5" s="1132"/>
      <c r="P5" s="3235"/>
      <c r="Q5" s="3236"/>
      <c r="R5" s="3241"/>
      <c r="S5" s="3242"/>
      <c r="T5" s="3241"/>
      <c r="U5" s="3242"/>
      <c r="V5" s="3245"/>
      <c r="W5" s="3245"/>
      <c r="X5" s="1814"/>
      <c r="Y5" s="3241"/>
      <c r="Z5" s="3242"/>
      <c r="AA5" s="3227"/>
      <c r="AB5" s="3227"/>
      <c r="AC5" s="3227"/>
    </row>
    <row r="6" spans="1:29" ht="15.75" thickBot="1">
      <c r="A6" s="404"/>
      <c r="B6" s="405"/>
      <c r="C6" s="3246" t="s">
        <v>2551</v>
      </c>
      <c r="D6" s="3247"/>
      <c r="E6" s="3253" t="s">
        <v>2551</v>
      </c>
      <c r="F6" s="3254"/>
      <c r="G6" s="3246" t="s">
        <v>2551</v>
      </c>
      <c r="H6" s="3247"/>
      <c r="I6" s="3246" t="s">
        <v>2551</v>
      </c>
      <c r="J6" s="3247"/>
      <c r="K6" s="2600" t="s">
        <v>2552</v>
      </c>
      <c r="L6" s="1131"/>
      <c r="M6" s="1132"/>
      <c r="N6" s="1132"/>
      <c r="O6" s="1132"/>
      <c r="P6" s="3237"/>
      <c r="Q6" s="3238"/>
      <c r="R6" s="3241"/>
      <c r="S6" s="3242"/>
      <c r="T6" s="3243"/>
      <c r="U6" s="3244"/>
      <c r="V6" s="3245"/>
      <c r="W6" s="3245"/>
      <c r="X6" s="1814"/>
      <c r="Y6" s="3243"/>
      <c r="Z6" s="3244"/>
      <c r="AA6" s="3228"/>
      <c r="AB6" s="3228"/>
      <c r="AC6" s="3228"/>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2601"/>
      <c r="L7" s="1133"/>
      <c r="M7" s="1134"/>
      <c r="N7" s="1134"/>
      <c r="O7" s="1134"/>
      <c r="P7" s="3250" t="s">
        <v>2554</v>
      </c>
      <c r="Q7" s="3252"/>
      <c r="R7" s="768" t="s">
        <v>23</v>
      </c>
      <c r="S7" s="769">
        <f t="shared" ref="S7:S15" si="0">F7</f>
        <v>0</v>
      </c>
      <c r="T7" s="768" t="s">
        <v>23</v>
      </c>
      <c r="U7" s="769">
        <f t="shared" ref="U7:U15" si="1">H7</f>
        <v>0</v>
      </c>
      <c r="V7" s="768" t="s">
        <v>23</v>
      </c>
      <c r="W7" s="769">
        <f t="shared" ref="W7:W15" si="2">J7</f>
        <v>0</v>
      </c>
      <c r="X7" s="770"/>
      <c r="Y7" s="3250" t="s">
        <v>2554</v>
      </c>
      <c r="Z7" s="3251"/>
      <c r="AA7" s="771" t="e">
        <f>D7/F7</f>
        <v>#DIV/0!</v>
      </c>
      <c r="AB7" s="771" t="e">
        <f>D7/H7</f>
        <v>#DIV/0!</v>
      </c>
      <c r="AC7" s="771" t="e">
        <f>D7/J7</f>
        <v>#DIV/0!</v>
      </c>
    </row>
    <row r="8" spans="1:29" s="115" customFormat="1" ht="15.75" thickBot="1">
      <c r="A8" s="406" t="s">
        <v>2555</v>
      </c>
      <c r="B8" s="407"/>
      <c r="C8" s="412" t="s">
        <v>2556</v>
      </c>
      <c r="D8" s="409">
        <v>100</v>
      </c>
      <c r="E8" s="2602"/>
      <c r="F8" s="411">
        <f>SUMIF(61:61,E8,62:62)-SUMIF(61:61,C8,62:62)+100</f>
        <v>0</v>
      </c>
      <c r="G8" s="412"/>
      <c r="H8" s="409">
        <f>SUMIF(61:61,G8,62:62)-SUMIF(61:61,C8,62:62)+100</f>
        <v>0</v>
      </c>
      <c r="I8" s="2602"/>
      <c r="J8" s="409">
        <f>SUMIF(61:61,I8,62:62)-SUMIF(61:61,C8,62:62)+100</f>
        <v>0</v>
      </c>
      <c r="K8" s="2601"/>
      <c r="L8" s="1133"/>
      <c r="M8" s="1134"/>
      <c r="N8" s="1134"/>
      <c r="O8" s="1134"/>
      <c r="P8" s="3250" t="s">
        <v>2557</v>
      </c>
      <c r="Q8" s="3251"/>
      <c r="R8" s="768" t="s">
        <v>23</v>
      </c>
      <c r="S8" s="769">
        <f t="shared" si="0"/>
        <v>0</v>
      </c>
      <c r="T8" s="768" t="s">
        <v>23</v>
      </c>
      <c r="U8" s="769">
        <f t="shared" si="1"/>
        <v>0</v>
      </c>
      <c r="V8" s="768" t="s">
        <v>23</v>
      </c>
      <c r="W8" s="769">
        <f t="shared" si="2"/>
        <v>0</v>
      </c>
      <c r="X8" s="770"/>
      <c r="Y8" s="3250" t="s">
        <v>2557</v>
      </c>
      <c r="Z8" s="3251"/>
      <c r="AA8" s="771" t="e">
        <f t="shared" ref="AA8:AA19" si="3">D8/F8</f>
        <v>#DIV/0!</v>
      </c>
      <c r="AB8" s="771" t="e">
        <f t="shared" ref="AB8:AB19" si="4">D8/H8</f>
        <v>#DIV/0!</v>
      </c>
      <c r="AC8" s="771" t="e">
        <f t="shared" ref="AC8:AC19" si="5">D8/J8</f>
        <v>#DIV/0!</v>
      </c>
    </row>
    <row r="9" spans="1:29" s="115" customFormat="1">
      <c r="A9" s="413" t="s">
        <v>2558</v>
      </c>
      <c r="B9" s="69" t="s">
        <v>2559</v>
      </c>
      <c r="C9" s="414"/>
      <c r="D9" s="133">
        <v>100</v>
      </c>
      <c r="E9" s="415"/>
      <c r="F9" s="416">
        <f>SUMIF(63:63,E9,64:64)-SUMIF(63:63,C9,64:64)+100</f>
        <v>100</v>
      </c>
      <c r="G9" s="417"/>
      <c r="H9" s="133">
        <f>SUMIF(63:63,G9,64:64)-SUMIF(63:63,C9,64:64)+100</f>
        <v>100</v>
      </c>
      <c r="I9" s="417"/>
      <c r="J9" s="133">
        <f>SUMIF(63:63,I9,64:64)-SUMIF(63:63,C9,64:64)+100</f>
        <v>100</v>
      </c>
      <c r="K9" s="2601"/>
      <c r="L9" s="1133"/>
      <c r="M9" s="1134"/>
      <c r="N9" s="1134"/>
      <c r="O9" s="1134"/>
      <c r="P9" s="3225"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25"/>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25"/>
      <c r="Q11" s="1796" t="str">
        <f t="shared" si="6"/>
        <v>容积率</v>
      </c>
      <c r="R11" s="768" t="s">
        <v>21</v>
      </c>
      <c r="S11" s="769" t="e">
        <f t="shared" si="0"/>
        <v>#N/A</v>
      </c>
      <c r="T11" s="768" t="s">
        <v>21</v>
      </c>
      <c r="U11" s="769" t="e">
        <f t="shared" si="1"/>
        <v>#N/A</v>
      </c>
      <c r="V11" s="768" t="s">
        <v>21</v>
      </c>
      <c r="W11" s="769" t="e">
        <f t="shared" si="2"/>
        <v>#N/A</v>
      </c>
      <c r="X11" s="770"/>
      <c r="Y11" s="3039"/>
      <c r="Z11" s="55" t="str">
        <f t="shared" si="7"/>
        <v>容积率</v>
      </c>
      <c r="AA11" s="771" t="e">
        <f t="shared" si="3"/>
        <v>#N/A</v>
      </c>
      <c r="AB11" s="771" t="e">
        <f t="shared" si="4"/>
        <v>#N/A</v>
      </c>
      <c r="AC11" s="771" t="e">
        <f t="shared" si="5"/>
        <v>#N/A</v>
      </c>
    </row>
    <row r="12" spans="1:29" s="115" customFormat="1" ht="15">
      <c r="A12" s="429"/>
      <c r="B12" s="2603">
        <v>111</v>
      </c>
      <c r="C12" s="430"/>
      <c r="D12" s="431">
        <v>100</v>
      </c>
      <c r="E12" s="430"/>
      <c r="F12" s="423">
        <f>SUMIF(70:70,E12,71:71)-SUMIF(70:70,C12,71:71)+100</f>
        <v>100</v>
      </c>
      <c r="G12" s="430"/>
      <c r="H12" s="134">
        <f>SUMIF(70:70,G12,71:71)-SUMIF(70:70,C12,71:71)+100</f>
        <v>100</v>
      </c>
      <c r="I12" s="430"/>
      <c r="J12" s="134">
        <f>SUMIF(70:70,I12,71:71)-SUMIF(70:70,C12,71:71)+100</f>
        <v>100</v>
      </c>
      <c r="K12" s="2604"/>
      <c r="L12" s="1133"/>
      <c r="M12" s="1134"/>
      <c r="N12" s="1134"/>
      <c r="O12" s="1134"/>
      <c r="P12" s="3225"/>
      <c r="Q12" s="1796">
        <f t="shared" si="6"/>
        <v>111</v>
      </c>
      <c r="R12" s="768" t="s">
        <v>21</v>
      </c>
      <c r="S12" s="769">
        <f t="shared" si="0"/>
        <v>100</v>
      </c>
      <c r="T12" s="768" t="s">
        <v>21</v>
      </c>
      <c r="U12" s="769">
        <f t="shared" si="1"/>
        <v>100</v>
      </c>
      <c r="V12" s="768" t="s">
        <v>21</v>
      </c>
      <c r="W12" s="769">
        <f t="shared" si="2"/>
        <v>100</v>
      </c>
      <c r="X12" s="770"/>
      <c r="Y12" s="3039"/>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1"/>
      <c r="M13" s="1132"/>
      <c r="N13" s="1132"/>
      <c r="O13" s="1132"/>
      <c r="P13" s="3225"/>
      <c r="Q13" s="1796">
        <f t="shared" si="6"/>
        <v>111</v>
      </c>
      <c r="R13" s="768" t="s">
        <v>21</v>
      </c>
      <c r="S13" s="769">
        <f t="shared" si="0"/>
        <v>100</v>
      </c>
      <c r="T13" s="768" t="s">
        <v>21</v>
      </c>
      <c r="U13" s="769">
        <f t="shared" si="1"/>
        <v>100</v>
      </c>
      <c r="V13" s="768" t="s">
        <v>21</v>
      </c>
      <c r="W13" s="769">
        <f t="shared" si="2"/>
        <v>100</v>
      </c>
      <c r="X13" s="770"/>
      <c r="Y13" s="3039"/>
      <c r="Z13" s="55">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1"/>
      <c r="M14" s="1132"/>
      <c r="N14" s="1132"/>
      <c r="O14" s="1132"/>
      <c r="P14" s="3225"/>
      <c r="Q14" s="1796">
        <f t="shared" si="6"/>
        <v>111</v>
      </c>
      <c r="R14" s="768" t="s">
        <v>21</v>
      </c>
      <c r="S14" s="769">
        <f t="shared" si="0"/>
        <v>100</v>
      </c>
      <c r="T14" s="768" t="s">
        <v>21</v>
      </c>
      <c r="U14" s="769">
        <f t="shared" si="1"/>
        <v>100</v>
      </c>
      <c r="V14" s="768" t="s">
        <v>21</v>
      </c>
      <c r="W14" s="769">
        <f t="shared" si="2"/>
        <v>100</v>
      </c>
      <c r="X14" s="770"/>
      <c r="Y14" s="3039"/>
      <c r="Z14" s="55">
        <f t="shared" si="7"/>
        <v>111</v>
      </c>
      <c r="AA14" s="771">
        <f t="shared" si="3"/>
        <v>1</v>
      </c>
      <c r="AB14" s="771">
        <f t="shared" si="4"/>
        <v>1</v>
      </c>
      <c r="AC14" s="771">
        <f t="shared" si="5"/>
        <v>1</v>
      </c>
    </row>
    <row r="15" spans="1:29" ht="99.75">
      <c r="A15" s="438" t="s">
        <v>2564</v>
      </c>
      <c r="B15" s="67" t="s">
        <v>2089</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23" t="s">
        <v>2565</v>
      </c>
      <c r="Q15" s="1811" t="str">
        <f t="shared" si="6"/>
        <v>居住社区成熟度</v>
      </c>
      <c r="R15" s="772" t="s">
        <v>21</v>
      </c>
      <c r="S15" s="773">
        <f t="shared" si="0"/>
        <v>100</v>
      </c>
      <c r="T15" s="772" t="s">
        <v>21</v>
      </c>
      <c r="U15" s="773">
        <f t="shared" si="1"/>
        <v>100</v>
      </c>
      <c r="V15" s="772" t="s">
        <v>21</v>
      </c>
      <c r="W15" s="773">
        <f t="shared" si="2"/>
        <v>100</v>
      </c>
      <c r="X15" s="1814"/>
      <c r="Y15" s="3216" t="s">
        <v>2565</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1"/>
      <c r="M16" s="1132"/>
      <c r="N16" s="1132"/>
      <c r="O16" s="1132"/>
      <c r="P16" s="3224"/>
      <c r="Q16" s="1811"/>
      <c r="R16" s="772"/>
      <c r="S16" s="773"/>
      <c r="T16" s="772"/>
      <c r="U16" s="773"/>
      <c r="V16" s="772"/>
      <c r="W16" s="773"/>
      <c r="X16" s="1814"/>
      <c r="Y16" s="3217"/>
      <c r="Z16" s="1815"/>
      <c r="AA16" s="1812">
        <v>1</v>
      </c>
      <c r="AB16" s="1812">
        <v>1</v>
      </c>
      <c r="AC16" s="1812">
        <v>1</v>
      </c>
    </row>
    <row r="17" spans="1:29" ht="85.5">
      <c r="A17" s="426"/>
      <c r="B17" s="449" t="s">
        <v>2101</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24"/>
      <c r="Q17" s="1811" t="str">
        <f>B17</f>
        <v>交通便捷度</v>
      </c>
      <c r="R17" s="772" t="s">
        <v>21</v>
      </c>
      <c r="S17" s="773">
        <f>F17</f>
        <v>100</v>
      </c>
      <c r="T17" s="772" t="s">
        <v>21</v>
      </c>
      <c r="U17" s="773">
        <f>H17</f>
        <v>100</v>
      </c>
      <c r="V17" s="772" t="s">
        <v>21</v>
      </c>
      <c r="W17" s="773">
        <f>J17</f>
        <v>100</v>
      </c>
      <c r="X17" s="1814"/>
      <c r="Y17" s="3217"/>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1"/>
      <c r="M18" s="1132"/>
      <c r="N18" s="1132"/>
      <c r="O18" s="1132"/>
      <c r="P18" s="3224"/>
      <c r="Q18" s="1811"/>
      <c r="R18" s="772"/>
      <c r="S18" s="773"/>
      <c r="T18" s="772"/>
      <c r="U18" s="773"/>
      <c r="V18" s="772"/>
      <c r="W18" s="773"/>
      <c r="X18" s="1814"/>
      <c r="Y18" s="3217"/>
      <c r="Z18" s="1815"/>
      <c r="AA18" s="1812">
        <v>1</v>
      </c>
      <c r="AB18" s="1812">
        <v>1</v>
      </c>
      <c r="AC18" s="1812">
        <v>1</v>
      </c>
    </row>
    <row r="19" spans="1:29" ht="42.75">
      <c r="A19" s="426"/>
      <c r="B19" s="449" t="s">
        <v>2099</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24"/>
      <c r="Q19" s="1811" t="str">
        <f>B19</f>
        <v>公共配套设施</v>
      </c>
      <c r="R19" s="772" t="s">
        <v>21</v>
      </c>
      <c r="S19" s="773">
        <f>F19</f>
        <v>100</v>
      </c>
      <c r="T19" s="772" t="s">
        <v>21</v>
      </c>
      <c r="U19" s="773">
        <f>H19</f>
        <v>100</v>
      </c>
      <c r="V19" s="772" t="s">
        <v>21</v>
      </c>
      <c r="W19" s="773">
        <f>J19</f>
        <v>100</v>
      </c>
      <c r="X19" s="1814"/>
      <c r="Y19" s="3217"/>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1"/>
      <c r="M20" s="1132"/>
      <c r="N20" s="1132"/>
      <c r="O20" s="1132"/>
      <c r="P20" s="3224"/>
      <c r="Q20" s="1811"/>
      <c r="R20" s="772"/>
      <c r="S20" s="773"/>
      <c r="T20" s="772"/>
      <c r="U20" s="773"/>
      <c r="V20" s="772"/>
      <c r="W20" s="773"/>
      <c r="X20" s="1814"/>
      <c r="Y20" s="3217"/>
      <c r="Z20" s="1815"/>
      <c r="AA20" s="1812">
        <v>1</v>
      </c>
      <c r="AB20" s="1812">
        <v>1</v>
      </c>
      <c r="AC20" s="1812">
        <v>1</v>
      </c>
    </row>
    <row r="21" spans="1:29" ht="28.5">
      <c r="A21" s="426"/>
      <c r="B21" s="1385" t="s">
        <v>2102</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24"/>
      <c r="Q21" s="1811" t="str">
        <f>B21</f>
        <v>基础设施水平</v>
      </c>
      <c r="R21" s="772" t="s">
        <v>17</v>
      </c>
      <c r="S21" s="773">
        <f>F21</f>
        <v>100</v>
      </c>
      <c r="T21" s="772" t="s">
        <v>17</v>
      </c>
      <c r="U21" s="773">
        <f>H21</f>
        <v>100</v>
      </c>
      <c r="V21" s="772" t="s">
        <v>17</v>
      </c>
      <c r="W21" s="773">
        <f>J21</f>
        <v>100</v>
      </c>
      <c r="X21" s="1814"/>
      <c r="Y21" s="3217"/>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6"/>
      <c r="G22" s="2614"/>
      <c r="H22" s="446"/>
      <c r="I22" s="445"/>
      <c r="J22" s="446"/>
      <c r="K22" s="2615"/>
      <c r="L22" s="1141"/>
      <c r="M22" s="1132"/>
      <c r="N22" s="1132"/>
      <c r="O22" s="1132"/>
      <c r="P22" s="3224"/>
      <c r="Q22" s="1811"/>
      <c r="R22" s="772"/>
      <c r="S22" s="773"/>
      <c r="T22" s="772"/>
      <c r="U22" s="773"/>
      <c r="V22" s="772"/>
      <c r="W22" s="773"/>
      <c r="X22" s="1814"/>
      <c r="Y22" s="3217"/>
      <c r="Z22" s="1815"/>
      <c r="AA22" s="1812">
        <v>1</v>
      </c>
      <c r="AB22" s="1812">
        <v>1</v>
      </c>
      <c r="AC22" s="1812">
        <v>1</v>
      </c>
    </row>
    <row r="23" spans="1:29" ht="57">
      <c r="A23" s="426"/>
      <c r="B23" s="449" t="s">
        <v>2106</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24"/>
      <c r="Q23" s="1811" t="str">
        <f>B23</f>
        <v>自然及人文环境</v>
      </c>
      <c r="R23" s="772" t="s">
        <v>21</v>
      </c>
      <c r="S23" s="773">
        <f>F23</f>
        <v>100</v>
      </c>
      <c r="T23" s="772" t="s">
        <v>21</v>
      </c>
      <c r="U23" s="773">
        <f>H23</f>
        <v>100</v>
      </c>
      <c r="V23" s="772" t="s">
        <v>21</v>
      </c>
      <c r="W23" s="773">
        <f>J23</f>
        <v>100</v>
      </c>
      <c r="X23" s="1814"/>
      <c r="Y23" s="3217"/>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1"/>
      <c r="M24" s="1132"/>
      <c r="N24" s="1132"/>
      <c r="O24" s="1132"/>
      <c r="P24" s="3224"/>
      <c r="Q24" s="1811"/>
      <c r="R24" s="772"/>
      <c r="S24" s="773"/>
      <c r="T24" s="772"/>
      <c r="U24" s="773"/>
      <c r="V24" s="772"/>
      <c r="W24" s="773"/>
      <c r="X24" s="1814"/>
      <c r="Y24" s="3217"/>
      <c r="Z24" s="1815"/>
      <c r="AA24" s="1812">
        <v>1</v>
      </c>
      <c r="AB24" s="1812">
        <v>1</v>
      </c>
      <c r="AC24" s="1812">
        <v>1</v>
      </c>
    </row>
    <row r="25" spans="1:29" ht="15">
      <c r="A25" s="426"/>
      <c r="B25" s="420" t="s">
        <v>2566</v>
      </c>
      <c r="C25" s="458"/>
      <c r="D25" s="433">
        <v>100</v>
      </c>
      <c r="E25" s="2616"/>
      <c r="F25" s="433">
        <f>SUMIF(86:86,E25,87:87)-SUMIF(86:86,C25,87:87)+100</f>
        <v>100</v>
      </c>
      <c r="G25" s="2617"/>
      <c r="H25" s="433">
        <f>SUMIF(86:86,G25,87:87)-SUMIF(86:86,C25,87:87)+100</f>
        <v>100</v>
      </c>
      <c r="I25" s="2617"/>
      <c r="J25" s="433">
        <f>SUMIF(86:86,I25,87:87)-SUMIF(86:86,C25,87:87)+100</f>
        <v>100</v>
      </c>
      <c r="K25" s="424"/>
      <c r="L25" s="1141"/>
      <c r="M25" s="1132"/>
      <c r="N25" s="1132"/>
      <c r="O25" s="1132"/>
      <c r="P25" s="3224"/>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17"/>
      <c r="Z25" s="1815" t="str">
        <f>Q25</f>
        <v>楼层-1</v>
      </c>
      <c r="AA25" s="1812">
        <f t="shared" ref="AA25:AA46" si="15">D25/F25</f>
        <v>1</v>
      </c>
      <c r="AB25" s="1812">
        <f t="shared" ref="AB25:AB46" si="16">D25/H25</f>
        <v>1</v>
      </c>
      <c r="AC25" s="1812">
        <f t="shared" ref="AC25:AC46" si="17">D25/J25</f>
        <v>1</v>
      </c>
    </row>
    <row r="26" spans="1:29" ht="15">
      <c r="A26" s="426"/>
      <c r="B26" s="420" t="s">
        <v>2567</v>
      </c>
      <c r="C26" s="458"/>
      <c r="D26" s="433">
        <v>100</v>
      </c>
      <c r="E26" s="2616"/>
      <c r="F26" s="433">
        <f>SUMIF(88:88,E26,89:89)-SUMIF(88:88,C26,89:89)+100</f>
        <v>100</v>
      </c>
      <c r="G26" s="2617"/>
      <c r="H26" s="433">
        <f>SUMIF(88:88,G26,89:89)-SUMIF(88:88,C26,89:89)+100</f>
        <v>100</v>
      </c>
      <c r="I26" s="2617"/>
      <c r="J26" s="433">
        <f>SUMIF(88:88,I26,89:89)-SUMIF(88:88,C26,89:89)+100</f>
        <v>100</v>
      </c>
      <c r="K26" s="424"/>
      <c r="L26" s="1141"/>
      <c r="M26" s="1132"/>
      <c r="N26" s="1132"/>
      <c r="O26" s="1132"/>
      <c r="P26" s="3224"/>
      <c r="Q26" s="1811" t="str">
        <f t="shared" si="11"/>
        <v>朝向</v>
      </c>
      <c r="R26" s="772" t="s">
        <v>21</v>
      </c>
      <c r="S26" s="773">
        <f t="shared" si="12"/>
        <v>100</v>
      </c>
      <c r="T26" s="772" t="s">
        <v>21</v>
      </c>
      <c r="U26" s="773">
        <f t="shared" si="13"/>
        <v>100</v>
      </c>
      <c r="V26" s="772" t="s">
        <v>21</v>
      </c>
      <c r="W26" s="773">
        <f t="shared" si="14"/>
        <v>100</v>
      </c>
      <c r="X26" s="1814"/>
      <c r="Y26" s="3217"/>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4"/>
      <c r="L27" s="1133"/>
      <c r="M27" s="1134"/>
      <c r="N27" s="1134"/>
      <c r="O27" s="1134"/>
      <c r="P27" s="3224"/>
      <c r="Q27" s="1796">
        <f t="shared" si="11"/>
        <v>111</v>
      </c>
      <c r="R27" s="768" t="s">
        <v>21</v>
      </c>
      <c r="S27" s="769">
        <f t="shared" si="12"/>
        <v>100</v>
      </c>
      <c r="T27" s="768" t="s">
        <v>21</v>
      </c>
      <c r="U27" s="769">
        <f t="shared" si="13"/>
        <v>100</v>
      </c>
      <c r="V27" s="768" t="s">
        <v>21</v>
      </c>
      <c r="W27" s="769">
        <f t="shared" si="14"/>
        <v>100</v>
      </c>
      <c r="X27" s="770"/>
      <c r="Y27" s="3217"/>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8"/>
      <c r="H28" s="433">
        <f>SUMIF(92:92,G28,93:93)-SUMIF(92:92,C28,93:93)+100</f>
        <v>100</v>
      </c>
      <c r="I28" s="432"/>
      <c r="J28" s="433">
        <f>SUMIF(92:92,I28,93:93)-SUMIF(92:92,C28,93:93)+100</f>
        <v>100</v>
      </c>
      <c r="K28" s="2604"/>
      <c r="L28" s="1141"/>
      <c r="M28" s="1132"/>
      <c r="N28" s="1132"/>
      <c r="O28" s="1132"/>
      <c r="P28" s="3224"/>
      <c r="Q28" s="1811">
        <f t="shared" si="11"/>
        <v>111</v>
      </c>
      <c r="R28" s="772" t="s">
        <v>21</v>
      </c>
      <c r="S28" s="773">
        <f t="shared" si="12"/>
        <v>100</v>
      </c>
      <c r="T28" s="772" t="s">
        <v>21</v>
      </c>
      <c r="U28" s="773">
        <f t="shared" si="13"/>
        <v>100</v>
      </c>
      <c r="V28" s="772" t="s">
        <v>21</v>
      </c>
      <c r="W28" s="773">
        <f t="shared" si="14"/>
        <v>100</v>
      </c>
      <c r="X28" s="1814"/>
      <c r="Y28" s="3217"/>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8"/>
      <c r="H29" s="433">
        <f>SUMIF(94:94,G29,95:95)-SUMIF(94:94,C29,95:95)+100</f>
        <v>100</v>
      </c>
      <c r="I29" s="432"/>
      <c r="J29" s="433">
        <f>SUMIF(94:94,I29,95:95)-SUMIF(94:94,C29,95:95)+100</f>
        <v>100</v>
      </c>
      <c r="K29" s="2604"/>
      <c r="L29" s="1141"/>
      <c r="M29" s="1132"/>
      <c r="N29" s="1132"/>
      <c r="O29" s="1132"/>
      <c r="P29" s="3224"/>
      <c r="Q29" s="1811">
        <f t="shared" si="11"/>
        <v>111</v>
      </c>
      <c r="R29" s="772" t="s">
        <v>21</v>
      </c>
      <c r="S29" s="773">
        <f t="shared" si="12"/>
        <v>100</v>
      </c>
      <c r="T29" s="772" t="s">
        <v>21</v>
      </c>
      <c r="U29" s="773">
        <f t="shared" si="13"/>
        <v>100</v>
      </c>
      <c r="V29" s="772" t="s">
        <v>21</v>
      </c>
      <c r="W29" s="773">
        <f t="shared" si="14"/>
        <v>100</v>
      </c>
      <c r="X29" s="1814"/>
      <c r="Y29" s="3217"/>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8"/>
      <c r="H30" s="433">
        <f>SUMIF(96:96,G30,97:97)-SUMIF(96:96,C30,97:97)+100</f>
        <v>100</v>
      </c>
      <c r="I30" s="432"/>
      <c r="J30" s="433">
        <f>SUMIF(96:96,I30,97:97)-SUMIF(96:96,C30,97:97)+100</f>
        <v>100</v>
      </c>
      <c r="K30" s="2604"/>
      <c r="L30" s="1141"/>
      <c r="M30" s="1132"/>
      <c r="N30" s="1132"/>
      <c r="O30" s="1132"/>
      <c r="P30" s="3224"/>
      <c r="Q30" s="1811">
        <f t="shared" si="11"/>
        <v>111</v>
      </c>
      <c r="R30" s="772" t="s">
        <v>21</v>
      </c>
      <c r="S30" s="773">
        <f t="shared" si="12"/>
        <v>100</v>
      </c>
      <c r="T30" s="772" t="s">
        <v>21</v>
      </c>
      <c r="U30" s="773">
        <f t="shared" si="13"/>
        <v>100</v>
      </c>
      <c r="V30" s="772" t="s">
        <v>21</v>
      </c>
      <c r="W30" s="773">
        <f t="shared" si="14"/>
        <v>100</v>
      </c>
      <c r="X30" s="1814"/>
      <c r="Y30" s="3217"/>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9"/>
      <c r="H31" s="436">
        <f>SUMIF(98:98,G31,99:99)-SUMIF(98:98,C31,99:99)+100</f>
        <v>100</v>
      </c>
      <c r="I31" s="435"/>
      <c r="J31" s="436">
        <f>SUMIF(98:98,I31,99:99)-SUMIF(98:98,C31,99:99)+100</f>
        <v>100</v>
      </c>
      <c r="K31" s="2604"/>
      <c r="L31" s="1141"/>
      <c r="M31" s="1132"/>
      <c r="N31" s="1132"/>
      <c r="O31" s="1132"/>
      <c r="P31" s="3224"/>
      <c r="Q31" s="1811">
        <f t="shared" si="11"/>
        <v>111</v>
      </c>
      <c r="R31" s="772" t="s">
        <v>21</v>
      </c>
      <c r="S31" s="773">
        <f t="shared" si="12"/>
        <v>100</v>
      </c>
      <c r="T31" s="772" t="s">
        <v>21</v>
      </c>
      <c r="U31" s="773">
        <f t="shared" si="13"/>
        <v>100</v>
      </c>
      <c r="V31" s="772" t="s">
        <v>21</v>
      </c>
      <c r="W31" s="773">
        <f t="shared" si="14"/>
        <v>100</v>
      </c>
      <c r="X31" s="1814"/>
      <c r="Y31" s="3217"/>
      <c r="Z31" s="1815">
        <f t="shared" si="18"/>
        <v>111</v>
      </c>
      <c r="AA31" s="1812">
        <f t="shared" si="15"/>
        <v>1</v>
      </c>
      <c r="AB31" s="1812">
        <f t="shared" si="16"/>
        <v>1</v>
      </c>
      <c r="AC31" s="1812">
        <f t="shared" si="17"/>
        <v>1</v>
      </c>
    </row>
    <row r="32" spans="1:29" ht="15">
      <c r="A32" s="438" t="s">
        <v>2568</v>
      </c>
      <c r="B32" s="69" t="s">
        <v>2569</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1"/>
      <c r="M32" s="1132"/>
      <c r="N32" s="1132"/>
      <c r="O32" s="1132"/>
      <c r="P32" s="3218" t="s">
        <v>2570</v>
      </c>
      <c r="Q32" s="1811" t="str">
        <f t="shared" si="11"/>
        <v>建筑类型</v>
      </c>
      <c r="R32" s="772" t="s">
        <v>21</v>
      </c>
      <c r="S32" s="773">
        <f t="shared" si="12"/>
        <v>100</v>
      </c>
      <c r="T32" s="772" t="s">
        <v>21</v>
      </c>
      <c r="U32" s="773">
        <f t="shared" si="13"/>
        <v>100</v>
      </c>
      <c r="V32" s="772" t="s">
        <v>21</v>
      </c>
      <c r="W32" s="773">
        <f t="shared" si="14"/>
        <v>100</v>
      </c>
      <c r="X32" s="1814"/>
      <c r="Y32" s="3221" t="s">
        <v>2570</v>
      </c>
      <c r="Z32" s="1815" t="str">
        <f t="shared" si="18"/>
        <v>建筑类型</v>
      </c>
      <c r="AA32" s="1812">
        <f t="shared" si="15"/>
        <v>1</v>
      </c>
      <c r="AB32" s="1812">
        <f t="shared" si="16"/>
        <v>1</v>
      </c>
      <c r="AC32" s="1812">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4"/>
      <c r="L33" s="1139"/>
      <c r="M33" s="1142"/>
      <c r="N33" s="1142"/>
      <c r="O33" s="1142"/>
      <c r="P33" s="3219"/>
      <c r="Q33" s="774" t="str">
        <f t="shared" si="11"/>
        <v>项目建筑规模</v>
      </c>
      <c r="R33" s="775" t="s">
        <v>21</v>
      </c>
      <c r="S33" s="776" t="e">
        <f t="shared" si="12"/>
        <v>#N/A</v>
      </c>
      <c r="T33" s="775" t="s">
        <v>21</v>
      </c>
      <c r="U33" s="776" t="e">
        <f t="shared" si="13"/>
        <v>#N/A</v>
      </c>
      <c r="V33" s="775" t="s">
        <v>21</v>
      </c>
      <c r="W33" s="776" t="e">
        <f t="shared" si="14"/>
        <v>#N/A</v>
      </c>
      <c r="X33" s="777"/>
      <c r="Y33" s="3221"/>
      <c r="Z33" s="778" t="str">
        <f t="shared" si="18"/>
        <v>项目建筑规模</v>
      </c>
      <c r="AA33" s="1812" t="e">
        <f t="shared" si="15"/>
        <v>#N/A</v>
      </c>
      <c r="AB33" s="1812" t="e">
        <f t="shared" si="16"/>
        <v>#N/A</v>
      </c>
      <c r="AC33" s="1812" t="e">
        <f t="shared" si="17"/>
        <v>#N/A</v>
      </c>
    </row>
    <row r="34" spans="1:29" ht="15">
      <c r="A34" s="470"/>
      <c r="B34" s="420" t="s">
        <v>2572</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1"/>
      <c r="M34" s="1132"/>
      <c r="N34" s="1132"/>
      <c r="O34" s="1132"/>
      <c r="P34" s="3219"/>
      <c r="Q34" s="1811" t="str">
        <f t="shared" si="11"/>
        <v>建筑结构</v>
      </c>
      <c r="R34" s="772" t="s">
        <v>21</v>
      </c>
      <c r="S34" s="773">
        <f t="shared" si="12"/>
        <v>100</v>
      </c>
      <c r="T34" s="772" t="s">
        <v>21</v>
      </c>
      <c r="U34" s="773">
        <f t="shared" si="13"/>
        <v>100</v>
      </c>
      <c r="V34" s="772" t="s">
        <v>21</v>
      </c>
      <c r="W34" s="773">
        <f t="shared" si="14"/>
        <v>100</v>
      </c>
      <c r="X34" s="1814"/>
      <c r="Y34" s="3221"/>
      <c r="Z34" s="1815" t="str">
        <f t="shared" si="18"/>
        <v>建筑结构</v>
      </c>
      <c r="AA34" s="1812">
        <f t="shared" si="15"/>
        <v>1</v>
      </c>
      <c r="AB34" s="1812">
        <f t="shared" si="16"/>
        <v>1</v>
      </c>
      <c r="AC34" s="1812">
        <f t="shared" si="17"/>
        <v>1</v>
      </c>
    </row>
    <row r="35" spans="1:29" ht="15">
      <c r="A35" s="470"/>
      <c r="B35" s="420" t="s">
        <v>2573</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1"/>
      <c r="M35" s="1132"/>
      <c r="N35" s="1132"/>
      <c r="O35" s="1132"/>
      <c r="P35" s="3219"/>
      <c r="Q35" s="1811" t="str">
        <f t="shared" si="11"/>
        <v>建筑品质</v>
      </c>
      <c r="R35" s="772" t="s">
        <v>21</v>
      </c>
      <c r="S35" s="773">
        <f t="shared" si="12"/>
        <v>100</v>
      </c>
      <c r="T35" s="772" t="s">
        <v>21</v>
      </c>
      <c r="U35" s="773">
        <f t="shared" si="13"/>
        <v>100</v>
      </c>
      <c r="V35" s="772" t="s">
        <v>21</v>
      </c>
      <c r="W35" s="773">
        <f t="shared" si="14"/>
        <v>100</v>
      </c>
      <c r="X35" s="1814"/>
      <c r="Y35" s="3221"/>
      <c r="Z35" s="1815" t="str">
        <f t="shared" si="18"/>
        <v>建筑品质</v>
      </c>
      <c r="AA35" s="1812">
        <f t="shared" si="15"/>
        <v>1</v>
      </c>
      <c r="AB35" s="1812">
        <f t="shared" si="16"/>
        <v>1</v>
      </c>
      <c r="AC35" s="1812">
        <f t="shared" si="17"/>
        <v>1</v>
      </c>
    </row>
    <row r="36" spans="1:29" ht="15">
      <c r="A36" s="470"/>
      <c r="B36" s="420" t="s">
        <v>2574</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1"/>
      <c r="M36" s="1132"/>
      <c r="N36" s="1132"/>
      <c r="O36" s="1132"/>
      <c r="P36" s="3219"/>
      <c r="Q36" s="1811" t="str">
        <f t="shared" si="11"/>
        <v>公共部分装修</v>
      </c>
      <c r="R36" s="772" t="s">
        <v>21</v>
      </c>
      <c r="S36" s="773">
        <f t="shared" si="12"/>
        <v>100</v>
      </c>
      <c r="T36" s="772" t="s">
        <v>21</v>
      </c>
      <c r="U36" s="773">
        <f t="shared" si="13"/>
        <v>100</v>
      </c>
      <c r="V36" s="772" t="s">
        <v>21</v>
      </c>
      <c r="W36" s="773">
        <f t="shared" si="14"/>
        <v>100</v>
      </c>
      <c r="X36" s="1814"/>
      <c r="Y36" s="3221"/>
      <c r="Z36" s="1815" t="str">
        <f t="shared" si="18"/>
        <v>公共部分装修</v>
      </c>
      <c r="AA36" s="1812">
        <f t="shared" si="15"/>
        <v>1</v>
      </c>
      <c r="AB36" s="1812">
        <f t="shared" si="16"/>
        <v>1</v>
      </c>
      <c r="AC36" s="1812">
        <f t="shared" si="17"/>
        <v>1</v>
      </c>
    </row>
    <row r="37" spans="1:29" s="115"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19"/>
      <c r="Q37" s="1796" t="str">
        <f t="shared" si="11"/>
        <v>成新度</v>
      </c>
      <c r="R37" s="768" t="s">
        <v>21</v>
      </c>
      <c r="S37" s="769" t="e">
        <f t="shared" si="12"/>
        <v>#N/A</v>
      </c>
      <c r="T37" s="768" t="s">
        <v>21</v>
      </c>
      <c r="U37" s="769" t="e">
        <f t="shared" si="13"/>
        <v>#N/A</v>
      </c>
      <c r="V37" s="768" t="s">
        <v>21</v>
      </c>
      <c r="W37" s="769" t="e">
        <f t="shared" si="14"/>
        <v>#N/A</v>
      </c>
      <c r="X37" s="770"/>
      <c r="Y37" s="3221"/>
      <c r="Z37" s="55" t="str">
        <f t="shared" si="18"/>
        <v>成新度</v>
      </c>
      <c r="AA37" s="771" t="e">
        <f t="shared" si="15"/>
        <v>#N/A</v>
      </c>
      <c r="AB37" s="771" t="e">
        <f t="shared" si="16"/>
        <v>#N/A</v>
      </c>
      <c r="AC37" s="771" t="e">
        <f t="shared" si="17"/>
        <v>#N/A</v>
      </c>
    </row>
    <row r="38" spans="1:29" ht="15">
      <c r="A38" s="470"/>
      <c r="B38" s="420" t="s">
        <v>2576</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1"/>
      <c r="M38" s="1132"/>
      <c r="N38" s="1132"/>
      <c r="O38" s="1132"/>
      <c r="P38" s="3219" t="s">
        <v>2570</v>
      </c>
      <c r="Q38" s="1811" t="str">
        <f t="shared" si="11"/>
        <v>物业管理</v>
      </c>
      <c r="R38" s="772" t="s">
        <v>21</v>
      </c>
      <c r="S38" s="773">
        <f t="shared" si="12"/>
        <v>100</v>
      </c>
      <c r="T38" s="772" t="s">
        <v>21</v>
      </c>
      <c r="U38" s="773">
        <f t="shared" si="13"/>
        <v>100</v>
      </c>
      <c r="V38" s="772" t="s">
        <v>21</v>
      </c>
      <c r="W38" s="773">
        <f t="shared" si="14"/>
        <v>100</v>
      </c>
      <c r="X38" s="1814"/>
      <c r="Y38" s="3221" t="s">
        <v>2570</v>
      </c>
      <c r="Z38" s="1815" t="str">
        <f t="shared" si="18"/>
        <v>物业管理</v>
      </c>
      <c r="AA38" s="1812">
        <f t="shared" si="15"/>
        <v>1</v>
      </c>
      <c r="AB38" s="1812">
        <f t="shared" si="16"/>
        <v>1</v>
      </c>
      <c r="AC38" s="1812">
        <f t="shared" si="17"/>
        <v>1</v>
      </c>
    </row>
    <row r="39" spans="1:29" ht="15">
      <c r="A39" s="470"/>
      <c r="B39" s="420" t="s">
        <v>2577</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1"/>
      <c r="M39" s="1132"/>
      <c r="N39" s="1132"/>
      <c r="O39" s="1132"/>
      <c r="P39" s="3219"/>
      <c r="Q39" s="1811" t="str">
        <f t="shared" si="11"/>
        <v>市政基础设施</v>
      </c>
      <c r="R39" s="772" t="s">
        <v>21</v>
      </c>
      <c r="S39" s="773">
        <f t="shared" si="12"/>
        <v>100</v>
      </c>
      <c r="T39" s="772" t="s">
        <v>21</v>
      </c>
      <c r="U39" s="773">
        <f t="shared" si="13"/>
        <v>100</v>
      </c>
      <c r="V39" s="772" t="s">
        <v>21</v>
      </c>
      <c r="W39" s="773">
        <f t="shared" si="14"/>
        <v>100</v>
      </c>
      <c r="X39" s="1814"/>
      <c r="Y39" s="3221"/>
      <c r="Z39" s="1815" t="str">
        <f t="shared" si="18"/>
        <v>市政基础设施</v>
      </c>
      <c r="AA39" s="1812">
        <f t="shared" si="15"/>
        <v>1</v>
      </c>
      <c r="AB39" s="1812">
        <f t="shared" si="16"/>
        <v>1</v>
      </c>
      <c r="AC39" s="1812">
        <f t="shared" si="17"/>
        <v>1</v>
      </c>
    </row>
    <row r="40" spans="1:29" ht="15">
      <c r="A40" s="470"/>
      <c r="B40" s="420" t="s">
        <v>2578</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1"/>
      <c r="M40" s="1132"/>
      <c r="N40" s="1132"/>
      <c r="O40" s="1132"/>
      <c r="P40" s="3219"/>
      <c r="Q40" s="1811" t="str">
        <f t="shared" si="11"/>
        <v>房型</v>
      </c>
      <c r="R40" s="772" t="s">
        <v>21</v>
      </c>
      <c r="S40" s="773">
        <f t="shared" si="12"/>
        <v>100</v>
      </c>
      <c r="T40" s="772" t="s">
        <v>21</v>
      </c>
      <c r="U40" s="773">
        <f t="shared" si="13"/>
        <v>100</v>
      </c>
      <c r="V40" s="772" t="s">
        <v>21</v>
      </c>
      <c r="W40" s="773">
        <f t="shared" si="14"/>
        <v>100</v>
      </c>
      <c r="X40" s="1814"/>
      <c r="Y40" s="3221"/>
      <c r="Z40" s="1815" t="str">
        <f t="shared" si="18"/>
        <v>房型</v>
      </c>
      <c r="AA40" s="1812">
        <f t="shared" si="15"/>
        <v>1</v>
      </c>
      <c r="AB40" s="1812">
        <f t="shared" si="16"/>
        <v>1</v>
      </c>
      <c r="AC40" s="1812">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4"/>
      <c r="L41" s="1139"/>
      <c r="M41" s="1142"/>
      <c r="N41" s="1142"/>
      <c r="O41" s="1142"/>
      <c r="P41" s="3219"/>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12">
        <f t="shared" si="15"/>
        <v>1</v>
      </c>
      <c r="AB41" s="1812">
        <f t="shared" si="16"/>
        <v>1</v>
      </c>
      <c r="AC41" s="1812">
        <f t="shared" si="17"/>
        <v>1</v>
      </c>
    </row>
    <row r="42" spans="1:29" ht="15">
      <c r="A42" s="470"/>
      <c r="B42" s="420" t="s">
        <v>2580</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1"/>
      <c r="M42" s="1132"/>
      <c r="N42" s="1132"/>
      <c r="O42" s="1132"/>
      <c r="P42" s="3219"/>
      <c r="Q42" s="1811" t="str">
        <f t="shared" si="11"/>
        <v>内部装修</v>
      </c>
      <c r="R42" s="772" t="s">
        <v>21</v>
      </c>
      <c r="S42" s="773">
        <f t="shared" si="12"/>
        <v>100</v>
      </c>
      <c r="T42" s="772" t="s">
        <v>21</v>
      </c>
      <c r="U42" s="773">
        <f t="shared" si="13"/>
        <v>100</v>
      </c>
      <c r="V42" s="772" t="s">
        <v>21</v>
      </c>
      <c r="W42" s="773">
        <f t="shared" si="14"/>
        <v>100</v>
      </c>
      <c r="X42" s="1814"/>
      <c r="Y42" s="3221"/>
      <c r="Z42" s="1815" t="str">
        <f t="shared" si="18"/>
        <v>内部装修</v>
      </c>
      <c r="AA42" s="1812">
        <f t="shared" si="15"/>
        <v>1</v>
      </c>
      <c r="AB42" s="1812">
        <f t="shared" si="16"/>
        <v>1</v>
      </c>
      <c r="AC42" s="1812">
        <f t="shared" si="17"/>
        <v>1</v>
      </c>
    </row>
    <row r="43" spans="1:29" ht="15">
      <c r="A43" s="470"/>
      <c r="B43" s="420" t="s">
        <v>2581</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1"/>
      <c r="M43" s="1132"/>
      <c r="N43" s="1132"/>
      <c r="O43" s="1132"/>
      <c r="P43" s="3219"/>
      <c r="Q43" s="1811" t="str">
        <f t="shared" si="11"/>
        <v>内部装修维护情况</v>
      </c>
      <c r="R43" s="772" t="s">
        <v>21</v>
      </c>
      <c r="S43" s="773">
        <f t="shared" si="12"/>
        <v>100</v>
      </c>
      <c r="T43" s="772" t="s">
        <v>21</v>
      </c>
      <c r="U43" s="773">
        <f t="shared" si="13"/>
        <v>100</v>
      </c>
      <c r="V43" s="772" t="s">
        <v>21</v>
      </c>
      <c r="W43" s="773">
        <f t="shared" si="14"/>
        <v>100</v>
      </c>
      <c r="X43" s="1814"/>
      <c r="Y43" s="3221"/>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4"/>
      <c r="L44" s="1133"/>
      <c r="M44" s="1134"/>
      <c r="N44" s="1134"/>
      <c r="O44" s="1134"/>
      <c r="P44" s="3219"/>
      <c r="Q44" s="1796">
        <f t="shared" si="11"/>
        <v>111</v>
      </c>
      <c r="R44" s="768" t="s">
        <v>21</v>
      </c>
      <c r="S44" s="769">
        <f t="shared" si="12"/>
        <v>100</v>
      </c>
      <c r="T44" s="768" t="s">
        <v>21</v>
      </c>
      <c r="U44" s="769">
        <f t="shared" si="13"/>
        <v>100</v>
      </c>
      <c r="V44" s="768" t="s">
        <v>21</v>
      </c>
      <c r="W44" s="769">
        <f t="shared" si="14"/>
        <v>100</v>
      </c>
      <c r="X44" s="770"/>
      <c r="Y44" s="3221"/>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1"/>
      <c r="M45" s="1132"/>
      <c r="N45" s="1132"/>
      <c r="O45" s="1132"/>
      <c r="P45" s="3219"/>
      <c r="Q45" s="1811">
        <f t="shared" si="11"/>
        <v>111</v>
      </c>
      <c r="R45" s="772" t="s">
        <v>21</v>
      </c>
      <c r="S45" s="773">
        <f t="shared" si="12"/>
        <v>100</v>
      </c>
      <c r="T45" s="772" t="s">
        <v>21</v>
      </c>
      <c r="U45" s="773">
        <f t="shared" si="13"/>
        <v>100</v>
      </c>
      <c r="V45" s="772" t="s">
        <v>21</v>
      </c>
      <c r="W45" s="773">
        <f t="shared" si="14"/>
        <v>100</v>
      </c>
      <c r="X45" s="1814"/>
      <c r="Y45" s="3221"/>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1"/>
      <c r="M46" s="1132"/>
      <c r="N46" s="1132"/>
      <c r="O46" s="1132"/>
      <c r="P46" s="3220"/>
      <c r="Q46" s="1811">
        <f t="shared" si="11"/>
        <v>111</v>
      </c>
      <c r="R46" s="772" t="s">
        <v>20</v>
      </c>
      <c r="S46" s="773">
        <f t="shared" si="12"/>
        <v>100</v>
      </c>
      <c r="T46" s="772" t="s">
        <v>20</v>
      </c>
      <c r="U46" s="773">
        <f t="shared" si="13"/>
        <v>100</v>
      </c>
      <c r="V46" s="772" t="s">
        <v>20</v>
      </c>
      <c r="W46" s="773">
        <f t="shared" si="14"/>
        <v>100</v>
      </c>
      <c r="X46" s="1814"/>
      <c r="Y46" s="3222"/>
      <c r="Z46" s="1815">
        <f t="shared" si="18"/>
        <v>111</v>
      </c>
      <c r="AA46" s="1812">
        <f t="shared" si="15"/>
        <v>1</v>
      </c>
      <c r="AB46" s="1812">
        <f t="shared" si="16"/>
        <v>1</v>
      </c>
      <c r="AC46" s="1812">
        <f t="shared" si="17"/>
        <v>1</v>
      </c>
    </row>
    <row r="47" spans="1:29" ht="15">
      <c r="A47" s="477" t="s">
        <v>2582</v>
      </c>
      <c r="B47" s="478"/>
      <c r="C47" s="1408" t="s">
        <v>19</v>
      </c>
      <c r="D47" s="1409"/>
      <c r="E47" s="1410"/>
      <c r="F47" s="1411"/>
      <c r="G47" s="1412"/>
      <c r="H47" s="1413"/>
      <c r="I47" s="1410"/>
      <c r="J47" s="1413"/>
      <c r="K47" s="2624"/>
      <c r="L47" s="1144"/>
      <c r="M47" s="1145"/>
      <c r="N47" s="1132"/>
      <c r="O47" s="1145"/>
      <c r="P47" s="3214" t="str">
        <f>A47</f>
        <v>成交单价（元/平方米）</v>
      </c>
      <c r="Q47" s="3214"/>
      <c r="R47" s="3215">
        <f>E47</f>
        <v>0</v>
      </c>
      <c r="S47" s="3215"/>
      <c r="T47" s="3215">
        <f>G47</f>
        <v>0</v>
      </c>
      <c r="U47" s="3215"/>
      <c r="V47" s="3215">
        <f>I47</f>
        <v>0</v>
      </c>
      <c r="W47" s="3215"/>
      <c r="X47" s="757"/>
      <c r="Y47" s="779"/>
      <c r="Z47" s="757"/>
      <c r="AA47" s="757"/>
      <c r="AB47" s="757"/>
      <c r="AC47" s="757"/>
    </row>
    <row r="48" spans="1:29" ht="15.75" thickBot="1">
      <c r="A48" s="484" t="s">
        <v>2583</v>
      </c>
      <c r="B48" s="485"/>
      <c r="C48" s="1414" t="e">
        <f>R49</f>
        <v>#DIV/0!</v>
      </c>
      <c r="D48" s="1415"/>
      <c r="E48" s="1416" t="e">
        <f>R48</f>
        <v>#DIV/0!</v>
      </c>
      <c r="F48" s="1416"/>
      <c r="G48" s="1414" t="e">
        <f>T48</f>
        <v>#DIV/0!</v>
      </c>
      <c r="H48" s="1415"/>
      <c r="I48" s="1416" t="e">
        <f>V48</f>
        <v>#DIV/0!</v>
      </c>
      <c r="J48" s="1415"/>
      <c r="K48" s="2625"/>
      <c r="L48" s="1144"/>
      <c r="M48" s="1145"/>
      <c r="N48" s="1145"/>
      <c r="O48" s="1145"/>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0" t="s">
        <v>2584</v>
      </c>
      <c r="B49" s="491"/>
      <c r="C49" s="1417" t="e">
        <f>R49</f>
        <v>#DIV/0!</v>
      </c>
      <c r="D49" s="1418"/>
      <c r="E49" s="1418"/>
      <c r="F49" s="1418"/>
      <c r="G49" s="1418"/>
      <c r="H49" s="1418"/>
      <c r="I49" s="1418"/>
      <c r="J49" s="1418"/>
      <c r="K49" s="2626"/>
      <c r="L49" s="1144"/>
      <c r="M49" s="1145"/>
      <c r="N49" s="1145"/>
      <c r="O49" s="1145"/>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2588</v>
      </c>
      <c r="B57" s="757"/>
      <c r="C57" s="762"/>
      <c r="D57" s="762"/>
      <c r="E57" s="762"/>
      <c r="F57" s="763"/>
      <c r="G57" s="763"/>
      <c r="H57" s="762"/>
      <c r="I57" s="762"/>
      <c r="J57" s="762"/>
      <c r="K57" s="1161"/>
      <c r="L57" s="1162"/>
      <c r="M57" s="1160"/>
      <c r="N57" s="1160"/>
      <c r="O57" s="1160"/>
      <c r="P57" s="2629"/>
      <c r="Q57" s="502"/>
    </row>
    <row r="58" spans="1:29" s="506" customFormat="1" ht="15">
      <c r="A58" s="503" t="s">
        <v>2589</v>
      </c>
      <c r="B58" s="504"/>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5" customFormat="1" ht="15">
      <c r="A59" s="507"/>
      <c r="B59" s="2630"/>
      <c r="C59" s="1574">
        <v>100</v>
      </c>
      <c r="D59" s="509"/>
      <c r="E59" s="510"/>
      <c r="F59" s="510"/>
      <c r="G59" s="510"/>
      <c r="H59" s="510"/>
      <c r="I59" s="510"/>
      <c r="J59" s="510"/>
      <c r="K59" s="510"/>
      <c r="L59" s="510"/>
      <c r="M59" s="511"/>
      <c r="N59" s="510"/>
      <c r="O59" s="511"/>
      <c r="P59" s="2631"/>
    </row>
    <row r="60" spans="1:29" s="115" customFormat="1" ht="15.75" thickBot="1">
      <c r="A60" s="513" t="s">
        <v>2590</v>
      </c>
      <c r="B60" s="514"/>
      <c r="C60" s="515"/>
      <c r="D60" s="516"/>
      <c r="E60" s="516"/>
      <c r="F60" s="516"/>
      <c r="G60" s="516"/>
      <c r="H60" s="516"/>
      <c r="I60" s="516"/>
      <c r="J60" s="516"/>
      <c r="K60" s="516"/>
      <c r="L60" s="516"/>
      <c r="M60" s="517"/>
      <c r="N60" s="516"/>
      <c r="O60" s="517"/>
      <c r="P60" s="2631"/>
      <c r="Q60" s="502"/>
    </row>
    <row r="61" spans="1:29" s="115" customFormat="1" ht="15">
      <c r="A61" s="519" t="s">
        <v>2591</v>
      </c>
      <c r="B61" s="508"/>
      <c r="C61" s="520" t="s">
        <v>2592</v>
      </c>
      <c r="D61" s="521"/>
      <c r="E61" s="521"/>
      <c r="F61" s="521"/>
      <c r="G61" s="521"/>
      <c r="H61" s="521"/>
      <c r="I61" s="521"/>
      <c r="J61" s="521"/>
      <c r="K61" s="521"/>
      <c r="L61" s="522"/>
      <c r="M61" s="523"/>
      <c r="N61" s="1152"/>
      <c r="O61" s="1152"/>
      <c r="P61" s="2632"/>
      <c r="Q61" s="502"/>
    </row>
    <row r="62" spans="1:29" s="115"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2593</v>
      </c>
      <c r="B63" s="526" t="s">
        <v>2559</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2102</v>
      </c>
      <c r="C82" s="537" t="s">
        <v>2609</v>
      </c>
      <c r="D82" s="537" t="s">
        <v>2610</v>
      </c>
      <c r="E82" s="537" t="s">
        <v>2611</v>
      </c>
      <c r="F82" s="537" t="s">
        <v>2612</v>
      </c>
      <c r="G82" s="537" t="s">
        <v>2613</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3"/>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5" customFormat="1" ht="15.75" thickTop="1">
      <c r="A86" s="577"/>
      <c r="B86" s="536" t="s">
        <v>2615</v>
      </c>
      <c r="C86" s="552"/>
      <c r="D86" s="552"/>
      <c r="E86" s="552"/>
      <c r="F86" s="552"/>
      <c r="G86" s="552"/>
      <c r="H86" s="552"/>
      <c r="I86" s="552"/>
      <c r="J86" s="552"/>
      <c r="K86" s="552"/>
      <c r="L86" s="578"/>
      <c r="M86" s="579"/>
      <c r="N86" s="1152"/>
      <c r="O86" s="1152"/>
      <c r="P86" s="2633"/>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3"/>
      <c r="Q87" s="502"/>
    </row>
    <row r="88" spans="1:17" s="115" customFormat="1" ht="15.75" thickTop="1">
      <c r="A88" s="577"/>
      <c r="B88" s="536" t="s">
        <v>2616</v>
      </c>
      <c r="C88" s="552"/>
      <c r="D88" s="552"/>
      <c r="E88" s="552"/>
      <c r="F88" s="2638"/>
      <c r="G88" s="552"/>
      <c r="H88" s="552"/>
      <c r="I88" s="552"/>
      <c r="J88" s="552"/>
      <c r="K88" s="552"/>
      <c r="L88" s="552"/>
      <c r="M88" s="579"/>
      <c r="N88" s="1152"/>
      <c r="O88" s="1152"/>
      <c r="P88" s="2633"/>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f>B27</f>
        <v>111</v>
      </c>
      <c r="C90" s="552"/>
      <c r="D90" s="552"/>
      <c r="E90" s="552"/>
      <c r="F90" s="552"/>
      <c r="G90" s="552"/>
      <c r="H90" s="553"/>
      <c r="I90" s="553"/>
      <c r="J90" s="553"/>
      <c r="K90" s="553"/>
      <c r="L90" s="554"/>
      <c r="M90" s="555"/>
      <c r="N90" s="1155"/>
      <c r="O90" s="1155"/>
      <c r="P90" s="2634"/>
      <c r="Q90" s="557"/>
    </row>
    <row r="91" spans="1:17" s="469" customFormat="1" ht="15.75" thickBot="1">
      <c r="A91" s="551"/>
      <c r="B91" s="541"/>
      <c r="C91" s="558"/>
      <c r="D91" s="558"/>
      <c r="E91" s="558"/>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2568</v>
      </c>
      <c r="B100" s="526" t="s">
        <v>2617</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2619</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2620</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2621</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15" thickTop="1">
      <c r="A114" s="597"/>
      <c r="B114" s="536" t="s">
        <v>2622</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2623</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2624</v>
      </c>
      <c r="C118" s="581"/>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2579</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2625</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4" t="s">
        <v>2630</v>
      </c>
      <c r="D138" s="144" t="s">
        <v>2631</v>
      </c>
      <c r="E138" s="2648" t="s">
        <v>2632</v>
      </c>
      <c r="F138" s="2649" t="s">
        <v>2633</v>
      </c>
      <c r="G138" s="144" t="s">
        <v>2631</v>
      </c>
      <c r="H138" s="145" t="s">
        <v>2632</v>
      </c>
      <c r="I138" s="2650"/>
      <c r="J138" s="144" t="s">
        <v>2634</v>
      </c>
      <c r="K138" s="145" t="s">
        <v>2635</v>
      </c>
    </row>
    <row r="139" spans="1:17" ht="15">
      <c r="B139" s="1085">
        <v>6</v>
      </c>
      <c r="C139" s="1086">
        <v>96</v>
      </c>
      <c r="D139" s="2651" t="s">
        <v>2636</v>
      </c>
      <c r="E139" s="1087">
        <v>100</v>
      </c>
      <c r="F139" s="1088">
        <v>102.5</v>
      </c>
      <c r="G139" s="2651" t="s">
        <v>2636</v>
      </c>
      <c r="H139" s="1089">
        <v>105</v>
      </c>
      <c r="I139" s="2652" t="s">
        <v>2637</v>
      </c>
      <c r="J139" s="1086">
        <v>20</v>
      </c>
      <c r="K139" s="1090">
        <f>C145/(J139-2)</f>
        <v>4.0555555555555553E-3</v>
      </c>
    </row>
    <row r="140" spans="1:17" ht="15">
      <c r="B140" s="1091">
        <v>5</v>
      </c>
      <c r="C140" s="1092">
        <v>100</v>
      </c>
      <c r="D140" s="1092"/>
      <c r="E140" s="1093"/>
      <c r="F140" s="1094">
        <v>102</v>
      </c>
      <c r="G140" s="1092"/>
      <c r="H140" s="1095"/>
      <c r="I140" s="2653" t="s">
        <v>2638</v>
      </c>
      <c r="J140" s="313">
        <f>ROUNDUP((J139-1)/2,0)</f>
        <v>10</v>
      </c>
      <c r="K140" s="1096">
        <v>100</v>
      </c>
    </row>
    <row r="141" spans="1:17" ht="15">
      <c r="B141" s="1091">
        <v>4</v>
      </c>
      <c r="C141" s="1092">
        <v>102</v>
      </c>
      <c r="D141" s="1092"/>
      <c r="E141" s="1093"/>
      <c r="F141" s="1094">
        <v>101.5</v>
      </c>
      <c r="G141" s="1092"/>
      <c r="H141" s="1095"/>
      <c r="I141" s="2653" t="s">
        <v>2639</v>
      </c>
      <c r="J141" s="313">
        <v>1</v>
      </c>
      <c r="K141" s="1097">
        <f>ROUND(100+(J141-J140)*K139*100,1)</f>
        <v>96.4</v>
      </c>
    </row>
    <row r="142" spans="1:17" ht="15">
      <c r="B142" s="1091">
        <v>3</v>
      </c>
      <c r="C142" s="1092">
        <v>103</v>
      </c>
      <c r="D142" s="1092"/>
      <c r="E142" s="1093"/>
      <c r="F142" s="1094">
        <v>101</v>
      </c>
      <c r="G142" s="1092"/>
      <c r="H142" s="1095"/>
      <c r="I142" s="2653" t="s">
        <v>2640</v>
      </c>
      <c r="J142" s="313">
        <f>J139</f>
        <v>20</v>
      </c>
      <c r="K142" s="1098">
        <v>95</v>
      </c>
    </row>
    <row r="143" spans="1:17" ht="15">
      <c r="B143" s="1091">
        <v>2</v>
      </c>
      <c r="C143" s="1092">
        <v>100</v>
      </c>
      <c r="D143" s="1092"/>
      <c r="E143" s="1093"/>
      <c r="F143" s="1094">
        <v>100.5</v>
      </c>
      <c r="G143" s="1092"/>
      <c r="H143" s="1095"/>
      <c r="I143" s="2653" t="s">
        <v>2641</v>
      </c>
      <c r="J143" s="1092">
        <v>15</v>
      </c>
      <c r="K143" s="1097">
        <f>ROUND(100+(J143-J140)*K139*100,1)</f>
        <v>102</v>
      </c>
    </row>
    <row r="144" spans="1:17" ht="15">
      <c r="B144" s="1091">
        <v>1</v>
      </c>
      <c r="C144" s="1092">
        <v>98</v>
      </c>
      <c r="D144" s="2654" t="s">
        <v>2642</v>
      </c>
      <c r="E144" s="1093">
        <v>102</v>
      </c>
      <c r="F144" s="1099">
        <v>100</v>
      </c>
      <c r="G144" s="2654" t="s">
        <v>2642</v>
      </c>
      <c r="H144" s="1095">
        <v>105</v>
      </c>
      <c r="I144" s="2653" t="s">
        <v>2641</v>
      </c>
      <c r="J144" s="1092">
        <v>18</v>
      </c>
      <c r="K144" s="1097">
        <f>ROUND(100+(J144-J140)*K139*100,1)</f>
        <v>103.2</v>
      </c>
    </row>
    <row r="145" spans="2:11" ht="15.75" thickBot="1">
      <c r="B145" s="2655" t="s">
        <v>2643</v>
      </c>
      <c r="C145" s="1100">
        <f>ROUND(MAX(C139:C144)/MIN(C139:C144)-1,3)</f>
        <v>7.2999999999999995E-2</v>
      </c>
      <c r="D145" s="1101"/>
      <c r="E145" s="1101"/>
      <c r="F145" s="2656" t="s">
        <v>2644</v>
      </c>
      <c r="G145" s="2657"/>
      <c r="H145" s="2658"/>
      <c r="I145" s="2659" t="s">
        <v>2641</v>
      </c>
      <c r="J145" s="1102">
        <v>8</v>
      </c>
      <c r="K145" s="1103">
        <f>ROUND(100+(J145-J140)*K139*100,1)</f>
        <v>99.2</v>
      </c>
    </row>
    <row r="147" spans="2:11">
      <c r="B147" s="2640" t="s">
        <v>2645</v>
      </c>
    </row>
    <row r="148" spans="2:11">
      <c r="B148" s="2640"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585" t="s">
        <v>2647</v>
      </c>
      <c r="C1" s="1635" t="s">
        <v>2535</v>
      </c>
      <c r="D1" s="1622"/>
      <c r="E1" s="2660"/>
      <c r="F1" s="2587"/>
      <c r="G1" s="1632" t="s">
        <v>2648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6" customFormat="1" ht="28.5" customHeight="1" thickTop="1">
      <c r="A2" s="1618" t="s">
        <v>2332</v>
      </c>
      <c r="B2" s="1419" t="e">
        <f ca="1">IF(C2="——",ROUND(C49*D3/10000,0),ROUND(C49*D3/10000,0)-D2)</f>
        <v>#DIV/0!</v>
      </c>
      <c r="C2" s="2589"/>
      <c r="D2" s="1366" t="e">
        <f ca="1">SUMIF(INDIRECT("'"&amp;F2&amp;"'"&amp;"!A:A"),"承租人权益价值",INDIRECT("'"&amp;F2&amp;"'"&amp;"!c:c"))</f>
        <v>#REF!</v>
      </c>
      <c r="E2" s="2590" t="s">
        <v>2333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6" customFormat="1" ht="28.5" customHeight="1" thickBot="1">
      <c r="A3" s="245" t="s">
        <v>2334</v>
      </c>
      <c r="B3" s="607" t="e">
        <f ca="1">IF(C2="——",C49,ROUND(B2*10000/D3,0))</f>
        <v>#DIV/0!</v>
      </c>
      <c r="C3" s="398" t="s">
        <v>2649</v>
      </c>
      <c r="D3" s="397">
        <f>IF(D1="",'数据-汇总表'!E3,SUMIF('数据-汇总表'!$C19:$C33,D1,'数据-汇总表'!$E19:$E33))</f>
        <v>4983.7199999999993</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45" t="s">
        <v>2653</v>
      </c>
      <c r="AC4" s="3226" t="s">
        <v>2654</v>
      </c>
    </row>
    <row r="5" spans="1:29"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45"/>
      <c r="AC5" s="3227"/>
    </row>
    <row r="6" spans="1:29" ht="15.75" thickBot="1">
      <c r="A6" s="404"/>
      <c r="B6" s="405"/>
      <c r="C6" s="3246" t="s">
        <v>2551</v>
      </c>
      <c r="D6" s="3247"/>
      <c r="E6" s="3253" t="s">
        <v>2551</v>
      </c>
      <c r="F6" s="3254"/>
      <c r="G6" s="3246" t="s">
        <v>2551</v>
      </c>
      <c r="H6" s="3247"/>
      <c r="I6" s="3246" t="s">
        <v>2551</v>
      </c>
      <c r="J6" s="3247"/>
      <c r="K6" s="608" t="s">
        <v>2552</v>
      </c>
      <c r="L6" s="1131"/>
      <c r="M6" s="1132"/>
      <c r="N6" s="1132"/>
      <c r="O6" s="1132"/>
      <c r="P6" s="3237"/>
      <c r="Q6" s="3238"/>
      <c r="R6" s="3241"/>
      <c r="S6" s="3242"/>
      <c r="T6" s="3243"/>
      <c r="U6" s="3244"/>
      <c r="V6" s="3245"/>
      <c r="W6" s="3245"/>
      <c r="X6" s="1814"/>
      <c r="Y6" s="3243"/>
      <c r="Z6" s="3244"/>
      <c r="AA6" s="3228"/>
      <c r="AB6" s="3245"/>
      <c r="AC6" s="3228"/>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50" t="s">
        <v>2554</v>
      </c>
      <c r="Q7" s="3252"/>
      <c r="R7" s="768" t="s">
        <v>17</v>
      </c>
      <c r="S7" s="769">
        <f t="shared" ref="S7:S15" si="0">F7</f>
        <v>0</v>
      </c>
      <c r="T7" s="768" t="s">
        <v>17</v>
      </c>
      <c r="U7" s="769">
        <f t="shared" ref="U7:U15" si="1">H7</f>
        <v>0</v>
      </c>
      <c r="V7" s="768" t="s">
        <v>17</v>
      </c>
      <c r="W7" s="769">
        <f t="shared" ref="W7:W15" si="2">J7</f>
        <v>0</v>
      </c>
      <c r="X7" s="770"/>
      <c r="Y7" s="3250" t="s">
        <v>2554</v>
      </c>
      <c r="Z7" s="3251"/>
      <c r="AA7" s="771" t="e">
        <f>D7/F7</f>
        <v>#DIV/0!</v>
      </c>
      <c r="AB7" s="771" t="e">
        <f>D7/H7</f>
        <v>#DIV/0!</v>
      </c>
      <c r="AC7" s="771" t="e">
        <f>D7/J7</f>
        <v>#DIV/0!</v>
      </c>
    </row>
    <row r="8" spans="1:29" s="115" customFormat="1" ht="15.75" thickBot="1">
      <c r="A8" s="406" t="s">
        <v>2555</v>
      </c>
      <c r="B8" s="407"/>
      <c r="C8" s="412" t="s">
        <v>2657</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46" si="3">D8/F8</f>
        <v>#DIV/0!</v>
      </c>
      <c r="AB8" s="771" t="e">
        <f t="shared" ref="AB8:AB46" si="4">D8/H8</f>
        <v>#DIV/0!</v>
      </c>
      <c r="AC8" s="771" t="e">
        <f t="shared" ref="AC8:AC46" si="5">D8/J8</f>
        <v>#DIV/0!</v>
      </c>
    </row>
    <row r="9" spans="1:29" s="115" customFormat="1">
      <c r="A9" s="413" t="s">
        <v>2558</v>
      </c>
      <c r="B9" s="69" t="s">
        <v>2559</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25"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25"/>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25"/>
      <c r="Q11" s="1796"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5" customFormat="1" ht="15">
      <c r="A12" s="429"/>
      <c r="B12" s="2603">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25"/>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25"/>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25"/>
      <c r="Q14" s="1796">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71.25">
      <c r="A15" s="438" t="s">
        <v>2564</v>
      </c>
      <c r="B15" s="67" t="s">
        <v>2658</v>
      </c>
      <c r="C15" s="260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23" t="s">
        <v>2565</v>
      </c>
      <c r="Q15" s="1811" t="str">
        <f t="shared" si="6"/>
        <v>商业繁华度</v>
      </c>
      <c r="R15" s="772" t="s">
        <v>17</v>
      </c>
      <c r="S15" s="773">
        <f t="shared" si="0"/>
        <v>100</v>
      </c>
      <c r="T15" s="772" t="s">
        <v>17</v>
      </c>
      <c r="U15" s="773">
        <f t="shared" si="1"/>
        <v>100</v>
      </c>
      <c r="V15" s="772" t="s">
        <v>17</v>
      </c>
      <c r="W15" s="773">
        <f t="shared" si="2"/>
        <v>100</v>
      </c>
      <c r="X15" s="1814"/>
      <c r="Y15" s="3216" t="s">
        <v>2565</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24"/>
      <c r="Q16" s="1811"/>
      <c r="R16" s="772"/>
      <c r="S16" s="773"/>
      <c r="T16" s="772"/>
      <c r="U16" s="773"/>
      <c r="V16" s="772"/>
      <c r="W16" s="773"/>
      <c r="X16" s="1814"/>
      <c r="Y16" s="3217"/>
      <c r="Z16" s="1815"/>
      <c r="AA16" s="1812">
        <v>1</v>
      </c>
      <c r="AB16" s="1812">
        <v>1</v>
      </c>
      <c r="AC16" s="1812">
        <v>1</v>
      </c>
    </row>
    <row r="17" spans="1:29" ht="85.5">
      <c r="A17" s="426"/>
      <c r="B17" s="449" t="s">
        <v>2101</v>
      </c>
      <c r="C17" s="261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24"/>
      <c r="Q17" s="1811" t="str">
        <f>B17</f>
        <v>交通便捷度</v>
      </c>
      <c r="R17" s="772" t="s">
        <v>17</v>
      </c>
      <c r="S17" s="773">
        <f>F17</f>
        <v>100</v>
      </c>
      <c r="T17" s="772" t="s">
        <v>17</v>
      </c>
      <c r="U17" s="773">
        <f>H17</f>
        <v>100</v>
      </c>
      <c r="V17" s="772" t="s">
        <v>17</v>
      </c>
      <c r="W17" s="773">
        <f>J17</f>
        <v>100</v>
      </c>
      <c r="X17" s="1814"/>
      <c r="Y17" s="3217"/>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32"/>
      <c r="P18" s="3224"/>
      <c r="Q18" s="1811"/>
      <c r="R18" s="772"/>
      <c r="S18" s="773"/>
      <c r="T18" s="772"/>
      <c r="U18" s="773"/>
      <c r="V18" s="772"/>
      <c r="W18" s="773"/>
      <c r="X18" s="1814"/>
      <c r="Y18" s="3217"/>
      <c r="Z18" s="1815"/>
      <c r="AA18" s="1812">
        <v>1</v>
      </c>
      <c r="AB18" s="1812">
        <v>1</v>
      </c>
      <c r="AC18" s="1812">
        <v>1</v>
      </c>
    </row>
    <row r="19" spans="1:29" ht="42.75">
      <c r="A19" s="426"/>
      <c r="B19" s="449" t="s">
        <v>2659</v>
      </c>
      <c r="C19" s="261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24"/>
      <c r="Q19" s="1811" t="str">
        <f>B19</f>
        <v>公共配套设施</v>
      </c>
      <c r="R19" s="772" t="s">
        <v>17</v>
      </c>
      <c r="S19" s="773">
        <f>F19</f>
        <v>100</v>
      </c>
      <c r="T19" s="772" t="s">
        <v>17</v>
      </c>
      <c r="U19" s="773">
        <f>H19</f>
        <v>100</v>
      </c>
      <c r="V19" s="772" t="s">
        <v>17</v>
      </c>
      <c r="W19" s="773">
        <f>J19</f>
        <v>100</v>
      </c>
      <c r="X19" s="1814"/>
      <c r="Y19" s="3217"/>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32"/>
      <c r="P20" s="3224"/>
      <c r="Q20" s="1811"/>
      <c r="R20" s="772"/>
      <c r="S20" s="773"/>
      <c r="T20" s="772"/>
      <c r="U20" s="773"/>
      <c r="V20" s="772"/>
      <c r="W20" s="773"/>
      <c r="X20" s="1814"/>
      <c r="Y20" s="3217"/>
      <c r="Z20" s="1815"/>
      <c r="AA20" s="1812">
        <v>1</v>
      </c>
      <c r="AB20" s="1812">
        <v>1</v>
      </c>
      <c r="AC20" s="1812">
        <v>1</v>
      </c>
    </row>
    <row r="21" spans="1:29" ht="28.5">
      <c r="A21" s="426"/>
      <c r="B21" s="1385" t="s">
        <v>2660</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24"/>
      <c r="Q21" s="1811" t="str">
        <f>B21</f>
        <v>基础设施水平</v>
      </c>
      <c r="R21" s="772" t="s">
        <v>17</v>
      </c>
      <c r="S21" s="773">
        <f>F21</f>
        <v>100</v>
      </c>
      <c r="T21" s="772" t="s">
        <v>17</v>
      </c>
      <c r="U21" s="773">
        <f>H21</f>
        <v>100</v>
      </c>
      <c r="V21" s="772" t="s">
        <v>17</v>
      </c>
      <c r="W21" s="773">
        <f>J21</f>
        <v>100</v>
      </c>
      <c r="X21" s="1814"/>
      <c r="Y21" s="3217"/>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32"/>
      <c r="P22" s="3224"/>
      <c r="Q22" s="1811"/>
      <c r="R22" s="772"/>
      <c r="S22" s="773"/>
      <c r="T22" s="772"/>
      <c r="U22" s="773"/>
      <c r="V22" s="772"/>
      <c r="W22" s="773"/>
      <c r="X22" s="1814"/>
      <c r="Y22" s="3217"/>
      <c r="Z22" s="1815"/>
      <c r="AA22" s="1812">
        <v>1</v>
      </c>
      <c r="AB22" s="1812">
        <v>1</v>
      </c>
      <c r="AC22" s="1812">
        <v>1</v>
      </c>
    </row>
    <row r="23" spans="1:29" ht="57">
      <c r="A23" s="426"/>
      <c r="B23" s="449" t="s">
        <v>2106</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24"/>
      <c r="Q23" s="1811" t="str">
        <f>B23</f>
        <v>自然及人文环境</v>
      </c>
      <c r="R23" s="772" t="s">
        <v>17</v>
      </c>
      <c r="S23" s="773">
        <f>F23</f>
        <v>100</v>
      </c>
      <c r="T23" s="772" t="s">
        <v>17</v>
      </c>
      <c r="U23" s="773">
        <f>H23</f>
        <v>100</v>
      </c>
      <c r="V23" s="772" t="s">
        <v>17</v>
      </c>
      <c r="W23" s="773">
        <f>J23</f>
        <v>100</v>
      </c>
      <c r="X23" s="1814"/>
      <c r="Y23" s="3217"/>
      <c r="Z23" s="1815" t="str">
        <f>Q23</f>
        <v>自然及人文环境</v>
      </c>
      <c r="AA23" s="1812">
        <f t="shared" si="3"/>
        <v>1</v>
      </c>
      <c r="AB23" s="1812">
        <f t="shared" si="4"/>
        <v>1</v>
      </c>
      <c r="AC23" s="1812">
        <f t="shared" si="5"/>
        <v>1</v>
      </c>
    </row>
    <row r="24" spans="1:29" ht="15">
      <c r="A24" s="426"/>
      <c r="B24" s="454"/>
      <c r="C24" s="445"/>
      <c r="D24" s="446"/>
      <c r="E24" s="2608"/>
      <c r="F24" s="447"/>
      <c r="G24" s="2607"/>
      <c r="H24" s="446"/>
      <c r="I24" s="2608"/>
      <c r="J24" s="446"/>
      <c r="K24" s="613"/>
      <c r="L24" s="1141"/>
      <c r="M24" s="1132"/>
      <c r="N24" s="1132"/>
      <c r="O24" s="1132"/>
      <c r="P24" s="3224"/>
      <c r="Q24" s="1811"/>
      <c r="R24" s="772"/>
      <c r="S24" s="773"/>
      <c r="T24" s="772"/>
      <c r="U24" s="773"/>
      <c r="V24" s="772"/>
      <c r="W24" s="773"/>
      <c r="X24" s="1814"/>
      <c r="Y24" s="3217"/>
      <c r="Z24" s="1815"/>
      <c r="AA24" s="1812">
        <v>1</v>
      </c>
      <c r="AB24" s="1812">
        <v>1</v>
      </c>
      <c r="AC24" s="1812">
        <v>1</v>
      </c>
    </row>
    <row r="25" spans="1:29" ht="15">
      <c r="A25" s="426"/>
      <c r="B25" s="420" t="s">
        <v>2661</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24"/>
      <c r="Q25" s="1811" t="str">
        <f t="shared" ref="Q25:Q46" si="11">B25</f>
        <v>临街状况</v>
      </c>
      <c r="R25" s="772" t="s">
        <v>17</v>
      </c>
      <c r="S25" s="773">
        <f>F25</f>
        <v>100</v>
      </c>
      <c r="T25" s="772" t="s">
        <v>17</v>
      </c>
      <c r="U25" s="773">
        <f>H25</f>
        <v>100</v>
      </c>
      <c r="V25" s="772" t="s">
        <v>17</v>
      </c>
      <c r="W25" s="773">
        <f>J25</f>
        <v>100</v>
      </c>
      <c r="X25" s="1814"/>
      <c r="Y25" s="3217"/>
      <c r="Z25" s="1815" t="str">
        <f>Q25</f>
        <v>临街状况</v>
      </c>
      <c r="AA25" s="1812">
        <f t="shared" si="3"/>
        <v>1</v>
      </c>
      <c r="AB25" s="1812">
        <f t="shared" si="4"/>
        <v>1</v>
      </c>
      <c r="AC25" s="1812">
        <f t="shared" si="5"/>
        <v>1</v>
      </c>
    </row>
    <row r="26" spans="1:29" ht="15">
      <c r="A26" s="426"/>
      <c r="B26" s="1387" t="s">
        <v>2662</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24"/>
      <c r="Q26" s="1811" t="str">
        <f t="shared" si="11"/>
        <v>平面位置/可视性</v>
      </c>
      <c r="R26" s="772" t="s">
        <v>17</v>
      </c>
      <c r="S26" s="773">
        <f>F26</f>
        <v>100</v>
      </c>
      <c r="T26" s="772" t="s">
        <v>17</v>
      </c>
      <c r="U26" s="773">
        <f>H26</f>
        <v>100</v>
      </c>
      <c r="V26" s="772" t="s">
        <v>17</v>
      </c>
      <c r="W26" s="773">
        <f>J26</f>
        <v>100</v>
      </c>
      <c r="X26" s="1814"/>
      <c r="Y26" s="3217"/>
      <c r="Z26" s="1815" t="str">
        <f>Q26</f>
        <v>平面位置/可视性</v>
      </c>
      <c r="AA26" s="1812">
        <f t="shared" si="3"/>
        <v>1</v>
      </c>
      <c r="AB26" s="1812">
        <f t="shared" si="4"/>
        <v>1</v>
      </c>
      <c r="AC26" s="1812">
        <f t="shared" si="5"/>
        <v>1</v>
      </c>
    </row>
    <row r="27" spans="1:29" s="115" customFormat="1" ht="15">
      <c r="A27" s="429"/>
      <c r="B27" s="449" t="s">
        <v>2663</v>
      </c>
      <c r="C27" s="2668"/>
      <c r="D27" s="460">
        <v>100</v>
      </c>
      <c r="E27" s="2668"/>
      <c r="F27" s="462">
        <f>SUMIF(90:90,E27,91:91)-SUMIF(90:90,C27,91:91)+100</f>
        <v>100</v>
      </c>
      <c r="G27" s="2668"/>
      <c r="H27" s="460">
        <f>SUMIF(90:90,G27,91:91)-SUMIF(90:90,C27,91:91)+100</f>
        <v>100</v>
      </c>
      <c r="I27" s="2668"/>
      <c r="J27" s="460">
        <f>SUMIF(90:90,I27,91:91)-SUMIF(90:90,C27,91:91)+100</f>
        <v>100</v>
      </c>
      <c r="K27" s="610"/>
      <c r="L27" s="1133"/>
      <c r="M27" s="1134"/>
      <c r="N27" s="1134"/>
      <c r="O27" s="1134"/>
      <c r="P27" s="3224"/>
      <c r="Q27" s="1796" t="str">
        <f t="shared" si="11"/>
        <v>人流量</v>
      </c>
      <c r="R27" s="768" t="s">
        <v>17</v>
      </c>
      <c r="S27" s="769">
        <f>F27</f>
        <v>100</v>
      </c>
      <c r="T27" s="768" t="s">
        <v>17</v>
      </c>
      <c r="U27" s="769">
        <f>H27</f>
        <v>100</v>
      </c>
      <c r="V27" s="768" t="s">
        <v>17</v>
      </c>
      <c r="W27" s="769">
        <f>J27</f>
        <v>100</v>
      </c>
      <c r="X27" s="770"/>
      <c r="Y27" s="3217"/>
      <c r="Z27" s="55" t="str">
        <f>Q27</f>
        <v>人流量</v>
      </c>
      <c r="AA27" s="1812">
        <f>D27/F27</f>
        <v>1</v>
      </c>
      <c r="AB27" s="1812">
        <f>D27/H27</f>
        <v>1</v>
      </c>
      <c r="AC27" s="1812">
        <f>D27/J27</f>
        <v>1</v>
      </c>
    </row>
    <row r="28" spans="1:29" ht="15">
      <c r="A28" s="426"/>
      <c r="B28" s="420" t="s">
        <v>2664</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24"/>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17"/>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24"/>
      <c r="Q29" s="1811">
        <f t="shared" si="11"/>
        <v>111</v>
      </c>
      <c r="R29" s="772" t="s">
        <v>17</v>
      </c>
      <c r="S29" s="773">
        <f t="shared" si="12"/>
        <v>100</v>
      </c>
      <c r="T29" s="772" t="s">
        <v>17</v>
      </c>
      <c r="U29" s="773">
        <f t="shared" si="13"/>
        <v>100</v>
      </c>
      <c r="V29" s="772" t="s">
        <v>17</v>
      </c>
      <c r="W29" s="773">
        <f t="shared" si="14"/>
        <v>100</v>
      </c>
      <c r="X29" s="1814"/>
      <c r="Y29" s="3217"/>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24"/>
      <c r="Q30" s="1811">
        <f t="shared" si="11"/>
        <v>111</v>
      </c>
      <c r="R30" s="772" t="s">
        <v>17</v>
      </c>
      <c r="S30" s="773">
        <f t="shared" si="12"/>
        <v>100</v>
      </c>
      <c r="T30" s="772" t="s">
        <v>17</v>
      </c>
      <c r="U30" s="773">
        <f t="shared" si="13"/>
        <v>100</v>
      </c>
      <c r="V30" s="772" t="s">
        <v>17</v>
      </c>
      <c r="W30" s="773">
        <f t="shared" si="14"/>
        <v>100</v>
      </c>
      <c r="X30" s="1814"/>
      <c r="Y30" s="3217"/>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24"/>
      <c r="Q31" s="1811">
        <f t="shared" si="11"/>
        <v>111</v>
      </c>
      <c r="R31" s="772" t="s">
        <v>17</v>
      </c>
      <c r="S31" s="773">
        <f t="shared" si="12"/>
        <v>100</v>
      </c>
      <c r="T31" s="772" t="s">
        <v>17</v>
      </c>
      <c r="U31" s="773">
        <f t="shared" si="13"/>
        <v>100</v>
      </c>
      <c r="V31" s="772" t="s">
        <v>17</v>
      </c>
      <c r="W31" s="773">
        <f t="shared" si="14"/>
        <v>100</v>
      </c>
      <c r="X31" s="1814"/>
      <c r="Y31" s="3217"/>
      <c r="Z31" s="1815">
        <f t="shared" si="15"/>
        <v>111</v>
      </c>
      <c r="AA31" s="1812">
        <f t="shared" si="3"/>
        <v>1</v>
      </c>
      <c r="AB31" s="1812">
        <f t="shared" si="4"/>
        <v>1</v>
      </c>
      <c r="AC31" s="1812">
        <f t="shared" si="5"/>
        <v>1</v>
      </c>
    </row>
    <row r="32" spans="1:29" ht="15">
      <c r="A32" s="438" t="s">
        <v>2568</v>
      </c>
      <c r="B32" s="69" t="s">
        <v>2665</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1"/>
      <c r="M32" s="1132"/>
      <c r="N32" s="1132"/>
      <c r="O32" s="1132"/>
      <c r="P32" s="3218" t="s">
        <v>2570</v>
      </c>
      <c r="Q32" s="1811" t="str">
        <f t="shared" si="11"/>
        <v>商业类型</v>
      </c>
      <c r="R32" s="772" t="s">
        <v>17</v>
      </c>
      <c r="S32" s="773">
        <f t="shared" si="12"/>
        <v>100</v>
      </c>
      <c r="T32" s="772" t="s">
        <v>17</v>
      </c>
      <c r="U32" s="773">
        <f t="shared" si="13"/>
        <v>100</v>
      </c>
      <c r="V32" s="772" t="s">
        <v>17</v>
      </c>
      <c r="W32" s="773">
        <f t="shared" si="14"/>
        <v>100</v>
      </c>
      <c r="X32" s="1814"/>
      <c r="Y32" s="3221" t="s">
        <v>2570</v>
      </c>
      <c r="Z32" s="1815" t="str">
        <f t="shared" si="15"/>
        <v>商业类型</v>
      </c>
      <c r="AA32" s="1812">
        <f t="shared" si="3"/>
        <v>1</v>
      </c>
      <c r="AB32" s="1812">
        <f t="shared" si="4"/>
        <v>1</v>
      </c>
      <c r="AC32" s="1812">
        <f t="shared" si="5"/>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19"/>
      <c r="Q33" s="774" t="str">
        <f t="shared" si="11"/>
        <v>项目建筑规模</v>
      </c>
      <c r="R33" s="775" t="s">
        <v>17</v>
      </c>
      <c r="S33" s="776" t="e">
        <f t="shared" si="12"/>
        <v>#N/A</v>
      </c>
      <c r="T33" s="775" t="s">
        <v>17</v>
      </c>
      <c r="U33" s="776" t="e">
        <f t="shared" si="13"/>
        <v>#N/A</v>
      </c>
      <c r="V33" s="775" t="s">
        <v>17</v>
      </c>
      <c r="W33" s="776" t="e">
        <f t="shared" si="14"/>
        <v>#N/A</v>
      </c>
      <c r="X33" s="777"/>
      <c r="Y33" s="3221"/>
      <c r="Z33" s="778" t="str">
        <f t="shared" si="15"/>
        <v>项目建筑规模</v>
      </c>
      <c r="AA33" s="1812" t="e">
        <f t="shared" si="3"/>
        <v>#N/A</v>
      </c>
      <c r="AB33" s="1812" t="e">
        <f t="shared" si="4"/>
        <v>#N/A</v>
      </c>
      <c r="AC33" s="1812" t="e">
        <f t="shared" si="5"/>
        <v>#N/A</v>
      </c>
    </row>
    <row r="34" spans="1:29" ht="15">
      <c r="A34" s="470"/>
      <c r="B34" s="420" t="s">
        <v>2572</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1"/>
      <c r="M34" s="1132"/>
      <c r="N34" s="1132"/>
      <c r="O34" s="1132"/>
      <c r="P34" s="3219"/>
      <c r="Q34" s="1811" t="str">
        <f t="shared" si="11"/>
        <v>建筑结构</v>
      </c>
      <c r="R34" s="772" t="s">
        <v>17</v>
      </c>
      <c r="S34" s="773">
        <f t="shared" si="12"/>
        <v>100</v>
      </c>
      <c r="T34" s="772" t="s">
        <v>17</v>
      </c>
      <c r="U34" s="773">
        <f t="shared" si="13"/>
        <v>100</v>
      </c>
      <c r="V34" s="772" t="s">
        <v>17</v>
      </c>
      <c r="W34" s="773">
        <f t="shared" si="14"/>
        <v>100</v>
      </c>
      <c r="X34" s="1814"/>
      <c r="Y34" s="3221"/>
      <c r="Z34" s="1815" t="str">
        <f t="shared" si="15"/>
        <v>建筑结构</v>
      </c>
      <c r="AA34" s="1812">
        <f t="shared" si="3"/>
        <v>1</v>
      </c>
      <c r="AB34" s="1812">
        <f t="shared" si="4"/>
        <v>1</v>
      </c>
      <c r="AC34" s="1812">
        <f t="shared" si="5"/>
        <v>1</v>
      </c>
    </row>
    <row r="35" spans="1:29" ht="15">
      <c r="A35" s="470"/>
      <c r="B35" s="420" t="s">
        <v>2666</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1"/>
      <c r="M35" s="1132"/>
      <c r="N35" s="1132"/>
      <c r="O35" s="1132"/>
      <c r="P35" s="3219"/>
      <c r="Q35" s="1811" t="str">
        <f t="shared" si="11"/>
        <v>公共部分装修</v>
      </c>
      <c r="R35" s="772" t="s">
        <v>17</v>
      </c>
      <c r="S35" s="773">
        <f t="shared" si="12"/>
        <v>100</v>
      </c>
      <c r="T35" s="772" t="s">
        <v>17</v>
      </c>
      <c r="U35" s="773">
        <f t="shared" si="13"/>
        <v>100</v>
      </c>
      <c r="V35" s="772" t="s">
        <v>17</v>
      </c>
      <c r="W35" s="773">
        <f t="shared" si="14"/>
        <v>100</v>
      </c>
      <c r="X35" s="1814"/>
      <c r="Y35" s="3221"/>
      <c r="Z35" s="1815" t="str">
        <f t="shared" si="15"/>
        <v>公共部分装修</v>
      </c>
      <c r="AA35" s="1812">
        <f t="shared" si="3"/>
        <v>1</v>
      </c>
      <c r="AB35" s="1812">
        <f t="shared" si="4"/>
        <v>1</v>
      </c>
      <c r="AC35" s="1812">
        <f t="shared" si="5"/>
        <v>1</v>
      </c>
    </row>
    <row r="36" spans="1:29" ht="15">
      <c r="A36" s="470"/>
      <c r="B36" s="420" t="s">
        <v>2667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19"/>
      <c r="Q36" s="1811" t="str">
        <f t="shared" si="11"/>
        <v>成新度</v>
      </c>
      <c r="R36" s="772" t="s">
        <v>17</v>
      </c>
      <c r="S36" s="773" t="e">
        <f t="shared" si="12"/>
        <v>#N/A</v>
      </c>
      <c r="T36" s="772" t="s">
        <v>17</v>
      </c>
      <c r="U36" s="773" t="e">
        <f t="shared" si="13"/>
        <v>#N/A</v>
      </c>
      <c r="V36" s="772" t="s">
        <v>17</v>
      </c>
      <c r="W36" s="773" t="e">
        <f t="shared" si="14"/>
        <v>#N/A</v>
      </c>
      <c r="X36" s="1814"/>
      <c r="Y36" s="3221"/>
      <c r="Z36" s="1815" t="str">
        <f t="shared" si="15"/>
        <v>成新度</v>
      </c>
      <c r="AA36" s="1812" t="e">
        <f t="shared" si="3"/>
        <v>#N/A</v>
      </c>
      <c r="AB36" s="1812" t="e">
        <f t="shared" si="4"/>
        <v>#N/A</v>
      </c>
      <c r="AC36" s="1812" t="e">
        <f t="shared" si="5"/>
        <v>#N/A</v>
      </c>
    </row>
    <row r="37" spans="1:29" s="115" customFormat="1" ht="15">
      <c r="A37" s="471"/>
      <c r="B37" s="420" t="s">
        <v>2668</v>
      </c>
      <c r="C37" s="2616"/>
      <c r="D37" s="134">
        <v>100</v>
      </c>
      <c r="E37" s="2616"/>
      <c r="F37" s="459">
        <f>SUMIF(112:112,E37,113:113)-SUMIF(112:112,C37,113:113)+100</f>
        <v>100</v>
      </c>
      <c r="G37" s="2616"/>
      <c r="H37" s="433">
        <f>SUMIF(112:112,G37,113:113)-SUMIF(112:112,C37,113:113)+100</f>
        <v>100</v>
      </c>
      <c r="I37" s="2616"/>
      <c r="J37" s="433">
        <f>SUMIF(112:112,I37,113:113)-SUMIF(112:112,C37,113:113)+100</f>
        <v>100</v>
      </c>
      <c r="K37" s="610"/>
      <c r="L37" s="1133"/>
      <c r="M37" s="1134"/>
      <c r="N37" s="1134"/>
      <c r="O37" s="1134"/>
      <c r="P37" s="3219"/>
      <c r="Q37" s="1796" t="str">
        <f t="shared" si="11"/>
        <v>市政基础设施</v>
      </c>
      <c r="R37" s="768" t="s">
        <v>17</v>
      </c>
      <c r="S37" s="769">
        <f t="shared" si="12"/>
        <v>100</v>
      </c>
      <c r="T37" s="768" t="s">
        <v>17</v>
      </c>
      <c r="U37" s="769">
        <f t="shared" si="13"/>
        <v>100</v>
      </c>
      <c r="V37" s="768" t="s">
        <v>17</v>
      </c>
      <c r="W37" s="769">
        <f t="shared" si="14"/>
        <v>100</v>
      </c>
      <c r="X37" s="770"/>
      <c r="Y37" s="3221"/>
      <c r="Z37" s="55" t="str">
        <f t="shared" si="15"/>
        <v>市政基础设施</v>
      </c>
      <c r="AA37" s="771">
        <f t="shared" si="3"/>
        <v>1</v>
      </c>
      <c r="AB37" s="771">
        <f t="shared" si="4"/>
        <v>1</v>
      </c>
      <c r="AC37" s="771">
        <f t="shared" si="5"/>
        <v>1</v>
      </c>
    </row>
    <row r="38" spans="1:29" ht="15">
      <c r="A38" s="470"/>
      <c r="B38" s="420" t="s">
        <v>2669</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1"/>
      <c r="M38" s="1132"/>
      <c r="N38" s="1132"/>
      <c r="O38" s="1132"/>
      <c r="P38" s="3219" t="s">
        <v>2570</v>
      </c>
      <c r="Q38" s="1811" t="str">
        <f t="shared" si="11"/>
        <v>业态</v>
      </c>
      <c r="R38" s="772" t="s">
        <v>17</v>
      </c>
      <c r="S38" s="773">
        <f t="shared" si="12"/>
        <v>100</v>
      </c>
      <c r="T38" s="772" t="s">
        <v>17</v>
      </c>
      <c r="U38" s="773">
        <f t="shared" si="13"/>
        <v>100</v>
      </c>
      <c r="V38" s="772" t="s">
        <v>17</v>
      </c>
      <c r="W38" s="773">
        <f t="shared" si="14"/>
        <v>100</v>
      </c>
      <c r="X38" s="1814"/>
      <c r="Y38" s="3221" t="s">
        <v>2570</v>
      </c>
      <c r="Z38" s="1815" t="str">
        <f t="shared" si="15"/>
        <v>业态</v>
      </c>
      <c r="AA38" s="1812">
        <f t="shared" si="3"/>
        <v>1</v>
      </c>
      <c r="AB38" s="1812">
        <f t="shared" si="4"/>
        <v>1</v>
      </c>
      <c r="AC38" s="1812">
        <f t="shared" si="5"/>
        <v>1</v>
      </c>
    </row>
    <row r="39" spans="1:29" ht="15">
      <c r="A39" s="470"/>
      <c r="B39" s="420" t="s">
        <v>2670</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1"/>
      <c r="M39" s="1132"/>
      <c r="N39" s="1132"/>
      <c r="O39" s="1132"/>
      <c r="P39" s="3219"/>
      <c r="Q39" s="1811" t="str">
        <f t="shared" si="11"/>
        <v>层高</v>
      </c>
      <c r="R39" s="772" t="s">
        <v>17</v>
      </c>
      <c r="S39" s="773">
        <f t="shared" si="12"/>
        <v>100</v>
      </c>
      <c r="T39" s="772" t="s">
        <v>17</v>
      </c>
      <c r="U39" s="773">
        <f t="shared" si="13"/>
        <v>100</v>
      </c>
      <c r="V39" s="772" t="s">
        <v>17</v>
      </c>
      <c r="W39" s="773">
        <f t="shared" si="14"/>
        <v>100</v>
      </c>
      <c r="X39" s="1814"/>
      <c r="Y39" s="3221"/>
      <c r="Z39" s="1815" t="str">
        <f t="shared" si="15"/>
        <v>层高</v>
      </c>
      <c r="AA39" s="1812">
        <f t="shared" si="3"/>
        <v>1</v>
      </c>
      <c r="AB39" s="1812">
        <f t="shared" si="4"/>
        <v>1</v>
      </c>
      <c r="AC39" s="1812">
        <f t="shared" si="5"/>
        <v>1</v>
      </c>
    </row>
    <row r="40" spans="1:29" ht="15">
      <c r="A40" s="470"/>
      <c r="B40" s="420" t="s">
        <v>2671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19"/>
      <c r="Q40" s="1811" t="str">
        <f t="shared" si="11"/>
        <v>单套建筑面积</v>
      </c>
      <c r="R40" s="772" t="s">
        <v>17</v>
      </c>
      <c r="S40" s="773">
        <f t="shared" si="12"/>
        <v>100</v>
      </c>
      <c r="T40" s="772" t="s">
        <v>17</v>
      </c>
      <c r="U40" s="773">
        <f t="shared" si="13"/>
        <v>100</v>
      </c>
      <c r="V40" s="772" t="s">
        <v>17</v>
      </c>
      <c r="W40" s="773">
        <f t="shared" si="14"/>
        <v>100</v>
      </c>
      <c r="X40" s="1814"/>
      <c r="Y40" s="3221"/>
      <c r="Z40" s="1815" t="str">
        <f t="shared" si="15"/>
        <v>单套建筑面积</v>
      </c>
      <c r="AA40" s="1812">
        <f t="shared" si="3"/>
        <v>1</v>
      </c>
      <c r="AB40" s="1812">
        <f t="shared" si="4"/>
        <v>1</v>
      </c>
      <c r="AC40" s="1812">
        <f t="shared" si="5"/>
        <v>1</v>
      </c>
    </row>
    <row r="41" spans="1:29" s="469" customFormat="1" ht="15">
      <c r="A41" s="466"/>
      <c r="B41" s="1813"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19"/>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12">
        <f t="shared" si="3"/>
        <v>1</v>
      </c>
      <c r="AB41" s="1812">
        <f t="shared" si="4"/>
        <v>1</v>
      </c>
      <c r="AC41" s="1812">
        <f t="shared" si="5"/>
        <v>1</v>
      </c>
    </row>
    <row r="42" spans="1:29" ht="15">
      <c r="A42" s="470"/>
      <c r="B42" s="420" t="s">
        <v>2673</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1"/>
      <c r="M42" s="1132"/>
      <c r="N42" s="1132"/>
      <c r="O42" s="1132"/>
      <c r="P42" s="3219"/>
      <c r="Q42" s="1811" t="str">
        <f t="shared" si="11"/>
        <v>内部装修</v>
      </c>
      <c r="R42" s="772" t="s">
        <v>17</v>
      </c>
      <c r="S42" s="773">
        <f t="shared" si="12"/>
        <v>100</v>
      </c>
      <c r="T42" s="772" t="s">
        <v>17</v>
      </c>
      <c r="U42" s="773">
        <f t="shared" si="13"/>
        <v>100</v>
      </c>
      <c r="V42" s="772" t="s">
        <v>17</v>
      </c>
      <c r="W42" s="773">
        <f t="shared" si="14"/>
        <v>100</v>
      </c>
      <c r="X42" s="1814"/>
      <c r="Y42" s="3221"/>
      <c r="Z42" s="1815" t="str">
        <f t="shared" si="15"/>
        <v>内部装修</v>
      </c>
      <c r="AA42" s="1812">
        <f t="shared" si="3"/>
        <v>1</v>
      </c>
      <c r="AB42" s="1812">
        <f t="shared" si="4"/>
        <v>1</v>
      </c>
      <c r="AC42" s="1812">
        <f t="shared" si="5"/>
        <v>1</v>
      </c>
    </row>
    <row r="43" spans="1:29" ht="15">
      <c r="A43" s="470"/>
      <c r="B43" s="420" t="s">
        <v>2581</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1"/>
      <c r="M43" s="1132"/>
      <c r="N43" s="1132"/>
      <c r="O43" s="1132"/>
      <c r="P43" s="3219"/>
      <c r="Q43" s="1811" t="str">
        <f t="shared" si="11"/>
        <v>内部装修维护情况</v>
      </c>
      <c r="R43" s="772" t="s">
        <v>17</v>
      </c>
      <c r="S43" s="773">
        <f t="shared" si="12"/>
        <v>100</v>
      </c>
      <c r="T43" s="772" t="s">
        <v>17</v>
      </c>
      <c r="U43" s="773">
        <f t="shared" si="13"/>
        <v>100</v>
      </c>
      <c r="V43" s="772" t="s">
        <v>17</v>
      </c>
      <c r="W43" s="773">
        <f t="shared" si="14"/>
        <v>100</v>
      </c>
      <c r="X43" s="1814"/>
      <c r="Y43" s="3221"/>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19"/>
      <c r="Q44" s="1796">
        <f t="shared" si="11"/>
        <v>111</v>
      </c>
      <c r="R44" s="768" t="s">
        <v>17</v>
      </c>
      <c r="S44" s="769">
        <f t="shared" si="12"/>
        <v>100</v>
      </c>
      <c r="T44" s="768" t="s">
        <v>17</v>
      </c>
      <c r="U44" s="769">
        <f t="shared" si="13"/>
        <v>100</v>
      </c>
      <c r="V44" s="768" t="s">
        <v>17</v>
      </c>
      <c r="W44" s="769">
        <f t="shared" si="14"/>
        <v>100</v>
      </c>
      <c r="X44" s="770"/>
      <c r="Y44" s="3221"/>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19"/>
      <c r="Q45" s="1811">
        <f t="shared" si="11"/>
        <v>111</v>
      </c>
      <c r="R45" s="772" t="s">
        <v>17</v>
      </c>
      <c r="S45" s="773">
        <f t="shared" si="12"/>
        <v>100</v>
      </c>
      <c r="T45" s="772" t="s">
        <v>17</v>
      </c>
      <c r="U45" s="773">
        <f t="shared" si="13"/>
        <v>100</v>
      </c>
      <c r="V45" s="772" t="s">
        <v>17</v>
      </c>
      <c r="W45" s="773">
        <f t="shared" si="14"/>
        <v>100</v>
      </c>
      <c r="X45" s="1814"/>
      <c r="Y45" s="3221"/>
      <c r="Z45" s="1815">
        <f t="shared" si="15"/>
        <v>111</v>
      </c>
      <c r="AA45" s="1812">
        <f t="shared" si="3"/>
        <v>1</v>
      </c>
      <c r="AB45" s="1812">
        <f t="shared" si="4"/>
        <v>1</v>
      </c>
      <c r="AC45" s="1812">
        <f t="shared" si="5"/>
        <v>1</v>
      </c>
    </row>
    <row r="46" spans="1:29" ht="15.75" thickBot="1">
      <c r="A46" s="476"/>
      <c r="B46" s="260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20"/>
      <c r="Q46" s="1811">
        <f t="shared" si="11"/>
        <v>111</v>
      </c>
      <c r="R46" s="772" t="s">
        <v>17</v>
      </c>
      <c r="S46" s="773">
        <f t="shared" si="12"/>
        <v>100</v>
      </c>
      <c r="T46" s="772" t="s">
        <v>17</v>
      </c>
      <c r="U46" s="773">
        <f t="shared" si="13"/>
        <v>100</v>
      </c>
      <c r="V46" s="772" t="s">
        <v>17</v>
      </c>
      <c r="W46" s="773">
        <f t="shared" si="14"/>
        <v>100</v>
      </c>
      <c r="X46" s="1814"/>
      <c r="Y46" s="3222"/>
      <c r="Z46" s="1815">
        <f t="shared" si="15"/>
        <v>111</v>
      </c>
      <c r="AA46" s="1812">
        <f t="shared" si="3"/>
        <v>1</v>
      </c>
      <c r="AB46" s="1812">
        <f t="shared" si="4"/>
        <v>1</v>
      </c>
      <c r="AC46" s="1812">
        <f t="shared" si="5"/>
        <v>1</v>
      </c>
    </row>
    <row r="47" spans="1:29" ht="15">
      <c r="A47" s="477" t="s">
        <v>2582</v>
      </c>
      <c r="B47" s="478"/>
      <c r="C47" s="1408" t="s">
        <v>1</v>
      </c>
      <c r="D47" s="1409"/>
      <c r="E47" s="1410"/>
      <c r="F47" s="1411"/>
      <c r="G47" s="1412"/>
      <c r="H47" s="1413"/>
      <c r="I47" s="1410"/>
      <c r="J47" s="1413"/>
      <c r="K47" s="781"/>
      <c r="L47" s="1144"/>
      <c r="M47" s="1145"/>
      <c r="N47" s="1132"/>
      <c r="O47" s="1145"/>
      <c r="P47" s="3214" t="str">
        <f>A47</f>
        <v>成交单价（元/平方米）</v>
      </c>
      <c r="Q47" s="3214"/>
      <c r="R47" s="3245">
        <f>E47</f>
        <v>0</v>
      </c>
      <c r="S47" s="3245"/>
      <c r="T47" s="3245">
        <f>G47</f>
        <v>0</v>
      </c>
      <c r="U47" s="3245"/>
      <c r="V47" s="3245">
        <f>I47</f>
        <v>0</v>
      </c>
      <c r="W47" s="3245"/>
      <c r="X47" s="757"/>
      <c r="Y47" s="779"/>
      <c r="Z47" s="757"/>
      <c r="AA47" s="757"/>
      <c r="AB47" s="757"/>
      <c r="AC47" s="757"/>
    </row>
    <row r="48" spans="1:29" ht="15.75" thickBot="1">
      <c r="A48" s="484" t="s">
        <v>2674</v>
      </c>
      <c r="B48" s="485"/>
      <c r="C48" s="1414" t="e">
        <f>R49</f>
        <v>#DIV/0!</v>
      </c>
      <c r="D48" s="1415"/>
      <c r="E48" s="1416" t="e">
        <f>R48</f>
        <v>#DIV/0!</v>
      </c>
      <c r="F48" s="1416"/>
      <c r="G48" s="1414" t="e">
        <f>T48</f>
        <v>#DIV/0!</v>
      </c>
      <c r="H48" s="1415"/>
      <c r="I48" s="1416" t="e">
        <f>V48</f>
        <v>#DIV/0!</v>
      </c>
      <c r="J48" s="1415"/>
      <c r="K48" s="782"/>
      <c r="L48" s="1144"/>
      <c r="M48" s="1145"/>
      <c r="N48" s="1132"/>
      <c r="O48" s="1145"/>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0" t="s">
        <v>2675</v>
      </c>
      <c r="B49" s="491"/>
      <c r="C49" s="1418" t="e">
        <f>R49</f>
        <v>#DIV/0!</v>
      </c>
      <c r="D49" s="1418"/>
      <c r="E49" s="1418"/>
      <c r="F49" s="1418"/>
      <c r="G49" s="1418"/>
      <c r="H49" s="1418"/>
      <c r="I49" s="1418"/>
      <c r="J49" s="1418"/>
      <c r="K49" s="783"/>
      <c r="L49" s="1144"/>
      <c r="M49" s="1145"/>
      <c r="N49" s="1132"/>
      <c r="O49" s="1145"/>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2553</v>
      </c>
      <c r="B58" s="504"/>
      <c r="C58" s="1575" t="str">
        <f>YEAR(C7)&amp;"-"&amp;MONTH(C7)</f>
        <v>2018-10</v>
      </c>
      <c r="D58" s="1576">
        <f>EDATE(C58,-1)</f>
        <v>43344</v>
      </c>
      <c r="E58" s="1576">
        <f t="shared" ref="E58:N58" si="16">EDATE(D58,-1)</f>
        <v>43313</v>
      </c>
      <c r="F58" s="1576">
        <f t="shared" si="16"/>
        <v>43282</v>
      </c>
      <c r="G58" s="1576">
        <f t="shared" si="16"/>
        <v>43252</v>
      </c>
      <c r="H58" s="1576">
        <f t="shared" si="16"/>
        <v>43221</v>
      </c>
      <c r="I58" s="1576">
        <f t="shared" si="16"/>
        <v>43191</v>
      </c>
      <c r="J58" s="1576">
        <f t="shared" si="16"/>
        <v>43160</v>
      </c>
      <c r="K58" s="1576">
        <f t="shared" si="16"/>
        <v>43132</v>
      </c>
      <c r="L58" s="1576">
        <f t="shared" si="16"/>
        <v>43101</v>
      </c>
      <c r="M58" s="1576">
        <f t="shared" si="16"/>
        <v>43070</v>
      </c>
      <c r="N58" s="1576">
        <f t="shared" si="16"/>
        <v>43040</v>
      </c>
      <c r="O58" s="1576">
        <f>EDATE(N58,-1)</f>
        <v>43009</v>
      </c>
      <c r="P58" s="1571"/>
    </row>
    <row r="59" spans="1:29" s="115" customFormat="1" ht="15">
      <c r="A59" s="507"/>
      <c r="B59" s="508"/>
      <c r="C59" s="1574">
        <v>100</v>
      </c>
      <c r="D59" s="510"/>
      <c r="E59" s="510"/>
      <c r="F59" s="510"/>
      <c r="G59" s="510"/>
      <c r="H59" s="510"/>
      <c r="I59" s="510"/>
      <c r="J59" s="510"/>
      <c r="K59" s="510"/>
      <c r="L59" s="510"/>
      <c r="M59" s="511"/>
      <c r="N59" s="510"/>
      <c r="O59" s="511"/>
      <c r="P59" s="2631"/>
    </row>
    <row r="60" spans="1:29" s="115" customFormat="1" ht="15.75" thickBot="1">
      <c r="A60" s="513" t="s">
        <v>2590</v>
      </c>
      <c r="B60" s="514"/>
      <c r="C60" s="515"/>
      <c r="D60" s="516"/>
      <c r="E60" s="516"/>
      <c r="F60" s="516"/>
      <c r="G60" s="516"/>
      <c r="H60" s="516"/>
      <c r="I60" s="516"/>
      <c r="J60" s="516"/>
      <c r="K60" s="516"/>
      <c r="L60" s="516"/>
      <c r="M60" s="517"/>
      <c r="N60" s="516"/>
      <c r="O60" s="517"/>
      <c r="P60" s="2631"/>
      <c r="Q60" s="502"/>
    </row>
    <row r="61" spans="1:29" s="115" customFormat="1" ht="15">
      <c r="A61" s="519" t="s">
        <v>2555</v>
      </c>
      <c r="B61" s="508"/>
      <c r="C61" s="520" t="s">
        <v>2657</v>
      </c>
      <c r="D61" s="521"/>
      <c r="E61" s="521"/>
      <c r="F61" s="521"/>
      <c r="G61" s="521"/>
      <c r="H61" s="521"/>
      <c r="I61" s="521"/>
      <c r="J61" s="521"/>
      <c r="K61" s="521"/>
      <c r="L61" s="522"/>
      <c r="M61" s="523"/>
      <c r="N61" s="1152"/>
      <c r="O61" s="1152"/>
      <c r="P61" s="2632"/>
      <c r="Q61" s="502"/>
    </row>
    <row r="62" spans="1:29" s="115"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2593</v>
      </c>
      <c r="B63" s="526" t="s">
        <v>2559</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2660</v>
      </c>
      <c r="C82" s="658" t="s">
        <v>2680</v>
      </c>
      <c r="D82" s="658" t="s">
        <v>2681</v>
      </c>
      <c r="E82" s="658" t="s">
        <v>2682</v>
      </c>
      <c r="F82" s="658" t="s">
        <v>2683</v>
      </c>
      <c r="G82" s="658" t="s">
        <v>2684</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3"/>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5" customFormat="1" ht="15.75" thickTop="1">
      <c r="A86" s="577"/>
      <c r="B86" s="536" t="s">
        <v>2685</v>
      </c>
      <c r="C86" s="552"/>
      <c r="D86" s="552"/>
      <c r="E86" s="552"/>
      <c r="F86" s="552"/>
      <c r="G86" s="552"/>
      <c r="H86" s="552"/>
      <c r="I86" s="552"/>
      <c r="J86" s="552"/>
      <c r="K86" s="552"/>
      <c r="L86" s="578"/>
      <c r="M86" s="579"/>
      <c r="N86" s="1152"/>
      <c r="O86" s="1152"/>
      <c r="P86" s="2633"/>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5"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5"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2568</v>
      </c>
      <c r="B100" s="526" t="s">
        <v>2686</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2619</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2621</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2623</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2687</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2688</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2689</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2690</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2625</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672" t="s">
        <v>2691</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IF(C2="——",ROUND(C50*D3/10000,0),ROUND(C50*D3/10000,0)-D2)</f>
        <v>#DIV/0!</v>
      </c>
      <c r="C2" s="2589"/>
      <c r="D2" s="1366"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 ca="1">IF(C2="——",C50,ROUND(B2*10000/D3,0))</f>
        <v>#DIV/0!</v>
      </c>
      <c r="C3" s="398" t="s">
        <v>2649</v>
      </c>
      <c r="D3" s="397">
        <f>IF(D1="",'数据-汇总表'!E3,SUMIF('数据-汇总表'!$C19:$C33,D1,'数据-汇总表'!$E19:$E33))</f>
        <v>4983.7199999999993</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63" t="s">
        <v>2656</v>
      </c>
      <c r="Q4" s="3264"/>
      <c r="R4" s="3267" t="s">
        <v>2652</v>
      </c>
      <c r="S4" s="3268"/>
      <c r="T4" s="3267" t="s">
        <v>2653</v>
      </c>
      <c r="U4" s="3268"/>
      <c r="V4" s="3269" t="s">
        <v>2654</v>
      </c>
      <c r="W4" s="3269"/>
      <c r="X4" s="2673"/>
      <c r="Y4" s="3267" t="s">
        <v>2656</v>
      </c>
      <c r="Z4" s="3268"/>
      <c r="AA4" s="3271" t="s">
        <v>2652</v>
      </c>
      <c r="AB4" s="3271" t="s">
        <v>2653</v>
      </c>
      <c r="AC4" s="3260" t="s">
        <v>2654</v>
      </c>
    </row>
    <row r="5" spans="1:29" ht="15">
      <c r="A5" s="402"/>
      <c r="B5" s="403"/>
      <c r="C5" s="3248" t="s">
        <v>2547</v>
      </c>
      <c r="D5" s="3249"/>
      <c r="E5" s="3255" t="s">
        <v>2548</v>
      </c>
      <c r="F5" s="3256"/>
      <c r="G5" s="3248" t="s">
        <v>2549</v>
      </c>
      <c r="H5" s="3249"/>
      <c r="I5" s="3248" t="s">
        <v>2550</v>
      </c>
      <c r="J5" s="3249"/>
      <c r="K5" s="608"/>
      <c r="L5" s="1131"/>
      <c r="M5" s="1132"/>
      <c r="N5" s="1132"/>
      <c r="O5" s="1132"/>
      <c r="P5" s="3265"/>
      <c r="Q5" s="3236"/>
      <c r="R5" s="3241"/>
      <c r="S5" s="3242"/>
      <c r="T5" s="3241"/>
      <c r="U5" s="3242"/>
      <c r="V5" s="3245"/>
      <c r="W5" s="3245"/>
      <c r="X5" s="1814"/>
      <c r="Y5" s="3241"/>
      <c r="Z5" s="3242"/>
      <c r="AA5" s="3227"/>
      <c r="AB5" s="3227"/>
      <c r="AC5" s="3261"/>
    </row>
    <row r="6" spans="1:29" ht="15.75" thickBot="1">
      <c r="A6" s="404"/>
      <c r="B6" s="405"/>
      <c r="C6" s="3246" t="s">
        <v>2551</v>
      </c>
      <c r="D6" s="3247"/>
      <c r="E6" s="3253" t="s">
        <v>2551</v>
      </c>
      <c r="F6" s="3254"/>
      <c r="G6" s="3246" t="s">
        <v>2551</v>
      </c>
      <c r="H6" s="3247"/>
      <c r="I6" s="3246" t="s">
        <v>2551</v>
      </c>
      <c r="J6" s="3247"/>
      <c r="K6" s="608" t="s">
        <v>2552</v>
      </c>
      <c r="L6" s="1131"/>
      <c r="M6" s="1132"/>
      <c r="N6" s="1132"/>
      <c r="O6" s="1132"/>
      <c r="P6" s="3266"/>
      <c r="Q6" s="3238"/>
      <c r="R6" s="3241"/>
      <c r="S6" s="3242"/>
      <c r="T6" s="3243"/>
      <c r="U6" s="3244"/>
      <c r="V6" s="3245"/>
      <c r="W6" s="3245"/>
      <c r="X6" s="1814"/>
      <c r="Y6" s="3243"/>
      <c r="Z6" s="3244"/>
      <c r="AA6" s="3228"/>
      <c r="AB6" s="3228"/>
      <c r="AC6" s="3262"/>
    </row>
    <row r="7" spans="1:29" s="115" customFormat="1" ht="15.75" thickBot="1">
      <c r="A7" s="406" t="s">
        <v>2553</v>
      </c>
      <c r="B7" s="407"/>
      <c r="C7" s="408">
        <f>'数据-取费表'!B2</f>
        <v>43398</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70" t="s">
        <v>2554</v>
      </c>
      <c r="Q7" s="3252"/>
      <c r="R7" s="768" t="s">
        <v>17</v>
      </c>
      <c r="S7" s="769">
        <f t="shared" ref="S7:S15" si="0">F7</f>
        <v>0</v>
      </c>
      <c r="T7" s="768" t="s">
        <v>17</v>
      </c>
      <c r="U7" s="769">
        <f t="shared" ref="U7:U15" si="1">H7</f>
        <v>0</v>
      </c>
      <c r="V7" s="768" t="s">
        <v>17</v>
      </c>
      <c r="W7" s="769">
        <f t="shared" ref="W7:W15" si="2">J7</f>
        <v>0</v>
      </c>
      <c r="X7" s="770"/>
      <c r="Y7" s="3250" t="s">
        <v>2554</v>
      </c>
      <c r="Z7" s="3251"/>
      <c r="AA7" s="771" t="e">
        <f>D7/F7</f>
        <v>#DIV/0!</v>
      </c>
      <c r="AB7" s="771" t="e">
        <f>D7/H7</f>
        <v>#DIV/0!</v>
      </c>
      <c r="AC7" s="2674" t="e">
        <f>D7/J7</f>
        <v>#DIV/0!</v>
      </c>
    </row>
    <row r="8" spans="1:29" s="115"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70" t="s">
        <v>2557</v>
      </c>
      <c r="Q8" s="3251"/>
      <c r="R8" s="768" t="s">
        <v>17</v>
      </c>
      <c r="S8" s="769">
        <f t="shared" si="0"/>
        <v>0</v>
      </c>
      <c r="T8" s="768" t="s">
        <v>17</v>
      </c>
      <c r="U8" s="769">
        <f t="shared" si="1"/>
        <v>0</v>
      </c>
      <c r="V8" s="768" t="s">
        <v>17</v>
      </c>
      <c r="W8" s="769">
        <f t="shared" si="2"/>
        <v>0</v>
      </c>
      <c r="X8" s="770"/>
      <c r="Y8" s="3250" t="s">
        <v>2557</v>
      </c>
      <c r="Z8" s="3251"/>
      <c r="AA8" s="771" t="e">
        <f t="shared" ref="AA8:AA47" si="3">D8/F8</f>
        <v>#DIV/0!</v>
      </c>
      <c r="AB8" s="771" t="e">
        <f t="shared" ref="AB8:AB47" si="4">D8/H8</f>
        <v>#DIV/0!</v>
      </c>
      <c r="AC8" s="2674" t="e">
        <f t="shared" ref="AC8:AC47" si="5">D8/J8</f>
        <v>#DIV/0!</v>
      </c>
    </row>
    <row r="9" spans="1:29" s="115" customFormat="1">
      <c r="A9" s="413" t="s">
        <v>2558</v>
      </c>
      <c r="B9" s="69" t="s">
        <v>2559</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25"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2674">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25"/>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2674">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25"/>
      <c r="Q11" s="1796"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2674" t="e">
        <f t="shared" si="5"/>
        <v>#N/A</v>
      </c>
    </row>
    <row r="12" spans="1:29" s="115" customFormat="1" ht="15">
      <c r="A12" s="429"/>
      <c r="B12" s="2603">
        <v>111</v>
      </c>
      <c r="C12" s="430"/>
      <c r="D12" s="431">
        <v>100</v>
      </c>
      <c r="E12" s="430"/>
      <c r="F12" s="134">
        <f>SUMIF(71:71,E12,72:72)-SUMIF(71:71,C12,72:72)+100</f>
        <v>100</v>
      </c>
      <c r="G12" s="2675"/>
      <c r="H12" s="134">
        <f>SUMIF(71:71,G12,72:72)-SUMIF(71:71,C12,72:72)+100</f>
        <v>100</v>
      </c>
      <c r="I12" s="430"/>
      <c r="J12" s="134">
        <f>SUMIF(71:71,I12,72:72)-SUMIF(71:71,C12,72:72)+100</f>
        <v>100</v>
      </c>
      <c r="K12" s="611"/>
      <c r="L12" s="1133"/>
      <c r="M12" s="1134"/>
      <c r="N12" s="1134"/>
      <c r="O12" s="1134"/>
      <c r="P12" s="3225"/>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2674">
        <f>D12/J12</f>
        <v>1</v>
      </c>
    </row>
    <row r="13" spans="1:29" ht="15">
      <c r="A13" s="426"/>
      <c r="B13" s="2603">
        <v>111</v>
      </c>
      <c r="C13" s="432"/>
      <c r="D13" s="433">
        <v>100</v>
      </c>
      <c r="E13" s="430"/>
      <c r="F13" s="134">
        <f>SUMIF(73:73,E13,74:74)-SUMIF(73:73,C13,74:74)+100</f>
        <v>100</v>
      </c>
      <c r="G13" s="2675"/>
      <c r="H13" s="433">
        <f>SUMIF(73:73,G13,74:74)-SUMIF(73:73,C13,74:74)+100</f>
        <v>100</v>
      </c>
      <c r="I13" s="430"/>
      <c r="J13" s="433">
        <f>SUMIF(73:73,I13,74:74)-SUMIF(73:73,C13,74:74)+100</f>
        <v>100</v>
      </c>
      <c r="K13" s="611"/>
      <c r="L13" s="1141"/>
      <c r="M13" s="1132"/>
      <c r="N13" s="1132"/>
      <c r="O13" s="1132"/>
      <c r="P13" s="3225"/>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1"/>
      <c r="M14" s="1132"/>
      <c r="N14" s="1132"/>
      <c r="O14" s="1132"/>
      <c r="P14" s="3225"/>
      <c r="Q14" s="1796">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2674">
        <f t="shared" si="5"/>
        <v>1</v>
      </c>
    </row>
    <row r="15" spans="1:29" ht="71.25">
      <c r="A15" s="438" t="s">
        <v>2564</v>
      </c>
      <c r="B15" s="627" t="s">
        <v>2692</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23" t="s">
        <v>2565</v>
      </c>
      <c r="Q15" s="1811" t="str">
        <f t="shared" si="6"/>
        <v>办公集聚程度</v>
      </c>
      <c r="R15" s="772" t="s">
        <v>17</v>
      </c>
      <c r="S15" s="773">
        <f t="shared" si="0"/>
        <v>100</v>
      </c>
      <c r="T15" s="772" t="s">
        <v>17</v>
      </c>
      <c r="U15" s="773">
        <f t="shared" si="1"/>
        <v>100</v>
      </c>
      <c r="V15" s="772" t="s">
        <v>17</v>
      </c>
      <c r="W15" s="773">
        <f t="shared" si="2"/>
        <v>100</v>
      </c>
      <c r="X15" s="1814"/>
      <c r="Y15" s="3216" t="s">
        <v>2565</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1"/>
      <c r="M16" s="1132"/>
      <c r="N16" s="1132"/>
      <c r="O16" s="1132"/>
      <c r="P16" s="3224"/>
      <c r="Q16" s="1811"/>
      <c r="R16" s="772"/>
      <c r="S16" s="773"/>
      <c r="T16" s="772"/>
      <c r="U16" s="773"/>
      <c r="V16" s="772"/>
      <c r="W16" s="773"/>
      <c r="X16" s="1814"/>
      <c r="Y16" s="3217"/>
      <c r="Z16" s="1815"/>
      <c r="AA16" s="1812">
        <v>1</v>
      </c>
      <c r="AB16" s="1812">
        <v>1</v>
      </c>
      <c r="AC16" s="2677">
        <v>1</v>
      </c>
    </row>
    <row r="17" spans="1:29" ht="71.25">
      <c r="A17" s="426"/>
      <c r="B17" s="629" t="s">
        <v>2101</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24"/>
      <c r="Q17" s="1811" t="str">
        <f>B17</f>
        <v>交通便捷度</v>
      </c>
      <c r="R17" s="772" t="s">
        <v>17</v>
      </c>
      <c r="S17" s="773">
        <f>F17</f>
        <v>100</v>
      </c>
      <c r="T17" s="772" t="s">
        <v>17</v>
      </c>
      <c r="U17" s="773">
        <f>H17</f>
        <v>100</v>
      </c>
      <c r="V17" s="772" t="s">
        <v>17</v>
      </c>
      <c r="W17" s="773">
        <f>J17</f>
        <v>100</v>
      </c>
      <c r="X17" s="1814"/>
      <c r="Y17" s="3217"/>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1"/>
      <c r="M18" s="1132"/>
      <c r="N18" s="1132"/>
      <c r="O18" s="1132"/>
      <c r="P18" s="3224"/>
      <c r="Q18" s="1811"/>
      <c r="R18" s="772"/>
      <c r="S18" s="773"/>
      <c r="T18" s="772"/>
      <c r="U18" s="773"/>
      <c r="V18" s="772"/>
      <c r="W18" s="773"/>
      <c r="X18" s="1814"/>
      <c r="Y18" s="3217"/>
      <c r="Z18" s="1815"/>
      <c r="AA18" s="1812">
        <v>1</v>
      </c>
      <c r="AB18" s="1812">
        <v>1</v>
      </c>
      <c r="AC18" s="2677">
        <v>1</v>
      </c>
    </row>
    <row r="19" spans="1:29" ht="42.75">
      <c r="A19" s="426"/>
      <c r="B19" s="629" t="s">
        <v>2693</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24"/>
      <c r="Q19" s="1811" t="str">
        <f>B19</f>
        <v>公共配套设施</v>
      </c>
      <c r="R19" s="772" t="s">
        <v>17</v>
      </c>
      <c r="S19" s="773">
        <f>F19</f>
        <v>100</v>
      </c>
      <c r="T19" s="772" t="s">
        <v>17</v>
      </c>
      <c r="U19" s="773">
        <f>H19</f>
        <v>100</v>
      </c>
      <c r="V19" s="772" t="s">
        <v>17</v>
      </c>
      <c r="W19" s="773">
        <f>J19</f>
        <v>100</v>
      </c>
      <c r="X19" s="1814"/>
      <c r="Y19" s="3217"/>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1"/>
      <c r="M20" s="1132"/>
      <c r="N20" s="1132"/>
      <c r="O20" s="1132"/>
      <c r="P20" s="3224"/>
      <c r="Q20" s="1811"/>
      <c r="R20" s="772"/>
      <c r="S20" s="773"/>
      <c r="T20" s="772"/>
      <c r="U20" s="773"/>
      <c r="V20" s="772"/>
      <c r="W20" s="773"/>
      <c r="X20" s="1814"/>
      <c r="Y20" s="3217"/>
      <c r="Z20" s="1815"/>
      <c r="AA20" s="1812">
        <v>1</v>
      </c>
      <c r="AB20" s="1812">
        <v>1</v>
      </c>
      <c r="AC20" s="2677">
        <v>1</v>
      </c>
    </row>
    <row r="21" spans="1:29" ht="28.5">
      <c r="A21" s="426"/>
      <c r="B21" s="631" t="s">
        <v>2694</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24"/>
      <c r="Q21" s="1811" t="str">
        <f>B21</f>
        <v>基础设施水平</v>
      </c>
      <c r="R21" s="772" t="s">
        <v>17</v>
      </c>
      <c r="S21" s="773">
        <f>F21</f>
        <v>100</v>
      </c>
      <c r="T21" s="772" t="s">
        <v>17</v>
      </c>
      <c r="U21" s="773">
        <f>H21</f>
        <v>100</v>
      </c>
      <c r="V21" s="772" t="s">
        <v>17</v>
      </c>
      <c r="W21" s="773">
        <f>J21</f>
        <v>100</v>
      </c>
      <c r="X21" s="1814"/>
      <c r="Y21" s="3217"/>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4"/>
      <c r="L22" s="1141"/>
      <c r="M22" s="1132"/>
      <c r="N22" s="1132"/>
      <c r="O22" s="1132"/>
      <c r="P22" s="3224"/>
      <c r="Q22" s="1811"/>
      <c r="R22" s="772"/>
      <c r="S22" s="773"/>
      <c r="T22" s="772"/>
      <c r="U22" s="773"/>
      <c r="V22" s="772"/>
      <c r="W22" s="773"/>
      <c r="X22" s="1814"/>
      <c r="Y22" s="3217"/>
      <c r="Z22" s="1815"/>
      <c r="AA22" s="1812">
        <v>1</v>
      </c>
      <c r="AB22" s="1812">
        <v>1</v>
      </c>
      <c r="AC22" s="2677">
        <v>1</v>
      </c>
    </row>
    <row r="23" spans="1:29" ht="42.75">
      <c r="A23" s="426"/>
      <c r="B23" s="629" t="s">
        <v>2695</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24"/>
      <c r="Q23" s="1811" t="str">
        <f>B23</f>
        <v>环境质量</v>
      </c>
      <c r="R23" s="772" t="s">
        <v>17</v>
      </c>
      <c r="S23" s="773">
        <f>F23</f>
        <v>100</v>
      </c>
      <c r="T23" s="772" t="s">
        <v>17</v>
      </c>
      <c r="U23" s="773">
        <f>H23</f>
        <v>100</v>
      </c>
      <c r="V23" s="772" t="s">
        <v>17</v>
      </c>
      <c r="W23" s="773">
        <f>J23</f>
        <v>100</v>
      </c>
      <c r="X23" s="1814"/>
      <c r="Y23" s="3217"/>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1"/>
      <c r="M24" s="1132"/>
      <c r="N24" s="1132"/>
      <c r="O24" s="1132"/>
      <c r="P24" s="3224"/>
      <c r="Q24" s="1811"/>
      <c r="R24" s="772"/>
      <c r="S24" s="773"/>
      <c r="T24" s="772"/>
      <c r="U24" s="773"/>
      <c r="V24" s="772"/>
      <c r="W24" s="773"/>
      <c r="X24" s="1814"/>
      <c r="Y24" s="3217"/>
      <c r="Z24" s="1815"/>
      <c r="AA24" s="1812">
        <v>1</v>
      </c>
      <c r="AB24" s="1812">
        <v>1</v>
      </c>
      <c r="AC24" s="2677">
        <v>1</v>
      </c>
    </row>
    <row r="25" spans="1:29" ht="27">
      <c r="A25" s="402"/>
      <c r="B25" s="629" t="s">
        <v>2696</v>
      </c>
      <c r="C25" s="2618"/>
      <c r="D25" s="433">
        <v>100</v>
      </c>
      <c r="E25" s="432"/>
      <c r="F25" s="433">
        <f>SUMIF(87:87,E26,88:88)-SUMIF(87:87,C26,88:88)+100</f>
        <v>100</v>
      </c>
      <c r="G25" s="2618"/>
      <c r="H25" s="433">
        <f>SUMIF(87:87,G26,88:88)-SUMIF(87:87,C26,88:88)+100</f>
        <v>100</v>
      </c>
      <c r="I25" s="432"/>
      <c r="J25" s="433">
        <f>SUMIF(87:87,I26,88:88)-SUMIF(87:87,C26,88:88)+100</f>
        <v>100</v>
      </c>
      <c r="K25" s="612"/>
      <c r="L25" s="1141"/>
      <c r="M25" s="1132"/>
      <c r="N25" s="1132"/>
      <c r="O25" s="1132"/>
      <c r="P25" s="3224"/>
      <c r="Q25" s="1811" t="str">
        <f>B25</f>
        <v>毗邻道路的类型与等级</v>
      </c>
      <c r="R25" s="772" t="s">
        <v>17</v>
      </c>
      <c r="S25" s="773">
        <f>F25</f>
        <v>100</v>
      </c>
      <c r="T25" s="772" t="s">
        <v>17</v>
      </c>
      <c r="U25" s="773">
        <f>H25</f>
        <v>100</v>
      </c>
      <c r="V25" s="772" t="s">
        <v>17</v>
      </c>
      <c r="W25" s="773">
        <f>J25</f>
        <v>100</v>
      </c>
      <c r="X25" s="1814"/>
      <c r="Y25" s="3217"/>
      <c r="Z25" s="1815" t="str">
        <f>Q25</f>
        <v>毗邻道路的类型与等级</v>
      </c>
      <c r="AA25" s="1812">
        <f t="shared" si="3"/>
        <v>1</v>
      </c>
      <c r="AB25" s="1812">
        <f t="shared" si="4"/>
        <v>1</v>
      </c>
      <c r="AC25" s="2677">
        <f t="shared" si="5"/>
        <v>1</v>
      </c>
    </row>
    <row r="26" spans="1:29" ht="15">
      <c r="A26" s="402"/>
      <c r="B26" s="630"/>
      <c r="C26" s="632"/>
      <c r="D26" s="433"/>
      <c r="E26" s="614"/>
      <c r="F26" s="433"/>
      <c r="G26" s="632"/>
      <c r="H26" s="433"/>
      <c r="I26" s="614"/>
      <c r="J26" s="433"/>
      <c r="K26" s="613"/>
      <c r="L26" s="1141"/>
      <c r="M26" s="1132"/>
      <c r="N26" s="1132"/>
      <c r="O26" s="1132"/>
      <c r="P26" s="3224"/>
      <c r="Q26" s="1811"/>
      <c r="R26" s="772"/>
      <c r="S26" s="773"/>
      <c r="T26" s="772"/>
      <c r="U26" s="773"/>
      <c r="V26" s="772"/>
      <c r="W26" s="773"/>
      <c r="X26" s="1814"/>
      <c r="Y26" s="3217"/>
      <c r="Z26" s="1815"/>
      <c r="AA26" s="1812">
        <v>1</v>
      </c>
      <c r="AB26" s="1812">
        <v>1</v>
      </c>
      <c r="AC26" s="2677">
        <v>1</v>
      </c>
    </row>
    <row r="27" spans="1:29" ht="15">
      <c r="A27" s="426"/>
      <c r="B27" s="630" t="s">
        <v>2664</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24"/>
      <c r="Q27" s="1811" t="str">
        <f t="shared" ref="Q27:Q47" si="11">B27</f>
        <v>楼层</v>
      </c>
      <c r="R27" s="772" t="s">
        <v>17</v>
      </c>
      <c r="S27" s="773">
        <f>F27</f>
        <v>100</v>
      </c>
      <c r="T27" s="772" t="s">
        <v>17</v>
      </c>
      <c r="U27" s="773">
        <f>H27</f>
        <v>100</v>
      </c>
      <c r="V27" s="772" t="s">
        <v>17</v>
      </c>
      <c r="W27" s="773">
        <f>J27</f>
        <v>100</v>
      </c>
      <c r="X27" s="1814"/>
      <c r="Y27" s="3217"/>
      <c r="Z27" s="1815" t="str">
        <f>Q27</f>
        <v>楼层</v>
      </c>
      <c r="AA27" s="1812">
        <f t="shared" si="3"/>
        <v>1</v>
      </c>
      <c r="AB27" s="1812">
        <f t="shared" si="4"/>
        <v>1</v>
      </c>
      <c r="AC27" s="2677">
        <f t="shared" si="5"/>
        <v>1</v>
      </c>
    </row>
    <row r="28" spans="1:29" s="115" customFormat="1" ht="15">
      <c r="A28" s="429"/>
      <c r="B28" s="629" t="s">
        <v>2697</v>
      </c>
      <c r="C28" s="2680"/>
      <c r="D28" s="460">
        <v>100</v>
      </c>
      <c r="E28" s="2668"/>
      <c r="F28" s="460">
        <f>SUMIF(91:91,E28,92:92)-SUMIF(91:91,C28,92:92)+100</f>
        <v>100</v>
      </c>
      <c r="G28" s="2680"/>
      <c r="H28" s="460">
        <f>SUMIF(91:91,G28,92:92)-SUMIF(91:91,C28,92:92)+100</f>
        <v>100</v>
      </c>
      <c r="I28" s="2668"/>
      <c r="J28" s="460">
        <f>SUMIF(91:91,I28,92:92)-SUMIF(91:91,C28,92:92)+100</f>
        <v>100</v>
      </c>
      <c r="K28" s="610"/>
      <c r="L28" s="1133"/>
      <c r="M28" s="1134"/>
      <c r="N28" s="1134"/>
      <c r="O28" s="1134"/>
      <c r="P28" s="3224"/>
      <c r="Q28" s="1796" t="str">
        <f t="shared" si="11"/>
        <v>朝向</v>
      </c>
      <c r="R28" s="768" t="s">
        <v>17</v>
      </c>
      <c r="S28" s="769">
        <f>F28</f>
        <v>100</v>
      </c>
      <c r="T28" s="768" t="s">
        <v>17</v>
      </c>
      <c r="U28" s="769">
        <f>H28</f>
        <v>100</v>
      </c>
      <c r="V28" s="768" t="s">
        <v>17</v>
      </c>
      <c r="W28" s="769">
        <f>J28</f>
        <v>100</v>
      </c>
      <c r="X28" s="770"/>
      <c r="Y28" s="3217"/>
      <c r="Z28" s="55"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1"/>
      <c r="M29" s="1132"/>
      <c r="N29" s="1132"/>
      <c r="O29" s="1132"/>
      <c r="P29" s="3224"/>
      <c r="Q29" s="1811">
        <f t="shared" si="11"/>
        <v>111</v>
      </c>
      <c r="R29" s="772" t="s">
        <v>17</v>
      </c>
      <c r="S29" s="773">
        <f t="shared" ref="S29:S47" si="12">F29</f>
        <v>100</v>
      </c>
      <c r="T29" s="772" t="s">
        <v>17</v>
      </c>
      <c r="U29" s="773">
        <f t="shared" ref="U29:U47" si="13">H29</f>
        <v>100</v>
      </c>
      <c r="V29" s="772" t="s">
        <v>17</v>
      </c>
      <c r="W29" s="773">
        <f t="shared" ref="W29:W47" si="14">J29</f>
        <v>100</v>
      </c>
      <c r="X29" s="1814"/>
      <c r="Y29" s="3217"/>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1"/>
      <c r="M30" s="1132"/>
      <c r="N30" s="1132"/>
      <c r="O30" s="1132"/>
      <c r="P30" s="3224"/>
      <c r="Q30" s="1811">
        <f t="shared" si="11"/>
        <v>111</v>
      </c>
      <c r="R30" s="772" t="s">
        <v>17</v>
      </c>
      <c r="S30" s="773">
        <f t="shared" si="12"/>
        <v>100</v>
      </c>
      <c r="T30" s="772" t="s">
        <v>17</v>
      </c>
      <c r="U30" s="773">
        <f t="shared" si="13"/>
        <v>100</v>
      </c>
      <c r="V30" s="772" t="s">
        <v>17</v>
      </c>
      <c r="W30" s="773">
        <f t="shared" si="14"/>
        <v>100</v>
      </c>
      <c r="X30" s="1814"/>
      <c r="Y30" s="3217"/>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1"/>
      <c r="M31" s="1132"/>
      <c r="N31" s="1132"/>
      <c r="O31" s="1132"/>
      <c r="P31" s="3224"/>
      <c r="Q31" s="1811">
        <f t="shared" si="11"/>
        <v>111</v>
      </c>
      <c r="R31" s="772" t="s">
        <v>17</v>
      </c>
      <c r="S31" s="773">
        <f t="shared" si="12"/>
        <v>100</v>
      </c>
      <c r="T31" s="772" t="s">
        <v>17</v>
      </c>
      <c r="U31" s="773">
        <f t="shared" si="13"/>
        <v>100</v>
      </c>
      <c r="V31" s="772" t="s">
        <v>17</v>
      </c>
      <c r="W31" s="773">
        <f t="shared" si="14"/>
        <v>100</v>
      </c>
      <c r="X31" s="1814"/>
      <c r="Y31" s="3217"/>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1"/>
      <c r="M32" s="1132"/>
      <c r="N32" s="1132"/>
      <c r="O32" s="1132"/>
      <c r="P32" s="3224"/>
      <c r="Q32" s="1811">
        <f t="shared" si="11"/>
        <v>111</v>
      </c>
      <c r="R32" s="772" t="s">
        <v>17</v>
      </c>
      <c r="S32" s="773">
        <f t="shared" si="12"/>
        <v>100</v>
      </c>
      <c r="T32" s="772" t="s">
        <v>17</v>
      </c>
      <c r="U32" s="773">
        <f t="shared" si="13"/>
        <v>100</v>
      </c>
      <c r="V32" s="772" t="s">
        <v>17</v>
      </c>
      <c r="W32" s="773">
        <f t="shared" si="14"/>
        <v>100</v>
      </c>
      <c r="X32" s="1814"/>
      <c r="Y32" s="3217"/>
      <c r="Z32" s="1815">
        <f t="shared" si="15"/>
        <v>111</v>
      </c>
      <c r="AA32" s="1812">
        <f t="shared" si="3"/>
        <v>1</v>
      </c>
      <c r="AB32" s="1812">
        <f t="shared" si="4"/>
        <v>1</v>
      </c>
      <c r="AC32" s="2677">
        <f t="shared" si="5"/>
        <v>1</v>
      </c>
    </row>
    <row r="33" spans="1:29" ht="15">
      <c r="A33" s="438" t="s">
        <v>2568</v>
      </c>
      <c r="B33" s="69" t="s">
        <v>2698</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1"/>
      <c r="M33" s="1132"/>
      <c r="N33" s="1132"/>
      <c r="O33" s="1132"/>
      <c r="P33" s="3218" t="s">
        <v>2570</v>
      </c>
      <c r="Q33" s="1811" t="str">
        <f t="shared" si="11"/>
        <v>建筑类型</v>
      </c>
      <c r="R33" s="772" t="s">
        <v>17</v>
      </c>
      <c r="S33" s="773">
        <f t="shared" si="12"/>
        <v>100</v>
      </c>
      <c r="T33" s="772" t="s">
        <v>17</v>
      </c>
      <c r="U33" s="773">
        <f t="shared" si="13"/>
        <v>100</v>
      </c>
      <c r="V33" s="772" t="s">
        <v>17</v>
      </c>
      <c r="W33" s="773">
        <f t="shared" si="14"/>
        <v>100</v>
      </c>
      <c r="X33" s="1814"/>
      <c r="Y33" s="3221" t="s">
        <v>2570</v>
      </c>
      <c r="Z33" s="1815" t="str">
        <f t="shared" si="15"/>
        <v>建筑类型</v>
      </c>
      <c r="AA33" s="1812">
        <f t="shared" si="3"/>
        <v>1</v>
      </c>
      <c r="AB33" s="1812">
        <f t="shared" si="4"/>
        <v>1</v>
      </c>
      <c r="AC33" s="2677">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19"/>
      <c r="Q34" s="774" t="str">
        <f t="shared" si="11"/>
        <v>项目建筑规模</v>
      </c>
      <c r="R34" s="775" t="s">
        <v>17</v>
      </c>
      <c r="S34" s="776" t="e">
        <f t="shared" si="12"/>
        <v>#N/A</v>
      </c>
      <c r="T34" s="775" t="s">
        <v>17</v>
      </c>
      <c r="U34" s="776" t="e">
        <f t="shared" si="13"/>
        <v>#N/A</v>
      </c>
      <c r="V34" s="775" t="s">
        <v>17</v>
      </c>
      <c r="W34" s="776" t="e">
        <f t="shared" si="14"/>
        <v>#N/A</v>
      </c>
      <c r="X34" s="777"/>
      <c r="Y34" s="3221"/>
      <c r="Z34" s="778" t="str">
        <f t="shared" si="15"/>
        <v>项目建筑规模</v>
      </c>
      <c r="AA34" s="1812" t="e">
        <f t="shared" si="3"/>
        <v>#N/A</v>
      </c>
      <c r="AB34" s="1812" t="e">
        <f t="shared" si="4"/>
        <v>#N/A</v>
      </c>
      <c r="AC34" s="2677"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19"/>
      <c r="Q35" s="1811" t="str">
        <f t="shared" si="11"/>
        <v>建筑结构</v>
      </c>
      <c r="R35" s="772" t="s">
        <v>17</v>
      </c>
      <c r="S35" s="773">
        <f t="shared" si="12"/>
        <v>100</v>
      </c>
      <c r="T35" s="772" t="s">
        <v>17</v>
      </c>
      <c r="U35" s="773">
        <f t="shared" si="13"/>
        <v>100</v>
      </c>
      <c r="V35" s="772" t="s">
        <v>17</v>
      </c>
      <c r="W35" s="773">
        <f t="shared" si="14"/>
        <v>100</v>
      </c>
      <c r="X35" s="1814"/>
      <c r="Y35" s="3221"/>
      <c r="Z35" s="1815" t="str">
        <f t="shared" si="15"/>
        <v>建筑结构</v>
      </c>
      <c r="AA35" s="1812">
        <f t="shared" si="3"/>
        <v>1</v>
      </c>
      <c r="AB35" s="1812">
        <f t="shared" si="4"/>
        <v>1</v>
      </c>
      <c r="AC35" s="2677">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19"/>
      <c r="Q36" s="1811" t="str">
        <f t="shared" si="11"/>
        <v>公共部分装修</v>
      </c>
      <c r="R36" s="772" t="s">
        <v>17</v>
      </c>
      <c r="S36" s="773">
        <f t="shared" si="12"/>
        <v>100</v>
      </c>
      <c r="T36" s="772" t="s">
        <v>17</v>
      </c>
      <c r="U36" s="773">
        <f t="shared" si="13"/>
        <v>100</v>
      </c>
      <c r="V36" s="772" t="s">
        <v>17</v>
      </c>
      <c r="W36" s="773">
        <f t="shared" si="14"/>
        <v>100</v>
      </c>
      <c r="X36" s="1814"/>
      <c r="Y36" s="3221"/>
      <c r="Z36" s="1815" t="str">
        <f t="shared" si="15"/>
        <v>公共部分装修</v>
      </c>
      <c r="AA36" s="1812">
        <f t="shared" si="3"/>
        <v>1</v>
      </c>
      <c r="AB36" s="1812">
        <f t="shared" si="4"/>
        <v>1</v>
      </c>
      <c r="AC36" s="2677">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19"/>
      <c r="Q37" s="1811" t="str">
        <f t="shared" si="11"/>
        <v>成新度</v>
      </c>
      <c r="R37" s="772" t="s">
        <v>17</v>
      </c>
      <c r="S37" s="773" t="e">
        <f t="shared" si="12"/>
        <v>#N/A</v>
      </c>
      <c r="T37" s="772" t="s">
        <v>17</v>
      </c>
      <c r="U37" s="773" t="e">
        <f t="shared" si="13"/>
        <v>#N/A</v>
      </c>
      <c r="V37" s="772" t="s">
        <v>17</v>
      </c>
      <c r="W37" s="773" t="e">
        <f t="shared" si="14"/>
        <v>#N/A</v>
      </c>
      <c r="X37" s="1814"/>
      <c r="Y37" s="3221"/>
      <c r="Z37" s="1815" t="str">
        <f t="shared" si="15"/>
        <v>成新度</v>
      </c>
      <c r="AA37" s="1812" t="e">
        <f t="shared" si="3"/>
        <v>#N/A</v>
      </c>
      <c r="AB37" s="1812" t="e">
        <f t="shared" si="4"/>
        <v>#N/A</v>
      </c>
      <c r="AC37" s="2677" t="e">
        <f t="shared" si="5"/>
        <v>#N/A</v>
      </c>
    </row>
    <row r="38" spans="1:29" s="115"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19"/>
      <c r="Q38" s="1796" t="str">
        <f t="shared" si="11"/>
        <v>写字楼等级</v>
      </c>
      <c r="R38" s="768" t="s">
        <v>17</v>
      </c>
      <c r="S38" s="769">
        <f t="shared" si="12"/>
        <v>100</v>
      </c>
      <c r="T38" s="768" t="s">
        <v>17</v>
      </c>
      <c r="U38" s="769">
        <f t="shared" si="13"/>
        <v>100</v>
      </c>
      <c r="V38" s="768" t="s">
        <v>17</v>
      </c>
      <c r="W38" s="769">
        <f t="shared" si="14"/>
        <v>100</v>
      </c>
      <c r="X38" s="770"/>
      <c r="Y38" s="3221"/>
      <c r="Z38" s="55" t="str">
        <f t="shared" si="15"/>
        <v>写字楼等级</v>
      </c>
      <c r="AA38" s="771">
        <f t="shared" si="3"/>
        <v>1</v>
      </c>
      <c r="AB38" s="771">
        <f t="shared" si="4"/>
        <v>1</v>
      </c>
      <c r="AC38" s="2674">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19" t="s">
        <v>2570</v>
      </c>
      <c r="Q39" s="1811" t="str">
        <f t="shared" si="11"/>
        <v>物业管理</v>
      </c>
      <c r="R39" s="772" t="s">
        <v>17</v>
      </c>
      <c r="S39" s="773">
        <f t="shared" si="12"/>
        <v>100</v>
      </c>
      <c r="T39" s="772" t="s">
        <v>17</v>
      </c>
      <c r="U39" s="773">
        <f t="shared" si="13"/>
        <v>100</v>
      </c>
      <c r="V39" s="772" t="s">
        <v>17</v>
      </c>
      <c r="W39" s="773">
        <f t="shared" si="14"/>
        <v>100</v>
      </c>
      <c r="X39" s="1814"/>
      <c r="Y39" s="3221" t="s">
        <v>2570</v>
      </c>
      <c r="Z39" s="1815" t="str">
        <f t="shared" si="15"/>
        <v>物业管理</v>
      </c>
      <c r="AA39" s="1812">
        <f t="shared" si="3"/>
        <v>1</v>
      </c>
      <c r="AB39" s="1812">
        <f t="shared" si="4"/>
        <v>1</v>
      </c>
      <c r="AC39" s="2677">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19"/>
      <c r="Q40" s="1811" t="str">
        <f t="shared" si="11"/>
        <v>市政基础设施</v>
      </c>
      <c r="R40" s="772" t="s">
        <v>17</v>
      </c>
      <c r="S40" s="773">
        <f t="shared" si="12"/>
        <v>100</v>
      </c>
      <c r="T40" s="772" t="s">
        <v>17</v>
      </c>
      <c r="U40" s="773">
        <f t="shared" si="13"/>
        <v>100</v>
      </c>
      <c r="V40" s="772" t="s">
        <v>17</v>
      </c>
      <c r="W40" s="773">
        <f t="shared" si="14"/>
        <v>100</v>
      </c>
      <c r="X40" s="1814"/>
      <c r="Y40" s="3221"/>
      <c r="Z40" s="1815" t="str">
        <f t="shared" si="15"/>
        <v>市政基础设施</v>
      </c>
      <c r="AA40" s="1812">
        <f t="shared" si="3"/>
        <v>1</v>
      </c>
      <c r="AB40" s="1812">
        <f t="shared" si="4"/>
        <v>1</v>
      </c>
      <c r="AC40" s="2677">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19"/>
      <c r="Q41" s="1811" t="str">
        <f t="shared" si="11"/>
        <v>层高</v>
      </c>
      <c r="R41" s="772" t="s">
        <v>17</v>
      </c>
      <c r="S41" s="773">
        <f t="shared" si="12"/>
        <v>100</v>
      </c>
      <c r="T41" s="772" t="s">
        <v>17</v>
      </c>
      <c r="U41" s="773">
        <f t="shared" si="13"/>
        <v>100</v>
      </c>
      <c r="V41" s="772" t="s">
        <v>17</v>
      </c>
      <c r="W41" s="773">
        <f t="shared" si="14"/>
        <v>100</v>
      </c>
      <c r="X41" s="1814"/>
      <c r="Y41" s="3221"/>
      <c r="Z41" s="1815" t="str">
        <f t="shared" si="15"/>
        <v>层高</v>
      </c>
      <c r="AA41" s="1812">
        <f t="shared" si="3"/>
        <v>1</v>
      </c>
      <c r="AB41" s="1812">
        <f t="shared" si="4"/>
        <v>1</v>
      </c>
      <c r="AC41" s="2677">
        <f t="shared" si="5"/>
        <v>1</v>
      </c>
    </row>
    <row r="42" spans="1:29" s="469" customFormat="1" ht="15">
      <c r="A42" s="466"/>
      <c r="B42" s="1813"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19"/>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12">
        <f t="shared" si="3"/>
        <v>1</v>
      </c>
      <c r="AB42" s="1812">
        <f t="shared" si="4"/>
        <v>1</v>
      </c>
      <c r="AC42" s="2677">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19"/>
      <c r="Q43" s="1811" t="str">
        <f t="shared" si="11"/>
        <v>内部装修</v>
      </c>
      <c r="R43" s="772" t="s">
        <v>17</v>
      </c>
      <c r="S43" s="773">
        <f t="shared" si="12"/>
        <v>100</v>
      </c>
      <c r="T43" s="772" t="s">
        <v>17</v>
      </c>
      <c r="U43" s="773">
        <f t="shared" si="13"/>
        <v>100</v>
      </c>
      <c r="V43" s="772" t="s">
        <v>17</v>
      </c>
      <c r="W43" s="773">
        <f t="shared" si="14"/>
        <v>100</v>
      </c>
      <c r="X43" s="1814"/>
      <c r="Y43" s="3221"/>
      <c r="Z43" s="1815" t="str">
        <f t="shared" si="15"/>
        <v>内部装修</v>
      </c>
      <c r="AA43" s="1812">
        <f t="shared" si="3"/>
        <v>1</v>
      </c>
      <c r="AB43" s="1812">
        <f t="shared" si="4"/>
        <v>1</v>
      </c>
      <c r="AC43" s="2677">
        <f t="shared" si="5"/>
        <v>1</v>
      </c>
    </row>
    <row r="44" spans="1:29" ht="15">
      <c r="A44" s="470"/>
      <c r="B44" s="420" t="s">
        <v>2581</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1"/>
      <c r="M44" s="1132"/>
      <c r="N44" s="1132"/>
      <c r="O44" s="1132"/>
      <c r="P44" s="3219"/>
      <c r="Q44" s="1811" t="str">
        <f t="shared" si="11"/>
        <v>内部装修维护情况</v>
      </c>
      <c r="R44" s="772" t="s">
        <v>17</v>
      </c>
      <c r="S44" s="773">
        <f t="shared" si="12"/>
        <v>100</v>
      </c>
      <c r="T44" s="772" t="s">
        <v>17</v>
      </c>
      <c r="U44" s="773">
        <f t="shared" si="13"/>
        <v>100</v>
      </c>
      <c r="V44" s="772" t="s">
        <v>17</v>
      </c>
      <c r="W44" s="773">
        <f t="shared" si="14"/>
        <v>100</v>
      </c>
      <c r="X44" s="1814"/>
      <c r="Y44" s="3221"/>
      <c r="Z44" s="1815" t="str">
        <f t="shared" si="15"/>
        <v>内部装修维护情况</v>
      </c>
      <c r="AA44" s="1812">
        <f t="shared" si="3"/>
        <v>1</v>
      </c>
      <c r="AB44" s="1812">
        <f t="shared" si="4"/>
        <v>1</v>
      </c>
      <c r="AC44" s="2677">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19"/>
      <c r="Q45" s="1796">
        <f t="shared" si="11"/>
        <v>111</v>
      </c>
      <c r="R45" s="768" t="s">
        <v>17</v>
      </c>
      <c r="S45" s="769">
        <f t="shared" si="12"/>
        <v>100</v>
      </c>
      <c r="T45" s="768" t="s">
        <v>17</v>
      </c>
      <c r="U45" s="769">
        <f t="shared" si="13"/>
        <v>100</v>
      </c>
      <c r="V45" s="768" t="s">
        <v>17</v>
      </c>
      <c r="W45" s="769">
        <f t="shared" si="14"/>
        <v>100</v>
      </c>
      <c r="X45" s="770"/>
      <c r="Y45" s="3221"/>
      <c r="Z45" s="55">
        <f t="shared" si="15"/>
        <v>111</v>
      </c>
      <c r="AA45" s="771">
        <f t="shared" si="3"/>
        <v>1</v>
      </c>
      <c r="AB45" s="771">
        <f t="shared" si="4"/>
        <v>1</v>
      </c>
      <c r="AC45" s="267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19"/>
      <c r="Q46" s="1811">
        <f t="shared" si="11"/>
        <v>111</v>
      </c>
      <c r="R46" s="772" t="s">
        <v>17</v>
      </c>
      <c r="S46" s="773">
        <f t="shared" si="12"/>
        <v>100</v>
      </c>
      <c r="T46" s="772" t="s">
        <v>17</v>
      </c>
      <c r="U46" s="773">
        <f t="shared" si="13"/>
        <v>100</v>
      </c>
      <c r="V46" s="772" t="s">
        <v>17</v>
      </c>
      <c r="W46" s="773">
        <f t="shared" si="14"/>
        <v>100</v>
      </c>
      <c r="X46" s="1814"/>
      <c r="Y46" s="3221"/>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20"/>
      <c r="Q47" s="1811">
        <f t="shared" si="11"/>
        <v>111</v>
      </c>
      <c r="R47" s="772" t="s">
        <v>17</v>
      </c>
      <c r="S47" s="773">
        <f t="shared" si="12"/>
        <v>100</v>
      </c>
      <c r="T47" s="772" t="s">
        <v>17</v>
      </c>
      <c r="U47" s="773">
        <f t="shared" si="13"/>
        <v>100</v>
      </c>
      <c r="V47" s="772" t="s">
        <v>17</v>
      </c>
      <c r="W47" s="773">
        <f t="shared" si="14"/>
        <v>100</v>
      </c>
      <c r="X47" s="1814"/>
      <c r="Y47" s="3222"/>
      <c r="Z47" s="1815">
        <f t="shared" si="15"/>
        <v>111</v>
      </c>
      <c r="AA47" s="1812">
        <f t="shared" si="3"/>
        <v>1</v>
      </c>
      <c r="AB47" s="1812">
        <f t="shared" si="4"/>
        <v>1</v>
      </c>
      <c r="AC47" s="2677">
        <f t="shared" si="5"/>
        <v>1</v>
      </c>
    </row>
    <row r="48" spans="1:29" ht="15">
      <c r="A48" s="477" t="s">
        <v>2582</v>
      </c>
      <c r="B48" s="478"/>
      <c r="C48" s="1408" t="s">
        <v>1</v>
      </c>
      <c r="D48" s="1409"/>
      <c r="E48" s="1410"/>
      <c r="F48" s="1411"/>
      <c r="G48" s="1412"/>
      <c r="H48" s="1413"/>
      <c r="I48" s="1410"/>
      <c r="J48" s="483"/>
      <c r="K48" s="781"/>
      <c r="L48" s="1144"/>
      <c r="M48" s="1132"/>
      <c r="N48" s="1132"/>
      <c r="O48" s="1132"/>
      <c r="P48" s="3225" t="str">
        <f>A48</f>
        <v>成交单价（元/平方米）</v>
      </c>
      <c r="Q48" s="3214"/>
      <c r="R48" s="3215">
        <f>E48</f>
        <v>0</v>
      </c>
      <c r="S48" s="3215"/>
      <c r="T48" s="3215">
        <f>G48</f>
        <v>0</v>
      </c>
      <c r="U48" s="3215"/>
      <c r="V48" s="3215">
        <f>I48</f>
        <v>0</v>
      </c>
      <c r="W48" s="3215"/>
      <c r="X48" s="444"/>
      <c r="Y48" s="779"/>
      <c r="Z48" s="444"/>
      <c r="AA48" s="444"/>
      <c r="AB48" s="444"/>
      <c r="AC48" s="628"/>
    </row>
    <row r="49" spans="1:29" ht="15.75" thickBot="1">
      <c r="A49" s="484" t="s">
        <v>2674</v>
      </c>
      <c r="B49" s="485"/>
      <c r="C49" s="1414" t="e">
        <f>R50</f>
        <v>#DIV/0!</v>
      </c>
      <c r="D49" s="1415"/>
      <c r="E49" s="1416" t="e">
        <f>R49</f>
        <v>#DIV/0!</v>
      </c>
      <c r="F49" s="1416"/>
      <c r="G49" s="1414" t="e">
        <f>T49</f>
        <v>#DIV/0!</v>
      </c>
      <c r="H49" s="1415"/>
      <c r="I49" s="1416" t="e">
        <f>V49</f>
        <v>#DIV/0!</v>
      </c>
      <c r="J49" s="487"/>
      <c r="K49" s="782"/>
      <c r="L49" s="1144"/>
      <c r="M49" s="1132"/>
      <c r="N49" s="1132"/>
      <c r="O49" s="1132"/>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4"/>
      <c r="Y49" s="444"/>
      <c r="Z49" s="444"/>
      <c r="AA49" s="444"/>
      <c r="AB49" s="444"/>
      <c r="AC49" s="628"/>
    </row>
    <row r="50" spans="1:29" ht="15.75" thickBot="1">
      <c r="A50" s="490" t="s">
        <v>2675</v>
      </c>
      <c r="B50" s="491"/>
      <c r="C50" s="1418" t="e">
        <f>R50</f>
        <v>#DIV/0!</v>
      </c>
      <c r="D50" s="1418"/>
      <c r="E50" s="1418"/>
      <c r="F50" s="1418"/>
      <c r="G50" s="1418"/>
      <c r="H50" s="1418"/>
      <c r="I50" s="1418"/>
      <c r="J50" s="492"/>
      <c r="K50" s="783"/>
      <c r="L50" s="1144"/>
      <c r="M50" s="1132"/>
      <c r="N50" s="1132"/>
      <c r="O50" s="1132"/>
      <c r="P50" s="3257" t="str">
        <f>A50</f>
        <v>估价对象XX用房的比较价值（楼面单价，元/平方米）</v>
      </c>
      <c r="Q50" s="3258"/>
      <c r="R50" s="3259" t="e">
        <f>IF(F1="售价",ROUND(AVERAGE(R49:V49),0),ROUND(AVERAGE(R49:V49),1))</f>
        <v>#DIV/0!</v>
      </c>
      <c r="S50" s="3259"/>
      <c r="T50" s="3259"/>
      <c r="U50" s="3259"/>
      <c r="V50" s="3259"/>
      <c r="W50" s="3259"/>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2679</v>
      </c>
      <c r="B58" s="757"/>
      <c r="C58" s="762"/>
      <c r="D58" s="762"/>
      <c r="E58" s="762"/>
      <c r="F58" s="763"/>
      <c r="G58" s="763"/>
      <c r="H58" s="762"/>
      <c r="I58" s="762"/>
      <c r="J58" s="762"/>
      <c r="K58" s="764"/>
      <c r="L58" s="1162"/>
      <c r="M58" s="1160"/>
      <c r="N58" s="1160"/>
      <c r="O58" s="1160"/>
      <c r="P58" s="2684"/>
      <c r="Q58" s="502"/>
    </row>
    <row r="59" spans="1:29" s="506" customFormat="1" ht="15">
      <c r="A59" s="503" t="s">
        <v>2553</v>
      </c>
      <c r="B59" s="504"/>
      <c r="C59" s="1575" t="str">
        <f>YEAR(C7)&amp;"-"&amp;MONTH(C7)</f>
        <v>2018-10</v>
      </c>
      <c r="D59" s="1576">
        <f>EDATE(C59,-1)</f>
        <v>43344</v>
      </c>
      <c r="E59" s="1576">
        <f>EDATE(D59,-1)</f>
        <v>43313</v>
      </c>
      <c r="F59" s="1576">
        <f t="shared" ref="F59:O59" si="16">EDATE(E59,-1)</f>
        <v>43282</v>
      </c>
      <c r="G59" s="1576">
        <f t="shared" si="16"/>
        <v>43252</v>
      </c>
      <c r="H59" s="1576">
        <f t="shared" si="16"/>
        <v>43221</v>
      </c>
      <c r="I59" s="1576">
        <f t="shared" si="16"/>
        <v>43191</v>
      </c>
      <c r="J59" s="1576">
        <f t="shared" si="16"/>
        <v>43160</v>
      </c>
      <c r="K59" s="1576">
        <f t="shared" si="16"/>
        <v>43132</v>
      </c>
      <c r="L59" s="1576">
        <f t="shared" si="16"/>
        <v>43101</v>
      </c>
      <c r="M59" s="1576">
        <f t="shared" si="16"/>
        <v>43070</v>
      </c>
      <c r="N59" s="1576">
        <f t="shared" si="16"/>
        <v>43040</v>
      </c>
      <c r="O59" s="1576">
        <f t="shared" si="16"/>
        <v>43009</v>
      </c>
      <c r="P59" s="1572"/>
    </row>
    <row r="60" spans="1:29" s="115" customFormat="1" ht="15">
      <c r="A60" s="507"/>
      <c r="B60" s="508"/>
      <c r="C60" s="1574">
        <v>100</v>
      </c>
      <c r="D60" s="510"/>
      <c r="E60" s="510"/>
      <c r="F60" s="510"/>
      <c r="G60" s="510"/>
      <c r="H60" s="510"/>
      <c r="I60" s="510"/>
      <c r="J60" s="510"/>
      <c r="K60" s="510"/>
      <c r="L60" s="510"/>
      <c r="M60" s="511"/>
      <c r="N60" s="510"/>
      <c r="O60" s="511"/>
      <c r="P60" s="2685"/>
    </row>
    <row r="61" spans="1:29" s="115" customFormat="1" ht="15.75" thickBot="1">
      <c r="A61" s="513" t="s">
        <v>2590</v>
      </c>
      <c r="B61" s="514"/>
      <c r="C61" s="515"/>
      <c r="D61" s="516"/>
      <c r="E61" s="516"/>
      <c r="F61" s="516"/>
      <c r="G61" s="516"/>
      <c r="H61" s="516"/>
      <c r="I61" s="516"/>
      <c r="J61" s="516"/>
      <c r="K61" s="516"/>
      <c r="L61" s="516"/>
      <c r="M61" s="517"/>
      <c r="N61" s="516"/>
      <c r="O61" s="517"/>
      <c r="P61" s="2685"/>
      <c r="Q61" s="502"/>
    </row>
    <row r="62" spans="1:29" s="115" customFormat="1" ht="15">
      <c r="A62" s="519" t="s">
        <v>2555</v>
      </c>
      <c r="B62" s="508"/>
      <c r="C62" s="520" t="s">
        <v>2657</v>
      </c>
      <c r="D62" s="521"/>
      <c r="E62" s="521"/>
      <c r="F62" s="521"/>
      <c r="G62" s="521"/>
      <c r="H62" s="521"/>
      <c r="I62" s="521"/>
      <c r="J62" s="521"/>
      <c r="K62" s="521"/>
      <c r="L62" s="522"/>
      <c r="M62" s="523"/>
      <c r="N62" s="1152"/>
      <c r="O62" s="1152"/>
      <c r="P62" s="2686"/>
      <c r="Q62" s="502"/>
    </row>
    <row r="63" spans="1:29" s="115"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2593</v>
      </c>
      <c r="B64" s="526" t="s">
        <v>2559</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2694</v>
      </c>
      <c r="C83" s="658" t="s">
        <v>2680</v>
      </c>
      <c r="D83" s="658" t="s">
        <v>2681</v>
      </c>
      <c r="E83" s="658" t="s">
        <v>2682</v>
      </c>
      <c r="F83" s="658" t="s">
        <v>2683</v>
      </c>
      <c r="G83" s="658" t="s">
        <v>2684</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7"/>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5" customFormat="1" ht="27.75" thickTop="1">
      <c r="A87" s="577"/>
      <c r="B87" s="536" t="s">
        <v>2704</v>
      </c>
      <c r="C87" s="552"/>
      <c r="D87" s="552"/>
      <c r="E87" s="552"/>
      <c r="F87" s="552"/>
      <c r="G87" s="552"/>
      <c r="H87" s="552"/>
      <c r="I87" s="552"/>
      <c r="J87" s="552"/>
      <c r="K87" s="552"/>
      <c r="L87" s="578"/>
      <c r="M87" s="579"/>
      <c r="N87" s="1152"/>
      <c r="O87" s="1152"/>
      <c r="P87" s="2687"/>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5"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2568</v>
      </c>
      <c r="B101" s="526" t="s">
        <v>2617</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2619</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2621</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2705</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2622</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2623</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2706</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2689</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2625</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672" t="s">
        <v>2707</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IF(C2="——",ROUND(C43*D3/10000,0),ROUND(C43*D3/10000,0)-D2)</f>
        <v>#DIV/0!</v>
      </c>
      <c r="C2" s="2589"/>
      <c r="D2" s="1125"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2334</v>
      </c>
      <c r="B3" s="607" t="e">
        <f ca="1">IF(C2="——",C43,ROUND(B2*10000/D3,0))</f>
        <v>#DIV/0!</v>
      </c>
      <c r="C3" s="398" t="s">
        <v>2649</v>
      </c>
      <c r="D3" s="397">
        <f>IF(D1="",'数据-汇总表'!E3,SUMIF('数据-汇总表'!$C19:$C33,D1,'数据-汇总表'!$E19:$E33))</f>
        <v>4983.7199999999993</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27" t="s">
        <v>2653</v>
      </c>
      <c r="AC4" s="3226" t="s">
        <v>2654</v>
      </c>
    </row>
    <row r="5" spans="1:29"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27"/>
      <c r="AC5" s="3227"/>
    </row>
    <row r="6" spans="1:29" ht="15.75" thickBot="1">
      <c r="A6" s="404"/>
      <c r="B6" s="405"/>
      <c r="C6" s="3246" t="s">
        <v>2551</v>
      </c>
      <c r="D6" s="3247"/>
      <c r="E6" s="3253" t="s">
        <v>2551</v>
      </c>
      <c r="F6" s="3254"/>
      <c r="G6" s="3246" t="s">
        <v>2551</v>
      </c>
      <c r="H6" s="3247"/>
      <c r="I6" s="3246" t="s">
        <v>2551</v>
      </c>
      <c r="J6" s="3247"/>
      <c r="K6" s="608" t="s">
        <v>2552</v>
      </c>
      <c r="L6" s="1131"/>
      <c r="M6" s="1132"/>
      <c r="N6" s="1132"/>
      <c r="O6" s="1132"/>
      <c r="P6" s="3237"/>
      <c r="Q6" s="3238"/>
      <c r="R6" s="3241"/>
      <c r="S6" s="3242"/>
      <c r="T6" s="3243"/>
      <c r="U6" s="3244"/>
      <c r="V6" s="3245"/>
      <c r="W6" s="3245"/>
      <c r="X6" s="1814"/>
      <c r="Y6" s="3243"/>
      <c r="Z6" s="3244"/>
      <c r="AA6" s="3228"/>
      <c r="AB6" s="3228"/>
      <c r="AC6" s="3228"/>
    </row>
    <row r="7" spans="1:29" s="115" customFormat="1" ht="15.75" thickBot="1">
      <c r="A7" s="406" t="s">
        <v>2553</v>
      </c>
      <c r="B7" s="407"/>
      <c r="C7" s="408">
        <f>'数据-取费表'!B2</f>
        <v>43398</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50" t="s">
        <v>2554</v>
      </c>
      <c r="Q7" s="3252"/>
      <c r="R7" s="768" t="s">
        <v>17</v>
      </c>
      <c r="S7" s="769">
        <f t="shared" ref="S7:S15" si="0">F7</f>
        <v>0</v>
      </c>
      <c r="T7" s="768" t="s">
        <v>17</v>
      </c>
      <c r="U7" s="769">
        <f t="shared" ref="U7:U15" si="1">H7</f>
        <v>0</v>
      </c>
      <c r="V7" s="768" t="s">
        <v>17</v>
      </c>
      <c r="W7" s="769">
        <f t="shared" ref="W7:W15" si="2">J7</f>
        <v>0</v>
      </c>
      <c r="X7" s="770"/>
      <c r="Y7" s="3250" t="s">
        <v>2554</v>
      </c>
      <c r="Z7" s="3251"/>
      <c r="AA7" s="771" t="e">
        <f>D7/F7</f>
        <v>#DIV/0!</v>
      </c>
      <c r="AB7" s="771" t="e">
        <f>D7/H7</f>
        <v>#DIV/0!</v>
      </c>
      <c r="AC7" s="771" t="e">
        <f>D7/J7</f>
        <v>#DIV/0!</v>
      </c>
    </row>
    <row r="8" spans="1:29" s="115" customFormat="1" ht="15.75" thickBot="1">
      <c r="A8" s="406" t="s">
        <v>2555</v>
      </c>
      <c r="B8" s="407"/>
      <c r="C8" s="412" t="s">
        <v>2556</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40" si="3">D8/F8</f>
        <v>#DIV/0!</v>
      </c>
      <c r="AB8" s="771" t="e">
        <f t="shared" ref="AB8:AB40" si="4">D8/H8</f>
        <v>#DIV/0!</v>
      </c>
      <c r="AC8" s="771" t="e">
        <f t="shared" ref="AC8:AC40" si="5">D8/J8</f>
        <v>#DIV/0!</v>
      </c>
    </row>
    <row r="9" spans="1:29" s="115" customFormat="1">
      <c r="A9" s="413" t="s">
        <v>2558</v>
      </c>
      <c r="B9" s="69" t="s">
        <v>2559</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14"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14"/>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6"/>
      <c r="B11" s="420" t="s">
        <v>2563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14"/>
      <c r="Q11" s="1796"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5" customFormat="1" ht="15">
      <c r="A12" s="429"/>
      <c r="B12" s="2603">
        <v>111</v>
      </c>
      <c r="C12" s="430"/>
      <c r="D12" s="431">
        <v>100</v>
      </c>
      <c r="E12" s="432"/>
      <c r="F12" s="134">
        <f>SUMIF(64:64,E12,65:65)-SUMIF(64:64,C12,65:65)+100</f>
        <v>100</v>
      </c>
      <c r="G12" s="2695"/>
      <c r="H12" s="134">
        <f>SUMIF(64:64,G12,65:65)-SUMIF(64:64,C12,65:65)+100</f>
        <v>100</v>
      </c>
      <c r="I12" s="467"/>
      <c r="J12" s="134">
        <f>SUMIF(64:64,I12,65:65)-SUMIF(64:64,C12,65:65)+100</f>
        <v>100</v>
      </c>
      <c r="K12" s="611"/>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6"/>
      <c r="B13" s="2603">
        <v>111</v>
      </c>
      <c r="C13" s="432"/>
      <c r="D13" s="433">
        <v>100</v>
      </c>
      <c r="E13" s="432"/>
      <c r="F13" s="134">
        <f>SUMIF(66:66,E13,67:67)-SUMIF(66:66,C13,67:67)+100</f>
        <v>100</v>
      </c>
      <c r="G13" s="2695"/>
      <c r="H13" s="433">
        <f>SUMIF(66:66,G13,67:67)-SUMIF(66:66,C13,67:67)+100</f>
        <v>100</v>
      </c>
      <c r="I13" s="467"/>
      <c r="J13" s="433">
        <f>SUMIF(66:66,I13,67:67)-SUMIF(66:66,C13,67:67)+100</f>
        <v>100</v>
      </c>
      <c r="K13" s="611"/>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38" t="s">
        <v>2564</v>
      </c>
      <c r="B15" s="67" t="s">
        <v>2708</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16" t="s">
        <v>2565</v>
      </c>
      <c r="Q15" s="1811" t="str">
        <f t="shared" si="6"/>
        <v>产业集聚程度</v>
      </c>
      <c r="R15" s="772" t="s">
        <v>17</v>
      </c>
      <c r="S15" s="773">
        <f t="shared" si="0"/>
        <v>100</v>
      </c>
      <c r="T15" s="772" t="s">
        <v>17</v>
      </c>
      <c r="U15" s="773">
        <f t="shared" si="1"/>
        <v>100</v>
      </c>
      <c r="V15" s="772" t="s">
        <v>17</v>
      </c>
      <c r="W15" s="773">
        <f t="shared" si="2"/>
        <v>100</v>
      </c>
      <c r="X15" s="1814"/>
      <c r="Y15" s="3216" t="s">
        <v>2565</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17"/>
      <c r="Q16" s="1811"/>
      <c r="R16" s="772"/>
      <c r="S16" s="773"/>
      <c r="T16" s="772"/>
      <c r="U16" s="773"/>
      <c r="V16" s="772"/>
      <c r="W16" s="773"/>
      <c r="X16" s="1814"/>
      <c r="Y16" s="3217"/>
      <c r="Z16" s="1815"/>
      <c r="AA16" s="1812">
        <v>1</v>
      </c>
      <c r="AB16" s="1812">
        <v>1</v>
      </c>
      <c r="AC16" s="1812">
        <v>1</v>
      </c>
    </row>
    <row r="17" spans="1:29" ht="85.5">
      <c r="A17" s="426"/>
      <c r="B17" s="449" t="s">
        <v>2101</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17"/>
      <c r="Q17" s="1811" t="str">
        <f>B17</f>
        <v>交通便捷度</v>
      </c>
      <c r="R17" s="772" t="s">
        <v>17</v>
      </c>
      <c r="S17" s="773">
        <f>F17</f>
        <v>100</v>
      </c>
      <c r="T17" s="772" t="s">
        <v>17</v>
      </c>
      <c r="U17" s="773">
        <f>H17</f>
        <v>100</v>
      </c>
      <c r="V17" s="772" t="s">
        <v>17</v>
      </c>
      <c r="W17" s="773">
        <f>J17</f>
        <v>100</v>
      </c>
      <c r="X17" s="1814"/>
      <c r="Y17" s="3217"/>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40"/>
      <c r="P18" s="3217"/>
      <c r="Q18" s="1811"/>
      <c r="R18" s="772"/>
      <c r="S18" s="773"/>
      <c r="T18" s="772"/>
      <c r="U18" s="773"/>
      <c r="V18" s="772"/>
      <c r="W18" s="773"/>
      <c r="X18" s="1814"/>
      <c r="Y18" s="3217"/>
      <c r="Z18" s="1815"/>
      <c r="AA18" s="1812">
        <v>1</v>
      </c>
      <c r="AB18" s="1812">
        <v>1</v>
      </c>
      <c r="AC18" s="1812">
        <v>1</v>
      </c>
    </row>
    <row r="19" spans="1:29" ht="42.75">
      <c r="A19" s="426"/>
      <c r="B19" s="449" t="s">
        <v>2693</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17"/>
      <c r="Q19" s="1811" t="str">
        <f>B19</f>
        <v>公共配套设施</v>
      </c>
      <c r="R19" s="772" t="s">
        <v>17</v>
      </c>
      <c r="S19" s="773">
        <f>F19</f>
        <v>100</v>
      </c>
      <c r="T19" s="772" t="s">
        <v>17</v>
      </c>
      <c r="U19" s="773">
        <f>H19</f>
        <v>100</v>
      </c>
      <c r="V19" s="772" t="s">
        <v>17</v>
      </c>
      <c r="W19" s="773">
        <f>J19</f>
        <v>100</v>
      </c>
      <c r="X19" s="1814"/>
      <c r="Y19" s="3217"/>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40"/>
      <c r="P20" s="3217"/>
      <c r="Q20" s="1811"/>
      <c r="R20" s="772"/>
      <c r="S20" s="773"/>
      <c r="T20" s="772"/>
      <c r="U20" s="773"/>
      <c r="V20" s="772"/>
      <c r="W20" s="773"/>
      <c r="X20" s="1814"/>
      <c r="Y20" s="3217"/>
      <c r="Z20" s="1815"/>
      <c r="AA20" s="1812">
        <v>1</v>
      </c>
      <c r="AB20" s="1812">
        <v>1</v>
      </c>
      <c r="AC20" s="1812">
        <v>1</v>
      </c>
    </row>
    <row r="21" spans="1:29" ht="28.5">
      <c r="A21" s="426"/>
      <c r="B21" s="1385" t="s">
        <v>2694</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17"/>
      <c r="Q21" s="1811" t="str">
        <f>B21</f>
        <v>基础设施水平</v>
      </c>
      <c r="R21" s="772" t="s">
        <v>17</v>
      </c>
      <c r="S21" s="773">
        <f>F21</f>
        <v>100</v>
      </c>
      <c r="T21" s="772" t="s">
        <v>17</v>
      </c>
      <c r="U21" s="773">
        <f>H21</f>
        <v>100</v>
      </c>
      <c r="V21" s="772" t="s">
        <v>17</v>
      </c>
      <c r="W21" s="773">
        <f>J21</f>
        <v>100</v>
      </c>
      <c r="X21" s="1814"/>
      <c r="Y21" s="3217"/>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40"/>
      <c r="P22" s="3217"/>
      <c r="Q22" s="1811"/>
      <c r="R22" s="772"/>
      <c r="S22" s="773"/>
      <c r="T22" s="772"/>
      <c r="U22" s="773"/>
      <c r="V22" s="772"/>
      <c r="W22" s="773"/>
      <c r="X22" s="1814"/>
      <c r="Y22" s="3217"/>
      <c r="Z22" s="1815"/>
      <c r="AA22" s="1812">
        <v>1</v>
      </c>
      <c r="AB22" s="1812">
        <v>1</v>
      </c>
      <c r="AC22" s="1812">
        <v>1</v>
      </c>
    </row>
    <row r="23" spans="1:29" ht="71.25">
      <c r="A23" s="426"/>
      <c r="B23" s="449" t="s">
        <v>2695</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17"/>
      <c r="Q23" s="1811" t="str">
        <f>B23</f>
        <v>环境质量</v>
      </c>
      <c r="R23" s="772" t="s">
        <v>17</v>
      </c>
      <c r="S23" s="773">
        <f>F23</f>
        <v>100</v>
      </c>
      <c r="T23" s="772" t="s">
        <v>17</v>
      </c>
      <c r="U23" s="773">
        <f>H23</f>
        <v>100</v>
      </c>
      <c r="V23" s="772" t="s">
        <v>17</v>
      </c>
      <c r="W23" s="773">
        <f>J23</f>
        <v>100</v>
      </c>
      <c r="X23" s="1814"/>
      <c r="Y23" s="3217"/>
      <c r="Z23" s="1815" t="str">
        <f>Q23</f>
        <v>环境质量</v>
      </c>
      <c r="AA23" s="1812">
        <f t="shared" si="3"/>
        <v>1</v>
      </c>
      <c r="AB23" s="1812">
        <f t="shared" si="4"/>
        <v>1</v>
      </c>
      <c r="AC23" s="1812">
        <f t="shared" si="5"/>
        <v>1</v>
      </c>
    </row>
    <row r="24" spans="1:29" ht="15">
      <c r="A24" s="426"/>
      <c r="B24" s="1385"/>
      <c r="C24" s="445"/>
      <c r="D24" s="446"/>
      <c r="E24" s="2608"/>
      <c r="F24" s="447"/>
      <c r="G24" s="2607"/>
      <c r="H24" s="446"/>
      <c r="I24" s="2608"/>
      <c r="J24" s="446"/>
      <c r="K24" s="613"/>
      <c r="L24" s="1141"/>
      <c r="M24" s="1132"/>
      <c r="N24" s="1132"/>
      <c r="O24" s="1140"/>
      <c r="P24" s="3217"/>
      <c r="Q24" s="1811"/>
      <c r="R24" s="772"/>
      <c r="S24" s="773"/>
      <c r="T24" s="772"/>
      <c r="U24" s="773"/>
      <c r="V24" s="772"/>
      <c r="W24" s="773"/>
      <c r="X24" s="1814"/>
      <c r="Y24" s="3217"/>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17"/>
      <c r="Q25" s="1811">
        <f>B25</f>
        <v>111</v>
      </c>
      <c r="R25" s="772" t="s">
        <v>17</v>
      </c>
      <c r="S25" s="773">
        <f>F25</f>
        <v>100</v>
      </c>
      <c r="T25" s="772" t="s">
        <v>17</v>
      </c>
      <c r="U25" s="773">
        <f>H25</f>
        <v>100</v>
      </c>
      <c r="V25" s="772" t="s">
        <v>17</v>
      </c>
      <c r="W25" s="773">
        <f>J25</f>
        <v>100</v>
      </c>
      <c r="X25" s="1814"/>
      <c r="Y25" s="3217"/>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17"/>
      <c r="Q26" s="1811">
        <f t="shared" ref="Q26:Q40" si="11">B26</f>
        <v>111</v>
      </c>
      <c r="R26" s="772" t="s">
        <v>17</v>
      </c>
      <c r="S26" s="773">
        <f>F26</f>
        <v>100</v>
      </c>
      <c r="T26" s="772" t="s">
        <v>17</v>
      </c>
      <c r="U26" s="773">
        <f>H26</f>
        <v>100</v>
      </c>
      <c r="V26" s="772" t="s">
        <v>17</v>
      </c>
      <c r="W26" s="773">
        <f>J26</f>
        <v>100</v>
      </c>
      <c r="X26" s="1814"/>
      <c r="Y26" s="3217"/>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17"/>
      <c r="Q27" s="1796">
        <f t="shared" si="11"/>
        <v>111</v>
      </c>
      <c r="R27" s="768" t="s">
        <v>17</v>
      </c>
      <c r="S27" s="769">
        <f>F27</f>
        <v>100</v>
      </c>
      <c r="T27" s="768" t="s">
        <v>17</v>
      </c>
      <c r="U27" s="769">
        <f>H27</f>
        <v>100</v>
      </c>
      <c r="V27" s="768" t="s">
        <v>17</v>
      </c>
      <c r="W27" s="769">
        <f>J27</f>
        <v>100</v>
      </c>
      <c r="X27" s="770"/>
      <c r="Y27" s="3217"/>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17"/>
      <c r="Q28" s="1811">
        <f t="shared" si="11"/>
        <v>111</v>
      </c>
      <c r="R28" s="772" t="s">
        <v>17</v>
      </c>
      <c r="S28" s="773">
        <f t="shared" ref="S28:S40" si="12">F28</f>
        <v>100</v>
      </c>
      <c r="T28" s="772" t="s">
        <v>17</v>
      </c>
      <c r="U28" s="773">
        <f t="shared" ref="U28:U40" si="13">H28</f>
        <v>100</v>
      </c>
      <c r="V28" s="772" t="s">
        <v>17</v>
      </c>
      <c r="W28" s="773">
        <f t="shared" ref="W28:W40" si="14">J28</f>
        <v>100</v>
      </c>
      <c r="X28" s="1814"/>
      <c r="Y28" s="3217"/>
      <c r="Z28" s="1815">
        <f t="shared" ref="Z28:Z40" si="15">Q28</f>
        <v>111</v>
      </c>
      <c r="AA28" s="1812">
        <f t="shared" si="3"/>
        <v>1</v>
      </c>
      <c r="AB28" s="1812">
        <f t="shared" si="4"/>
        <v>1</v>
      </c>
      <c r="AC28" s="1812">
        <f t="shared" si="5"/>
        <v>1</v>
      </c>
    </row>
    <row r="29" spans="1:29" ht="29.25">
      <c r="A29" s="464" t="s">
        <v>2568</v>
      </c>
      <c r="B29" s="69" t="s">
        <v>2698</v>
      </c>
      <c r="C29" s="2682"/>
      <c r="D29" s="465">
        <v>100</v>
      </c>
      <c r="E29" s="2682"/>
      <c r="F29" s="459">
        <f>SUMIF(88:88,E29,89:89)-SUMIF(88:88,C29,89:89)+100</f>
        <v>100</v>
      </c>
      <c r="G29" s="2682"/>
      <c r="H29" s="433">
        <f>SUMIF(88:88,G29,89:89)-SUMIF(88:88,C29,89:89)+100</f>
        <v>100</v>
      </c>
      <c r="I29" s="2682"/>
      <c r="J29" s="465">
        <f>SUMIF(88:88,I29,89:89)-SUMIF(88:88,C29,89:89)+100</f>
        <v>100</v>
      </c>
      <c r="K29" s="610"/>
      <c r="L29" s="1141"/>
      <c r="M29" s="1132"/>
      <c r="N29" s="1132"/>
      <c r="O29" s="1140"/>
      <c r="P29" s="3272" t="s">
        <v>2570</v>
      </c>
      <c r="Q29" s="1811" t="str">
        <f t="shared" si="11"/>
        <v>建筑类型</v>
      </c>
      <c r="R29" s="772" t="s">
        <v>17</v>
      </c>
      <c r="S29" s="773">
        <f t="shared" si="12"/>
        <v>100</v>
      </c>
      <c r="T29" s="772" t="s">
        <v>17</v>
      </c>
      <c r="U29" s="773">
        <f t="shared" si="13"/>
        <v>100</v>
      </c>
      <c r="V29" s="772" t="s">
        <v>17</v>
      </c>
      <c r="W29" s="773">
        <f t="shared" si="14"/>
        <v>100</v>
      </c>
      <c r="X29" s="1814"/>
      <c r="Y29" s="3221" t="s">
        <v>2570</v>
      </c>
      <c r="Z29" s="1815" t="str">
        <f t="shared" si="15"/>
        <v>建筑类型</v>
      </c>
      <c r="AA29" s="1812">
        <f t="shared" si="3"/>
        <v>1</v>
      </c>
      <c r="AB29" s="1812">
        <f t="shared" si="4"/>
        <v>1</v>
      </c>
      <c r="AC29" s="1812">
        <f t="shared" si="5"/>
        <v>1</v>
      </c>
    </row>
    <row r="30" spans="1:29" s="469" customFormat="1" ht="15">
      <c r="A30" s="466"/>
      <c r="B30" s="420" t="s">
        <v>2571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12" t="e">
        <f t="shared" si="3"/>
        <v>#N/A</v>
      </c>
      <c r="AB30" s="1812" t="e">
        <f t="shared" si="4"/>
        <v>#N/A</v>
      </c>
      <c r="AC30" s="1812" t="e">
        <f t="shared" si="5"/>
        <v>#N/A</v>
      </c>
    </row>
    <row r="31" spans="1:29" ht="15">
      <c r="A31" s="470"/>
      <c r="B31" s="420" t="s">
        <v>2572</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21"/>
      <c r="Q31" s="1811" t="str">
        <f t="shared" si="11"/>
        <v>建筑结构</v>
      </c>
      <c r="R31" s="772" t="s">
        <v>17</v>
      </c>
      <c r="S31" s="773">
        <f t="shared" si="12"/>
        <v>100</v>
      </c>
      <c r="T31" s="772" t="s">
        <v>17</v>
      </c>
      <c r="U31" s="773">
        <f t="shared" si="13"/>
        <v>100</v>
      </c>
      <c r="V31" s="772" t="s">
        <v>17</v>
      </c>
      <c r="W31" s="773">
        <f t="shared" si="14"/>
        <v>100</v>
      </c>
      <c r="X31" s="1814"/>
      <c r="Y31" s="3221"/>
      <c r="Z31" s="1815" t="str">
        <f t="shared" si="15"/>
        <v>建筑结构</v>
      </c>
      <c r="AA31" s="1812">
        <f t="shared" si="3"/>
        <v>1</v>
      </c>
      <c r="AB31" s="1812">
        <f t="shared" si="4"/>
        <v>1</v>
      </c>
      <c r="AC31" s="1812">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21"/>
      <c r="Q32" s="1811" t="str">
        <f t="shared" si="11"/>
        <v>公共部分装修</v>
      </c>
      <c r="R32" s="772" t="s">
        <v>17</v>
      </c>
      <c r="S32" s="773">
        <f t="shared" si="12"/>
        <v>100</v>
      </c>
      <c r="T32" s="772" t="s">
        <v>17</v>
      </c>
      <c r="U32" s="773">
        <f t="shared" si="13"/>
        <v>100</v>
      </c>
      <c r="V32" s="772" t="s">
        <v>17</v>
      </c>
      <c r="W32" s="773">
        <f t="shared" si="14"/>
        <v>100</v>
      </c>
      <c r="X32" s="1814"/>
      <c r="Y32" s="3221"/>
      <c r="Z32" s="1815" t="str">
        <f t="shared" si="15"/>
        <v>公共部分装修</v>
      </c>
      <c r="AA32" s="1812">
        <f t="shared" si="3"/>
        <v>1</v>
      </c>
      <c r="AB32" s="1812">
        <f t="shared" si="4"/>
        <v>1</v>
      </c>
      <c r="AC32" s="1812">
        <f t="shared" si="5"/>
        <v>1</v>
      </c>
    </row>
    <row r="33" spans="1:29" ht="15">
      <c r="A33" s="470"/>
      <c r="B33" s="420" t="s">
        <v>2667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21"/>
      <c r="Q33" s="1811" t="str">
        <f t="shared" si="11"/>
        <v>成新度</v>
      </c>
      <c r="R33" s="772" t="s">
        <v>17</v>
      </c>
      <c r="S33" s="773" t="e">
        <f t="shared" si="12"/>
        <v>#N/A</v>
      </c>
      <c r="T33" s="772" t="s">
        <v>17</v>
      </c>
      <c r="U33" s="773" t="e">
        <f t="shared" si="13"/>
        <v>#N/A</v>
      </c>
      <c r="V33" s="772" t="s">
        <v>17</v>
      </c>
      <c r="W33" s="773" t="e">
        <f t="shared" si="14"/>
        <v>#N/A</v>
      </c>
      <c r="X33" s="1814"/>
      <c r="Y33" s="3221"/>
      <c r="Z33" s="1815" t="str">
        <f t="shared" si="15"/>
        <v>成新度</v>
      </c>
      <c r="AA33" s="1812" t="e">
        <f t="shared" si="3"/>
        <v>#N/A</v>
      </c>
      <c r="AB33" s="1812" t="e">
        <f t="shared" si="4"/>
        <v>#N/A</v>
      </c>
      <c r="AC33" s="1812" t="e">
        <f t="shared" si="5"/>
        <v>#N/A</v>
      </c>
    </row>
    <row r="34" spans="1:29" s="115"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21"/>
      <c r="Q34" s="1796" t="str">
        <f t="shared" si="11"/>
        <v>物业管理</v>
      </c>
      <c r="R34" s="768" t="s">
        <v>17</v>
      </c>
      <c r="S34" s="769">
        <f t="shared" si="12"/>
        <v>100</v>
      </c>
      <c r="T34" s="768" t="s">
        <v>17</v>
      </c>
      <c r="U34" s="769">
        <f t="shared" si="13"/>
        <v>100</v>
      </c>
      <c r="V34" s="768" t="s">
        <v>17</v>
      </c>
      <c r="W34" s="769">
        <f t="shared" si="14"/>
        <v>100</v>
      </c>
      <c r="X34" s="770"/>
      <c r="Y34" s="3221"/>
      <c r="Z34" s="55" t="str">
        <f t="shared" si="15"/>
        <v>物业管理</v>
      </c>
      <c r="AA34" s="771">
        <f t="shared" si="3"/>
        <v>1</v>
      </c>
      <c r="AB34" s="771">
        <f t="shared" si="4"/>
        <v>1</v>
      </c>
      <c r="AC34" s="771">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21" t="s">
        <v>2570</v>
      </c>
      <c r="Q35" s="1811" t="str">
        <f t="shared" si="11"/>
        <v>市政基础设施</v>
      </c>
      <c r="R35" s="772" t="s">
        <v>17</v>
      </c>
      <c r="S35" s="773">
        <f t="shared" si="12"/>
        <v>100</v>
      </c>
      <c r="T35" s="772" t="s">
        <v>17</v>
      </c>
      <c r="U35" s="773">
        <f t="shared" si="13"/>
        <v>100</v>
      </c>
      <c r="V35" s="772" t="s">
        <v>17</v>
      </c>
      <c r="W35" s="773">
        <f t="shared" si="14"/>
        <v>100</v>
      </c>
      <c r="X35" s="1814"/>
      <c r="Y35" s="3221" t="s">
        <v>2570</v>
      </c>
      <c r="Z35" s="1815" t="str">
        <f t="shared" si="15"/>
        <v>市政基础设施</v>
      </c>
      <c r="AA35" s="1812">
        <f t="shared" si="3"/>
        <v>1</v>
      </c>
      <c r="AB35" s="1812">
        <f t="shared" si="4"/>
        <v>1</v>
      </c>
      <c r="AC35" s="1812">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21"/>
      <c r="Q36" s="1811" t="str">
        <f t="shared" si="11"/>
        <v>内部装修</v>
      </c>
      <c r="R36" s="772" t="s">
        <v>17</v>
      </c>
      <c r="S36" s="773">
        <f t="shared" si="12"/>
        <v>100</v>
      </c>
      <c r="T36" s="772" t="s">
        <v>17</v>
      </c>
      <c r="U36" s="773">
        <f t="shared" si="13"/>
        <v>100</v>
      </c>
      <c r="V36" s="772" t="s">
        <v>17</v>
      </c>
      <c r="W36" s="773">
        <f t="shared" si="14"/>
        <v>100</v>
      </c>
      <c r="X36" s="1814"/>
      <c r="Y36" s="3221"/>
      <c r="Z36" s="1815" t="str">
        <f t="shared" si="15"/>
        <v>内部装修</v>
      </c>
      <c r="AA36" s="1812">
        <f t="shared" si="3"/>
        <v>1</v>
      </c>
      <c r="AB36" s="1812">
        <f t="shared" si="4"/>
        <v>1</v>
      </c>
      <c r="AC36" s="1812">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21"/>
      <c r="Q37" s="1811" t="str">
        <f t="shared" si="11"/>
        <v>内部装修状况</v>
      </c>
      <c r="R37" s="772" t="s">
        <v>17</v>
      </c>
      <c r="S37" s="773">
        <f t="shared" si="12"/>
        <v>100</v>
      </c>
      <c r="T37" s="772" t="s">
        <v>17</v>
      </c>
      <c r="U37" s="773">
        <f t="shared" si="13"/>
        <v>100</v>
      </c>
      <c r="V37" s="772" t="s">
        <v>17</v>
      </c>
      <c r="W37" s="773">
        <f t="shared" si="14"/>
        <v>100</v>
      </c>
      <c r="X37" s="1814"/>
      <c r="Y37" s="3221"/>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21"/>
      <c r="Q39" s="1811">
        <f t="shared" si="11"/>
        <v>111</v>
      </c>
      <c r="R39" s="772" t="s">
        <v>17</v>
      </c>
      <c r="S39" s="773">
        <f t="shared" si="12"/>
        <v>100</v>
      </c>
      <c r="T39" s="772" t="s">
        <v>17</v>
      </c>
      <c r="U39" s="773">
        <f t="shared" si="13"/>
        <v>100</v>
      </c>
      <c r="V39" s="772" t="s">
        <v>17</v>
      </c>
      <c r="W39" s="773">
        <f t="shared" si="14"/>
        <v>100</v>
      </c>
      <c r="X39" s="1814"/>
      <c r="Y39" s="3221"/>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22"/>
      <c r="Q40" s="1811">
        <f t="shared" si="11"/>
        <v>111</v>
      </c>
      <c r="R40" s="772" t="s">
        <v>17</v>
      </c>
      <c r="S40" s="773">
        <f t="shared" si="12"/>
        <v>100</v>
      </c>
      <c r="T40" s="772" t="s">
        <v>17</v>
      </c>
      <c r="U40" s="773">
        <f t="shared" si="13"/>
        <v>100</v>
      </c>
      <c r="V40" s="772" t="s">
        <v>17</v>
      </c>
      <c r="W40" s="773">
        <f t="shared" si="14"/>
        <v>100</v>
      </c>
      <c r="X40" s="1814"/>
      <c r="Y40" s="3222"/>
      <c r="Z40" s="1815">
        <f t="shared" si="15"/>
        <v>111</v>
      </c>
      <c r="AA40" s="1812">
        <f t="shared" si="3"/>
        <v>1</v>
      </c>
      <c r="AB40" s="1812">
        <f t="shared" si="4"/>
        <v>1</v>
      </c>
      <c r="AC40" s="1812">
        <f t="shared" si="5"/>
        <v>1</v>
      </c>
    </row>
    <row r="41" spans="1:29" ht="15">
      <c r="A41" s="477" t="s">
        <v>2582</v>
      </c>
      <c r="B41" s="478"/>
      <c r="C41" s="1408" t="s">
        <v>1</v>
      </c>
      <c r="D41" s="1409"/>
      <c r="E41" s="1410"/>
      <c r="F41" s="1411"/>
      <c r="G41" s="1412"/>
      <c r="H41" s="1413"/>
      <c r="I41" s="1410"/>
      <c r="J41" s="1413"/>
      <c r="K41" s="781"/>
      <c r="L41" s="1144"/>
      <c r="M41" s="1145"/>
      <c r="N41" s="1132"/>
      <c r="O41" s="1145"/>
      <c r="P41" s="3214" t="str">
        <f>A41</f>
        <v>成交单价（元/平方米）</v>
      </c>
      <c r="Q41" s="3214"/>
      <c r="R41" s="3215">
        <f>E41</f>
        <v>0</v>
      </c>
      <c r="S41" s="3215"/>
      <c r="T41" s="3215">
        <f>G41</f>
        <v>0</v>
      </c>
      <c r="U41" s="3215"/>
      <c r="V41" s="3215">
        <f>I41</f>
        <v>0</v>
      </c>
      <c r="W41" s="3215"/>
      <c r="X41" s="757"/>
      <c r="Y41" s="779"/>
      <c r="Z41" s="757"/>
      <c r="AA41" s="757"/>
      <c r="AB41" s="757"/>
      <c r="AC41" s="757"/>
    </row>
    <row r="42" spans="1:29" ht="15.75" thickBot="1">
      <c r="A42" s="484" t="s">
        <v>2674</v>
      </c>
      <c r="B42" s="485"/>
      <c r="C42" s="1414" t="e">
        <f>R43</f>
        <v>#DIV/0!</v>
      </c>
      <c r="D42" s="1415"/>
      <c r="E42" s="1416" t="e">
        <f>R42</f>
        <v>#DIV/0!</v>
      </c>
      <c r="F42" s="1416"/>
      <c r="G42" s="1414" t="e">
        <f>T42</f>
        <v>#DIV/0!</v>
      </c>
      <c r="H42" s="1415"/>
      <c r="I42" s="1416" t="e">
        <f>V42</f>
        <v>#DIV/0!</v>
      </c>
      <c r="J42" s="1415"/>
      <c r="K42" s="782"/>
      <c r="L42" s="1144"/>
      <c r="M42" s="1145"/>
      <c r="N42" s="1132"/>
      <c r="O42" s="1145"/>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7"/>
      <c r="Y42" s="757"/>
      <c r="Z42" s="757"/>
      <c r="AA42" s="757"/>
      <c r="AB42" s="757"/>
      <c r="AC42" s="757"/>
    </row>
    <row r="43" spans="1:29" ht="15.75" thickBot="1">
      <c r="A43" s="490" t="s">
        <v>2675</v>
      </c>
      <c r="B43" s="491"/>
      <c r="C43" s="1418" t="e">
        <f>R43</f>
        <v>#DIV/0!</v>
      </c>
      <c r="D43" s="1418"/>
      <c r="E43" s="1418"/>
      <c r="F43" s="1418"/>
      <c r="G43" s="1418"/>
      <c r="H43" s="1418"/>
      <c r="I43" s="1418"/>
      <c r="J43" s="1418"/>
      <c r="K43" s="783"/>
      <c r="L43" s="1144"/>
      <c r="M43" s="1145"/>
      <c r="N43" s="1145"/>
      <c r="O43" s="1145"/>
      <c r="P43" s="3211" t="str">
        <f>A43</f>
        <v>估价对象XX用房的比较价值（楼面单价，元/平方米）</v>
      </c>
      <c r="Q43" s="3212"/>
      <c r="R43" s="3213" t="e">
        <f>IF(F1="售价",ROUND(AVERAGE(R42:V42),0),ROUND(AVERAGE(R42:V42),1))</f>
        <v>#DIV/0!</v>
      </c>
      <c r="S43" s="3213"/>
      <c r="T43" s="3213"/>
      <c r="U43" s="3213"/>
      <c r="V43" s="3213"/>
      <c r="W43" s="3213"/>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2679</v>
      </c>
      <c r="B51" s="757"/>
      <c r="C51" s="762"/>
      <c r="D51" s="762"/>
      <c r="E51" s="762"/>
      <c r="F51" s="763"/>
      <c r="G51" s="763"/>
      <c r="H51" s="762"/>
      <c r="I51" s="762"/>
      <c r="J51" s="762"/>
      <c r="K51" s="1161"/>
      <c r="L51" s="1162"/>
      <c r="M51" s="1160"/>
      <c r="N51" s="1160"/>
      <c r="O51" s="1160"/>
      <c r="P51" s="501"/>
      <c r="Q51" s="502"/>
    </row>
    <row r="52" spans="1:17" s="506" customFormat="1" ht="15">
      <c r="A52" s="503" t="s">
        <v>2553</v>
      </c>
      <c r="B52" s="504"/>
      <c r="C52" s="1575" t="str">
        <f>YEAR(C7)&amp;"-"&amp;MONTH(C7)</f>
        <v>2018-10</v>
      </c>
      <c r="D52" s="1576">
        <f>EDATE(C52,-1)</f>
        <v>43344</v>
      </c>
      <c r="E52" s="1576">
        <f t="shared" ref="E52:O52" si="16">EDATE(D52,-1)</f>
        <v>43313</v>
      </c>
      <c r="F52" s="1576">
        <f t="shared" si="16"/>
        <v>43282</v>
      </c>
      <c r="G52" s="1576">
        <f t="shared" si="16"/>
        <v>43252</v>
      </c>
      <c r="H52" s="1576">
        <f t="shared" si="16"/>
        <v>43221</v>
      </c>
      <c r="I52" s="1576">
        <f t="shared" si="16"/>
        <v>43191</v>
      </c>
      <c r="J52" s="1576">
        <f t="shared" si="16"/>
        <v>43160</v>
      </c>
      <c r="K52" s="1576">
        <f t="shared" si="16"/>
        <v>43132</v>
      </c>
      <c r="L52" s="1576">
        <f t="shared" si="16"/>
        <v>43101</v>
      </c>
      <c r="M52" s="1576">
        <f t="shared" si="16"/>
        <v>43070</v>
      </c>
      <c r="N52" s="1576">
        <f t="shared" si="16"/>
        <v>43040</v>
      </c>
      <c r="O52" s="1576">
        <f t="shared" si="16"/>
        <v>43009</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2590</v>
      </c>
      <c r="B54" s="514"/>
      <c r="C54" s="515"/>
      <c r="D54" s="516"/>
      <c r="E54" s="516"/>
      <c r="F54" s="516"/>
      <c r="G54" s="516"/>
      <c r="H54" s="516"/>
      <c r="I54" s="516"/>
      <c r="J54" s="516"/>
      <c r="K54" s="516"/>
      <c r="L54" s="516"/>
      <c r="M54" s="517"/>
      <c r="N54" s="516"/>
      <c r="O54" s="518"/>
      <c r="P54" s="502"/>
      <c r="Q54" s="502"/>
    </row>
    <row r="55" spans="1:17" s="115" customFormat="1" ht="15">
      <c r="A55" s="519" t="s">
        <v>2555</v>
      </c>
      <c r="B55" s="508"/>
      <c r="C55" s="520" t="s">
        <v>2657</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2593</v>
      </c>
      <c r="B57" s="526" t="s">
        <v>2559</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2694</v>
      </c>
      <c r="C76" s="658" t="s">
        <v>2680</v>
      </c>
      <c r="D76" s="658" t="s">
        <v>2681</v>
      </c>
      <c r="E76" s="658" t="s">
        <v>2682</v>
      </c>
      <c r="F76" s="658" t="s">
        <v>2683</v>
      </c>
      <c r="G76" s="658" t="s">
        <v>2684</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2568</v>
      </c>
      <c r="B88" s="526" t="s">
        <v>2617</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2619</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2621</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2622</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2623</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2625</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2711</v>
      </c>
      <c r="C106" s="576" t="s">
        <v>2602</v>
      </c>
      <c r="D106" s="576" t="s">
        <v>2603</v>
      </c>
      <c r="E106" s="576" t="s">
        <v>2604</v>
      </c>
      <c r="F106" s="576" t="s">
        <v>2605</v>
      </c>
      <c r="G106" s="576" t="s">
        <v>2606</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受贵公司委托，我公司对北京市大兴区黄村镇兴华园8号楼-1至7层8-1房地产市场价值进行了预评估。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估价对象为北京市大兴区黄村镇兴华园8号楼-1至7层8-1房地产，为所有。根据《国有土地使用证》[]，估价对象（分摊）出让国有建设用地使用权面积为731.02平方米，建筑面积为4983.72平方米。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园8号楼-1至7层8-1房地产,属开发建设的，该项目尚在开发建设中。根据《国有土地使用证》[]，估价对象（分摊）出让国有建设用地使用权面积为731.02平方米，规划建筑面积为4983.72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2018年10月25日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2712</v>
      </c>
      <c r="B1" s="1620"/>
      <c r="C1" s="1621" t="s">
        <v>2535</v>
      </c>
      <c r="D1" s="1622"/>
      <c r="E1" s="1623"/>
      <c r="F1" s="2587"/>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2332</v>
      </c>
      <c r="B2" s="1419" t="e">
        <f ca="1">IF(C2="——",IF(B37="元/平方米",ROUND(C39*D3/10000,0),ROUND(F3*C39/10000,0)),IF(B37="元/平方米",ROUND(C39*D3/10000,0),ROUND(F3*C39/10000,0))-D2)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27" t="s">
        <v>2653</v>
      </c>
      <c r="AC4" s="3226" t="s">
        <v>2654</v>
      </c>
    </row>
    <row r="5" spans="1:29"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27"/>
      <c r="AC5" s="3227"/>
    </row>
    <row r="6" spans="1:29" ht="15.75" thickBot="1">
      <c r="A6" s="404"/>
      <c r="B6" s="405"/>
      <c r="C6" s="3246" t="s">
        <v>2551</v>
      </c>
      <c r="D6" s="3247"/>
      <c r="E6" s="3253" t="s">
        <v>2551</v>
      </c>
      <c r="F6" s="3254"/>
      <c r="G6" s="3246" t="s">
        <v>2551</v>
      </c>
      <c r="H6" s="3247"/>
      <c r="I6" s="3246" t="s">
        <v>2551</v>
      </c>
      <c r="J6" s="3247"/>
      <c r="K6" s="608" t="s">
        <v>2552</v>
      </c>
      <c r="L6" s="1131"/>
      <c r="M6" s="1132"/>
      <c r="N6" s="1132"/>
      <c r="O6" s="1132"/>
      <c r="P6" s="3237"/>
      <c r="Q6" s="3238"/>
      <c r="R6" s="3241"/>
      <c r="S6" s="3242"/>
      <c r="T6" s="3243"/>
      <c r="U6" s="3244"/>
      <c r="V6" s="3245"/>
      <c r="W6" s="3245"/>
      <c r="X6" s="1814"/>
      <c r="Y6" s="3243"/>
      <c r="Z6" s="3244"/>
      <c r="AA6" s="3228"/>
      <c r="AB6" s="3228"/>
      <c r="AC6" s="3228"/>
    </row>
    <row r="7" spans="1:29" s="115" customFormat="1" ht="15.75" thickBot="1">
      <c r="A7" s="406" t="s">
        <v>2553</v>
      </c>
      <c r="B7" s="407"/>
      <c r="C7" s="408">
        <f>'数据-取费表'!B2</f>
        <v>43398</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50" t="s">
        <v>2554</v>
      </c>
      <c r="Q7" s="3252"/>
      <c r="R7" s="768" t="s">
        <v>17</v>
      </c>
      <c r="S7" s="769">
        <f t="shared" ref="S7:S14" si="0">F7</f>
        <v>0</v>
      </c>
      <c r="T7" s="768" t="s">
        <v>17</v>
      </c>
      <c r="U7" s="769">
        <f t="shared" ref="U7:U14" si="1">H7</f>
        <v>0</v>
      </c>
      <c r="V7" s="768" t="s">
        <v>17</v>
      </c>
      <c r="W7" s="769">
        <f t="shared" ref="W7:W14" si="2">J7</f>
        <v>0</v>
      </c>
      <c r="X7" s="770"/>
      <c r="Y7" s="3250" t="s">
        <v>2554</v>
      </c>
      <c r="Z7" s="3251"/>
      <c r="AA7" s="771" t="e">
        <f>D7/F7</f>
        <v>#DIV/0!</v>
      </c>
      <c r="AB7" s="771" t="e">
        <f>D7/H7</f>
        <v>#DIV/0!</v>
      </c>
      <c r="AC7" s="771" t="e">
        <f>D7/J7</f>
        <v>#DIV/0!</v>
      </c>
    </row>
    <row r="8" spans="1:29" s="115"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36" si="3">D8/F8</f>
        <v>#DIV/0!</v>
      </c>
      <c r="AB8" s="771" t="e">
        <f t="shared" ref="AB8:AB36" si="4">D8/H8</f>
        <v>#DIV/0!</v>
      </c>
      <c r="AC8" s="771" t="e">
        <f t="shared" ref="AC8:AC36" si="5">D8/J8</f>
        <v>#DIV/0!</v>
      </c>
    </row>
    <row r="9" spans="1:29" s="115" customFormat="1">
      <c r="A9" s="66" t="s">
        <v>2558</v>
      </c>
      <c r="B9" s="638" t="s">
        <v>2559</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14" t="s">
        <v>2560</v>
      </c>
      <c r="Q9" s="1796" t="str">
        <f t="shared" ref="Q9:Q14" si="6">B9</f>
        <v>用途</v>
      </c>
      <c r="R9" s="768" t="s">
        <v>17</v>
      </c>
      <c r="S9" s="769">
        <f t="shared" si="0"/>
        <v>100</v>
      </c>
      <c r="T9" s="768" t="s">
        <v>17</v>
      </c>
      <c r="U9" s="769">
        <f t="shared" si="1"/>
        <v>100</v>
      </c>
      <c r="V9" s="768" t="s">
        <v>17</v>
      </c>
      <c r="W9" s="769">
        <f t="shared" si="2"/>
        <v>100</v>
      </c>
      <c r="X9" s="770"/>
      <c r="Y9" s="3039" t="s">
        <v>2561</v>
      </c>
      <c r="Z9" s="55" t="str">
        <f t="shared" ref="Z9:Z14" si="7">Q9</f>
        <v>用途</v>
      </c>
      <c r="AA9" s="771">
        <f t="shared" si="3"/>
        <v>1</v>
      </c>
      <c r="AB9" s="771">
        <f t="shared" si="4"/>
        <v>1</v>
      </c>
      <c r="AC9" s="771">
        <f t="shared" si="5"/>
        <v>1</v>
      </c>
    </row>
    <row r="10" spans="1:29" s="425" customFormat="1" ht="27">
      <c r="A10" s="639"/>
      <c r="B10" s="640" t="s">
        <v>2562</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14"/>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14"/>
      <c r="Q11" s="1796">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14"/>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14"/>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85.5">
      <c r="A14" s="399" t="s">
        <v>2564</v>
      </c>
      <c r="B14" s="627" t="s">
        <v>2714</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16" t="s">
        <v>2565</v>
      </c>
      <c r="Q14" s="1811" t="str">
        <f t="shared" si="6"/>
        <v>交通便捷度</v>
      </c>
      <c r="R14" s="772" t="s">
        <v>17</v>
      </c>
      <c r="S14" s="773">
        <f t="shared" si="0"/>
        <v>100</v>
      </c>
      <c r="T14" s="772" t="s">
        <v>17</v>
      </c>
      <c r="U14" s="773">
        <f t="shared" si="1"/>
        <v>100</v>
      </c>
      <c r="V14" s="772" t="s">
        <v>17</v>
      </c>
      <c r="W14" s="773">
        <f t="shared" si="2"/>
        <v>100</v>
      </c>
      <c r="X14" s="1814"/>
      <c r="Y14" s="3216" t="s">
        <v>2565</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17"/>
      <c r="Q15" s="1811"/>
      <c r="R15" s="772"/>
      <c r="S15" s="773"/>
      <c r="T15" s="772"/>
      <c r="U15" s="773"/>
      <c r="V15" s="772"/>
      <c r="W15" s="773"/>
      <c r="X15" s="1814"/>
      <c r="Y15" s="3217"/>
      <c r="Z15" s="1815"/>
      <c r="AA15" s="1812">
        <v>1</v>
      </c>
      <c r="AB15" s="1812">
        <v>1</v>
      </c>
      <c r="AC15" s="1812">
        <v>1</v>
      </c>
    </row>
    <row r="16" spans="1:29" ht="42.75">
      <c r="A16" s="402"/>
      <c r="B16" s="629" t="s">
        <v>2693</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17"/>
      <c r="Q16" s="1811" t="str">
        <f>B16</f>
        <v>公共配套设施</v>
      </c>
      <c r="R16" s="772" t="s">
        <v>17</v>
      </c>
      <c r="S16" s="773">
        <f>F16</f>
        <v>100</v>
      </c>
      <c r="T16" s="772" t="s">
        <v>17</v>
      </c>
      <c r="U16" s="773">
        <f>H16</f>
        <v>100</v>
      </c>
      <c r="V16" s="772" t="s">
        <v>17</v>
      </c>
      <c r="W16" s="773">
        <f>J16</f>
        <v>100</v>
      </c>
      <c r="X16" s="1814"/>
      <c r="Y16" s="3217"/>
      <c r="Z16" s="1815" t="str">
        <f>Q16</f>
        <v>公共配套设施</v>
      </c>
      <c r="AA16" s="1812">
        <f t="shared" si="3"/>
        <v>1</v>
      </c>
      <c r="AB16" s="1812">
        <f t="shared" si="4"/>
        <v>1</v>
      </c>
      <c r="AC16" s="1812">
        <f t="shared" si="5"/>
        <v>1</v>
      </c>
    </row>
    <row r="17" spans="1:29" ht="15">
      <c r="A17" s="402"/>
      <c r="B17" s="630"/>
      <c r="C17" s="2611"/>
      <c r="D17" s="446"/>
      <c r="E17" s="445"/>
      <c r="F17" s="447"/>
      <c r="G17" s="445"/>
      <c r="H17" s="446"/>
      <c r="I17" s="445"/>
      <c r="J17" s="446"/>
      <c r="K17" s="613"/>
      <c r="L17" s="1141"/>
      <c r="M17" s="1132"/>
      <c r="N17" s="1132"/>
      <c r="O17" s="1132"/>
      <c r="P17" s="3217"/>
      <c r="Q17" s="1811"/>
      <c r="R17" s="772"/>
      <c r="S17" s="773"/>
      <c r="T17" s="772"/>
      <c r="U17" s="773"/>
      <c r="V17" s="772"/>
      <c r="W17" s="773"/>
      <c r="X17" s="1814"/>
      <c r="Y17" s="3217"/>
      <c r="Z17" s="1815"/>
      <c r="AA17" s="1812">
        <v>1</v>
      </c>
      <c r="AB17" s="1812">
        <v>1</v>
      </c>
      <c r="AC17" s="1812">
        <v>1</v>
      </c>
    </row>
    <row r="18" spans="1:29" ht="28.5">
      <c r="A18" s="402"/>
      <c r="B18" s="631" t="s">
        <v>2694</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17"/>
      <c r="Q18" s="1811" t="str">
        <f>B18</f>
        <v>基础设施水平</v>
      </c>
      <c r="R18" s="772" t="s">
        <v>17</v>
      </c>
      <c r="S18" s="773">
        <f>F18</f>
        <v>100</v>
      </c>
      <c r="T18" s="772" t="s">
        <v>17</v>
      </c>
      <c r="U18" s="773">
        <f>H18</f>
        <v>100</v>
      </c>
      <c r="V18" s="772" t="s">
        <v>17</v>
      </c>
      <c r="W18" s="773">
        <f>J18</f>
        <v>100</v>
      </c>
      <c r="X18" s="1814"/>
      <c r="Y18" s="3217"/>
      <c r="Z18" s="1815" t="str">
        <f>Q18</f>
        <v>基础设施水平</v>
      </c>
      <c r="AA18" s="1812">
        <f t="shared" ref="AA18" si="8">D18/F18</f>
        <v>1</v>
      </c>
      <c r="AB18" s="1812">
        <f t="shared" ref="AB18" si="9">D18/H18</f>
        <v>1</v>
      </c>
      <c r="AC18" s="1812">
        <f t="shared" ref="AC18" si="10">D18/J18</f>
        <v>1</v>
      </c>
    </row>
    <row r="19" spans="1:29" ht="15">
      <c r="A19" s="402"/>
      <c r="B19" s="631"/>
      <c r="C19" s="2611"/>
      <c r="D19" s="448"/>
      <c r="E19" s="2611"/>
      <c r="F19" s="451"/>
      <c r="G19" s="2611"/>
      <c r="H19" s="446"/>
      <c r="I19" s="445"/>
      <c r="J19" s="446"/>
      <c r="K19" s="1384"/>
      <c r="L19" s="1141"/>
      <c r="M19" s="1132"/>
      <c r="N19" s="1132"/>
      <c r="O19" s="1132"/>
      <c r="P19" s="3217"/>
      <c r="Q19" s="1811"/>
      <c r="R19" s="772"/>
      <c r="S19" s="773"/>
      <c r="T19" s="772"/>
      <c r="U19" s="773"/>
      <c r="V19" s="772"/>
      <c r="W19" s="773"/>
      <c r="X19" s="1814"/>
      <c r="Y19" s="3217"/>
      <c r="Z19" s="1815"/>
      <c r="AA19" s="1812">
        <v>1</v>
      </c>
      <c r="AB19" s="1812">
        <v>1</v>
      </c>
      <c r="AC19" s="1812">
        <v>1</v>
      </c>
    </row>
    <row r="20" spans="1:29" ht="57">
      <c r="A20" s="402"/>
      <c r="B20" s="629" t="s">
        <v>2715</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17"/>
      <c r="Q20" s="1811" t="str">
        <f>B20</f>
        <v>自然及人文环境</v>
      </c>
      <c r="R20" s="772" t="s">
        <v>17</v>
      </c>
      <c r="S20" s="773">
        <f>F20</f>
        <v>100</v>
      </c>
      <c r="T20" s="772" t="s">
        <v>17</v>
      </c>
      <c r="U20" s="773">
        <f>H20</f>
        <v>100</v>
      </c>
      <c r="V20" s="772" t="s">
        <v>17</v>
      </c>
      <c r="W20" s="773">
        <f>J20</f>
        <v>100</v>
      </c>
      <c r="X20" s="1814"/>
      <c r="Y20" s="3217"/>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17"/>
      <c r="Q21" s="1811"/>
      <c r="R21" s="772"/>
      <c r="S21" s="773"/>
      <c r="T21" s="772"/>
      <c r="U21" s="773"/>
      <c r="V21" s="772"/>
      <c r="W21" s="773"/>
      <c r="X21" s="1814"/>
      <c r="Y21" s="3217"/>
      <c r="Z21" s="1815"/>
      <c r="AA21" s="1812">
        <v>1</v>
      </c>
      <c r="AB21" s="1812">
        <v>1</v>
      </c>
      <c r="AC21" s="1812">
        <v>1</v>
      </c>
    </row>
    <row r="22" spans="1:29" ht="15">
      <c r="A22" s="402"/>
      <c r="B22" s="629" t="s">
        <v>2716</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17"/>
      <c r="Q22" s="1811" t="str">
        <f>B22</f>
        <v>楼层</v>
      </c>
      <c r="R22" s="772" t="s">
        <v>17</v>
      </c>
      <c r="S22" s="773">
        <f>F22</f>
        <v>100</v>
      </c>
      <c r="T22" s="772" t="s">
        <v>17</v>
      </c>
      <c r="U22" s="773">
        <f>H22</f>
        <v>100</v>
      </c>
      <c r="V22" s="772" t="s">
        <v>17</v>
      </c>
      <c r="W22" s="773">
        <f>J22</f>
        <v>100</v>
      </c>
      <c r="X22" s="1814"/>
      <c r="Y22" s="3217"/>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17"/>
      <c r="Q23" s="1811">
        <f>B23</f>
        <v>111</v>
      </c>
      <c r="R23" s="772" t="s">
        <v>17</v>
      </c>
      <c r="S23" s="773">
        <f>F23</f>
        <v>100</v>
      </c>
      <c r="T23" s="772" t="s">
        <v>17</v>
      </c>
      <c r="U23" s="773">
        <f>H23</f>
        <v>100</v>
      </c>
      <c r="V23" s="772" t="s">
        <v>17</v>
      </c>
      <c r="W23" s="773">
        <f>J23</f>
        <v>100</v>
      </c>
      <c r="X23" s="1814"/>
      <c r="Y23" s="3217"/>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17"/>
      <c r="Q24" s="1811">
        <f t="shared" ref="Q24:Q36" si="11">B24</f>
        <v>111</v>
      </c>
      <c r="R24" s="772" t="s">
        <v>17</v>
      </c>
      <c r="S24" s="773">
        <f>F24</f>
        <v>100</v>
      </c>
      <c r="T24" s="772" t="s">
        <v>17</v>
      </c>
      <c r="U24" s="773">
        <f>H24</f>
        <v>100</v>
      </c>
      <c r="V24" s="772" t="s">
        <v>17</v>
      </c>
      <c r="W24" s="773">
        <f>J24</f>
        <v>100</v>
      </c>
      <c r="X24" s="1814"/>
      <c r="Y24" s="3217"/>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17"/>
      <c r="Q25" s="1796">
        <f t="shared" si="11"/>
        <v>111</v>
      </c>
      <c r="R25" s="768" t="s">
        <v>17</v>
      </c>
      <c r="S25" s="769">
        <f>F25</f>
        <v>100</v>
      </c>
      <c r="T25" s="768" t="s">
        <v>17</v>
      </c>
      <c r="U25" s="769">
        <f>H25</f>
        <v>100</v>
      </c>
      <c r="V25" s="768" t="s">
        <v>17</v>
      </c>
      <c r="W25" s="769">
        <f>J25</f>
        <v>100</v>
      </c>
      <c r="X25" s="770"/>
      <c r="Y25" s="3217"/>
      <c r="Z25" s="55">
        <f>Q25</f>
        <v>111</v>
      </c>
      <c r="AA25" s="1812">
        <f>D25/F25</f>
        <v>1</v>
      </c>
      <c r="AB25" s="1812">
        <f>D25/H25</f>
        <v>1</v>
      </c>
      <c r="AC25" s="1812">
        <f>D25/J25</f>
        <v>1</v>
      </c>
    </row>
    <row r="26" spans="1:29" ht="29.25">
      <c r="A26" s="650" t="s">
        <v>2568</v>
      </c>
      <c r="B26" s="68" t="s">
        <v>2717</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72" t="s">
        <v>2570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21" t="s">
        <v>2570</v>
      </c>
      <c r="Z26" s="1815" t="str">
        <f t="shared" ref="Z26:Z36" si="15">Q26</f>
        <v>配套类型</v>
      </c>
      <c r="AA26" s="1812">
        <f t="shared" si="3"/>
        <v>1</v>
      </c>
      <c r="AB26" s="1812">
        <f t="shared" si="4"/>
        <v>1</v>
      </c>
      <c r="AC26" s="1812">
        <f t="shared" si="5"/>
        <v>1</v>
      </c>
    </row>
    <row r="27" spans="1:29" s="469" customFormat="1" ht="15">
      <c r="A27" s="651"/>
      <c r="B27" s="652" t="s">
        <v>2718</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12">
        <f t="shared" si="3"/>
        <v>1</v>
      </c>
      <c r="AB27" s="1812">
        <f t="shared" si="4"/>
        <v>1</v>
      </c>
      <c r="AC27" s="1812">
        <f t="shared" si="5"/>
        <v>1</v>
      </c>
    </row>
    <row r="28" spans="1:29" ht="15">
      <c r="A28" s="654"/>
      <c r="B28" s="652" t="s">
        <v>2719</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21"/>
      <c r="Q28" s="1811" t="str">
        <f t="shared" si="11"/>
        <v>公共部分装修</v>
      </c>
      <c r="R28" s="772" t="s">
        <v>17</v>
      </c>
      <c r="S28" s="773">
        <f t="shared" si="12"/>
        <v>100</v>
      </c>
      <c r="T28" s="772" t="s">
        <v>17</v>
      </c>
      <c r="U28" s="773">
        <f t="shared" si="13"/>
        <v>100</v>
      </c>
      <c r="V28" s="772" t="s">
        <v>17</v>
      </c>
      <c r="W28" s="773">
        <f t="shared" si="14"/>
        <v>100</v>
      </c>
      <c r="X28" s="1814"/>
      <c r="Y28" s="3221"/>
      <c r="Z28" s="1815" t="str">
        <f t="shared" si="15"/>
        <v>公共部分装修</v>
      </c>
      <c r="AA28" s="1812">
        <f t="shared" si="3"/>
        <v>1</v>
      </c>
      <c r="AB28" s="1812">
        <f t="shared" si="4"/>
        <v>1</v>
      </c>
      <c r="AC28" s="1812">
        <f t="shared" si="5"/>
        <v>1</v>
      </c>
    </row>
    <row r="29" spans="1:29" ht="15">
      <c r="A29" s="654"/>
      <c r="B29" s="652"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21"/>
      <c r="Q29" s="1811" t="str">
        <f t="shared" si="11"/>
        <v>成新率</v>
      </c>
      <c r="R29" s="772" t="s">
        <v>17</v>
      </c>
      <c r="S29" s="773" t="e">
        <f t="shared" si="12"/>
        <v>#N/A</v>
      </c>
      <c r="T29" s="772" t="s">
        <v>17</v>
      </c>
      <c r="U29" s="773" t="e">
        <f t="shared" si="13"/>
        <v>#N/A</v>
      </c>
      <c r="V29" s="772" t="s">
        <v>17</v>
      </c>
      <c r="W29" s="773" t="e">
        <f t="shared" si="14"/>
        <v>#N/A</v>
      </c>
      <c r="X29" s="1814"/>
      <c r="Y29" s="3221"/>
      <c r="Z29" s="1815" t="str">
        <f t="shared" si="15"/>
        <v>成新率</v>
      </c>
      <c r="AA29" s="1812" t="e">
        <f t="shared" si="3"/>
        <v>#N/A</v>
      </c>
      <c r="AB29" s="1812" t="e">
        <f t="shared" si="4"/>
        <v>#N/A</v>
      </c>
      <c r="AC29" s="1812" t="e">
        <f t="shared" si="5"/>
        <v>#N/A</v>
      </c>
    </row>
    <row r="30" spans="1:29" ht="15">
      <c r="A30" s="654"/>
      <c r="B30" s="652" t="s">
        <v>2721</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21"/>
      <c r="Q30" s="1811" t="str">
        <f t="shared" si="11"/>
        <v>物业等级</v>
      </c>
      <c r="R30" s="772" t="s">
        <v>17</v>
      </c>
      <c r="S30" s="773">
        <f t="shared" si="12"/>
        <v>100</v>
      </c>
      <c r="T30" s="772" t="s">
        <v>17</v>
      </c>
      <c r="U30" s="773">
        <f t="shared" si="13"/>
        <v>100</v>
      </c>
      <c r="V30" s="772" t="s">
        <v>17</v>
      </c>
      <c r="W30" s="773">
        <f t="shared" si="14"/>
        <v>100</v>
      </c>
      <c r="X30" s="1814"/>
      <c r="Y30" s="3221"/>
      <c r="Z30" s="1815" t="str">
        <f t="shared" si="15"/>
        <v>物业等级</v>
      </c>
      <c r="AA30" s="1812">
        <f t="shared" si="3"/>
        <v>1</v>
      </c>
      <c r="AB30" s="1812">
        <f t="shared" si="4"/>
        <v>1</v>
      </c>
      <c r="AC30" s="1812">
        <f t="shared" si="5"/>
        <v>1</v>
      </c>
    </row>
    <row r="31" spans="1:29" s="115" customFormat="1" ht="15">
      <c r="A31" s="656"/>
      <c r="B31" s="652"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21"/>
      <c r="Q31" s="1796" t="str">
        <f t="shared" si="11"/>
        <v>停车位面积</v>
      </c>
      <c r="R31" s="768" t="s">
        <v>17</v>
      </c>
      <c r="S31" s="769" t="e">
        <f t="shared" si="12"/>
        <v>#N/A</v>
      </c>
      <c r="T31" s="768" t="s">
        <v>17</v>
      </c>
      <c r="U31" s="769" t="e">
        <f t="shared" si="13"/>
        <v>#N/A</v>
      </c>
      <c r="V31" s="768" t="s">
        <v>17</v>
      </c>
      <c r="W31" s="769" t="e">
        <f t="shared" si="14"/>
        <v>#N/A</v>
      </c>
      <c r="X31" s="770"/>
      <c r="Y31" s="3221"/>
      <c r="Z31" s="55" t="str">
        <f t="shared" si="15"/>
        <v>停车位面积</v>
      </c>
      <c r="AA31" s="771" t="e">
        <f t="shared" si="3"/>
        <v>#N/A</v>
      </c>
      <c r="AB31" s="771" t="e">
        <f t="shared" si="4"/>
        <v>#N/A</v>
      </c>
      <c r="AC31" s="771" t="e">
        <f t="shared" si="5"/>
        <v>#N/A</v>
      </c>
    </row>
    <row r="32" spans="1:29" ht="15">
      <c r="A32" s="654"/>
      <c r="B32" s="652" t="s">
        <v>2723</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21" t="s">
        <v>2570</v>
      </c>
      <c r="Q32" s="1811" t="str">
        <f t="shared" si="11"/>
        <v>车位类型</v>
      </c>
      <c r="R32" s="772" t="s">
        <v>17</v>
      </c>
      <c r="S32" s="773">
        <f t="shared" si="12"/>
        <v>100</v>
      </c>
      <c r="T32" s="772" t="s">
        <v>17</v>
      </c>
      <c r="U32" s="773">
        <f t="shared" si="13"/>
        <v>100</v>
      </c>
      <c r="V32" s="772" t="s">
        <v>17</v>
      </c>
      <c r="W32" s="773">
        <f t="shared" si="14"/>
        <v>100</v>
      </c>
      <c r="X32" s="1814"/>
      <c r="Y32" s="3221" t="s">
        <v>2570</v>
      </c>
      <c r="Z32" s="1815" t="str">
        <f t="shared" si="15"/>
        <v>车位类型</v>
      </c>
      <c r="AA32" s="1812">
        <f t="shared" si="3"/>
        <v>1</v>
      </c>
      <c r="AB32" s="1812">
        <f t="shared" si="4"/>
        <v>1</v>
      </c>
      <c r="AC32" s="1812">
        <f t="shared" si="5"/>
        <v>1</v>
      </c>
    </row>
    <row r="33" spans="1:29" ht="15">
      <c r="A33" s="654"/>
      <c r="B33" s="652" t="s">
        <v>2724</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21"/>
      <c r="Q33" s="1811" t="str">
        <f t="shared" si="11"/>
        <v>是否直接入户</v>
      </c>
      <c r="R33" s="772" t="s">
        <v>17</v>
      </c>
      <c r="S33" s="773">
        <f t="shared" si="12"/>
        <v>100</v>
      </c>
      <c r="T33" s="772" t="s">
        <v>17</v>
      </c>
      <c r="U33" s="773">
        <f t="shared" si="13"/>
        <v>100</v>
      </c>
      <c r="V33" s="772" t="s">
        <v>17</v>
      </c>
      <c r="W33" s="773">
        <f t="shared" si="14"/>
        <v>100</v>
      </c>
      <c r="X33" s="1814"/>
      <c r="Y33" s="3221"/>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21"/>
      <c r="Q34" s="1811">
        <f t="shared" si="11"/>
        <v>111</v>
      </c>
      <c r="R34" s="772" t="s">
        <v>17</v>
      </c>
      <c r="S34" s="773">
        <f t="shared" si="12"/>
        <v>100</v>
      </c>
      <c r="T34" s="772" t="s">
        <v>17</v>
      </c>
      <c r="U34" s="773">
        <f t="shared" si="13"/>
        <v>100</v>
      </c>
      <c r="V34" s="772" t="s">
        <v>17</v>
      </c>
      <c r="W34" s="773">
        <f t="shared" si="14"/>
        <v>100</v>
      </c>
      <c r="X34" s="1814"/>
      <c r="Y34" s="3221"/>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21"/>
      <c r="Q36" s="1811">
        <f t="shared" si="11"/>
        <v>111</v>
      </c>
      <c r="R36" s="772" t="s">
        <v>17</v>
      </c>
      <c r="S36" s="773">
        <f t="shared" si="12"/>
        <v>100</v>
      </c>
      <c r="T36" s="772" t="s">
        <v>17</v>
      </c>
      <c r="U36" s="773">
        <f t="shared" si="13"/>
        <v>100</v>
      </c>
      <c r="V36" s="772" t="s">
        <v>17</v>
      </c>
      <c r="W36" s="773">
        <f t="shared" si="14"/>
        <v>100</v>
      </c>
      <c r="X36" s="1814"/>
      <c r="Y36" s="3221"/>
      <c r="Z36" s="1815">
        <f t="shared" si="15"/>
        <v>111</v>
      </c>
      <c r="AA36" s="1812">
        <f t="shared" si="3"/>
        <v>1</v>
      </c>
      <c r="AB36" s="1812">
        <f t="shared" si="4"/>
        <v>1</v>
      </c>
      <c r="AC36" s="1812">
        <f t="shared" si="5"/>
        <v>1</v>
      </c>
    </row>
    <row r="37" spans="1:29" ht="15">
      <c r="A37" s="477" t="s">
        <v>2725</v>
      </c>
      <c r="B37" s="2698" t="s">
        <v>2726</v>
      </c>
      <c r="C37" s="1408" t="s">
        <v>1</v>
      </c>
      <c r="D37" s="1409"/>
      <c r="E37" s="1410"/>
      <c r="F37" s="1411"/>
      <c r="G37" s="1412"/>
      <c r="H37" s="1413"/>
      <c r="I37" s="1410"/>
      <c r="J37" s="1413"/>
      <c r="K37" s="617"/>
      <c r="L37" s="1144"/>
      <c r="M37" s="1145"/>
      <c r="N37" s="1132"/>
      <c r="O37" s="1145"/>
      <c r="P37" s="3214" t="str">
        <f>A37</f>
        <v>成交单价</v>
      </c>
      <c r="Q37" s="3214"/>
      <c r="R37" s="3215">
        <f>E37</f>
        <v>0</v>
      </c>
      <c r="S37" s="3215"/>
      <c r="T37" s="3215">
        <f>G37</f>
        <v>0</v>
      </c>
      <c r="U37" s="3215"/>
      <c r="V37" s="3215">
        <f>I37</f>
        <v>0</v>
      </c>
      <c r="W37" s="3215"/>
      <c r="X37" s="757"/>
      <c r="Y37" s="779"/>
      <c r="Z37" s="757"/>
      <c r="AA37" s="757"/>
      <c r="AB37" s="757"/>
      <c r="AC37" s="757"/>
    </row>
    <row r="38" spans="1:29" ht="15.75" thickBot="1">
      <c r="A38" s="484" t="s">
        <v>2727</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7"/>
      <c r="Y38" s="757"/>
      <c r="Z38" s="757"/>
      <c r="AA38" s="757"/>
      <c r="AB38" s="757"/>
      <c r="AC38" s="757"/>
    </row>
    <row r="39" spans="1:29" ht="15.75" thickBot="1">
      <c r="A39" s="490" t="s">
        <v>2728</v>
      </c>
      <c r="B39" s="491"/>
      <c r="C39" s="1418" t="e">
        <f>R39</f>
        <v>#DIV/0!</v>
      </c>
      <c r="D39" s="1418"/>
      <c r="E39" s="1418"/>
      <c r="F39" s="1418"/>
      <c r="G39" s="1418"/>
      <c r="H39" s="1418"/>
      <c r="I39" s="1418"/>
      <c r="J39" s="1418"/>
      <c r="K39" s="619"/>
      <c r="L39" s="1144"/>
      <c r="M39" s="1145"/>
      <c r="N39" s="1145"/>
      <c r="O39" s="1145"/>
      <c r="P39" s="3211" t="str">
        <f>A39</f>
        <v>估价对象XX用房的比较价值（楼面单价，元/平方米）</v>
      </c>
      <c r="Q39" s="3212"/>
      <c r="R39" s="3213" t="e">
        <f>IF(F1="售价",ROUND(AVERAGE(R38:V38),0),ROUND(AVERAGE(R38:V38),1))</f>
        <v>#DIV/0!</v>
      </c>
      <c r="S39" s="3213"/>
      <c r="T39" s="3213"/>
      <c r="U39" s="3213"/>
      <c r="V39" s="3213"/>
      <c r="W39" s="3213"/>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2733</v>
      </c>
      <c r="B48" s="504"/>
      <c r="C48" s="1575" t="str">
        <f>YEAR(C7)&amp;"-"&amp;MONTH(C7)</f>
        <v>2018-10</v>
      </c>
      <c r="D48" s="1576">
        <f>EDATE(C48,-1)</f>
        <v>43344</v>
      </c>
      <c r="E48" s="1576">
        <f t="shared" ref="E48:O48" si="16">EDATE(D48,-1)</f>
        <v>43313</v>
      </c>
      <c r="F48" s="1576">
        <f t="shared" si="16"/>
        <v>43282</v>
      </c>
      <c r="G48" s="1576">
        <f t="shared" si="16"/>
        <v>43252</v>
      </c>
      <c r="H48" s="1576">
        <f t="shared" si="16"/>
        <v>43221</v>
      </c>
      <c r="I48" s="1576">
        <f t="shared" si="16"/>
        <v>43191</v>
      </c>
      <c r="J48" s="1576">
        <f t="shared" si="16"/>
        <v>43160</v>
      </c>
      <c r="K48" s="1576">
        <f t="shared" si="16"/>
        <v>43132</v>
      </c>
      <c r="L48" s="1576">
        <f t="shared" si="16"/>
        <v>43101</v>
      </c>
      <c r="M48" s="1576">
        <f t="shared" si="16"/>
        <v>43070</v>
      </c>
      <c r="N48" s="1576">
        <f t="shared" si="16"/>
        <v>43040</v>
      </c>
      <c r="O48" s="1576">
        <f t="shared" si="16"/>
        <v>43009</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2590</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2555</v>
      </c>
      <c r="B51" s="508"/>
      <c r="C51" s="520" t="s">
        <v>2657</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2593</v>
      </c>
      <c r="B53" s="526" t="s">
        <v>2559</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2608</v>
      </c>
      <c r="C65" s="576" t="s">
        <v>2602</v>
      </c>
      <c r="D65" s="576" t="s">
        <v>2603</v>
      </c>
      <c r="E65" s="576" t="s">
        <v>2604</v>
      </c>
      <c r="F65" s="576" t="s">
        <v>2605</v>
      </c>
      <c r="G65" s="576" t="s">
        <v>2606</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2694</v>
      </c>
      <c r="C67" s="658" t="s">
        <v>2680</v>
      </c>
      <c r="D67" s="658" t="s">
        <v>2681</v>
      </c>
      <c r="E67" s="658" t="s">
        <v>2682</v>
      </c>
      <c r="F67" s="658" t="s">
        <v>2683</v>
      </c>
      <c r="G67" s="658" t="s">
        <v>2684</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2614</v>
      </c>
      <c r="C69" s="576" t="s">
        <v>2602</v>
      </c>
      <c r="D69" s="576" t="s">
        <v>2603</v>
      </c>
      <c r="E69" s="576" t="s">
        <v>2604</v>
      </c>
      <c r="F69" s="576" t="s">
        <v>2605</v>
      </c>
      <c r="G69" s="576" t="s">
        <v>2606</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2734</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2568</v>
      </c>
      <c r="B79" s="526" t="s">
        <v>2735</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2736</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2621</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2738</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2740</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2741</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2712</v>
      </c>
      <c r="B1" s="1620"/>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IF(C2="——",ROUND(C37*D3/10000,0),ROUND(C37*D3/10000,0)-D2)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 ca="1">IF(C2="——",C37,ROUND(B2*10000/D3,0))</f>
        <v>#DIV/0!</v>
      </c>
      <c r="C3" s="398" t="s">
        <v>2649</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27" t="s">
        <v>2653</v>
      </c>
      <c r="AC4" s="3226" t="s">
        <v>2654</v>
      </c>
    </row>
    <row r="5" spans="1:29"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27"/>
      <c r="AC5" s="3227"/>
    </row>
    <row r="6" spans="1:29" ht="15.75" thickBot="1">
      <c r="A6" s="404"/>
      <c r="B6" s="405"/>
      <c r="C6" s="3246" t="s">
        <v>2551</v>
      </c>
      <c r="D6" s="3247"/>
      <c r="E6" s="3253" t="s">
        <v>2551</v>
      </c>
      <c r="F6" s="3254"/>
      <c r="G6" s="3246" t="s">
        <v>2551</v>
      </c>
      <c r="H6" s="3247"/>
      <c r="I6" s="3246" t="s">
        <v>2551</v>
      </c>
      <c r="J6" s="3247"/>
      <c r="K6" s="608" t="s">
        <v>2552</v>
      </c>
      <c r="L6" s="1131"/>
      <c r="M6" s="1132"/>
      <c r="N6" s="1132"/>
      <c r="O6" s="1132"/>
      <c r="P6" s="3237"/>
      <c r="Q6" s="3238"/>
      <c r="R6" s="3241"/>
      <c r="S6" s="3242"/>
      <c r="T6" s="3243"/>
      <c r="U6" s="3244"/>
      <c r="V6" s="3245"/>
      <c r="W6" s="3245"/>
      <c r="X6" s="1814"/>
      <c r="Y6" s="3243"/>
      <c r="Z6" s="3244"/>
      <c r="AA6" s="3228"/>
      <c r="AB6" s="3228"/>
      <c r="AC6" s="3228"/>
    </row>
    <row r="7" spans="1:29" s="115" customFormat="1" ht="15.75" thickBot="1">
      <c r="A7" s="406" t="s">
        <v>2553</v>
      </c>
      <c r="B7" s="407"/>
      <c r="C7" s="408">
        <f>'数据-取费表'!B2</f>
        <v>43398</v>
      </c>
      <c r="D7" s="409">
        <v>100</v>
      </c>
      <c r="E7" s="410"/>
      <c r="F7" s="411">
        <f>SUMIF(46:46,YEAR(E7)&amp;"-"&amp;MONTH(E7),47:47)</f>
        <v>0</v>
      </c>
      <c r="G7" s="2699"/>
      <c r="H7" s="409">
        <f>SUMIF(46:46,YEAR(G7)&amp;"-"&amp;MONTH(G7),47:47)</f>
        <v>0</v>
      </c>
      <c r="I7" s="410"/>
      <c r="J7" s="409">
        <f>SUMIF(46:46,YEAR(I7)&amp;"-"&amp;MONTH(I7),47:47)</f>
        <v>0</v>
      </c>
      <c r="K7" s="609"/>
      <c r="L7" s="1133"/>
      <c r="M7" s="1134"/>
      <c r="N7" s="1134"/>
      <c r="O7" s="1134"/>
      <c r="P7" s="3250" t="s">
        <v>2554</v>
      </c>
      <c r="Q7" s="3252"/>
      <c r="R7" s="768" t="s">
        <v>17</v>
      </c>
      <c r="S7" s="769">
        <f t="shared" ref="S7:S14" si="0">F7</f>
        <v>0</v>
      </c>
      <c r="T7" s="768" t="s">
        <v>17</v>
      </c>
      <c r="U7" s="769">
        <f t="shared" ref="U7:U14" si="1">H7</f>
        <v>0</v>
      </c>
      <c r="V7" s="768" t="s">
        <v>17</v>
      </c>
      <c r="W7" s="769">
        <f t="shared" ref="W7:W14" si="2">J7</f>
        <v>0</v>
      </c>
      <c r="X7" s="770"/>
      <c r="Y7" s="3250" t="s">
        <v>2554</v>
      </c>
      <c r="Z7" s="3251"/>
      <c r="AA7" s="771" t="e">
        <f>D7/F7</f>
        <v>#DIV/0!</v>
      </c>
      <c r="AB7" s="771" t="e">
        <f>D7/H7</f>
        <v>#DIV/0!</v>
      </c>
      <c r="AC7" s="771" t="e">
        <f>D7/J7</f>
        <v>#DIV/0!</v>
      </c>
    </row>
    <row r="8" spans="1:29" s="115"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34" si="3">D8/F8</f>
        <v>#DIV/0!</v>
      </c>
      <c r="AB8" s="771" t="e">
        <f t="shared" ref="AB8:AB34" si="4">D8/H8</f>
        <v>#DIV/0!</v>
      </c>
      <c r="AC8" s="771" t="e">
        <f t="shared" ref="AC8:AC34" si="5">D8/J8</f>
        <v>#DIV/0!</v>
      </c>
    </row>
    <row r="9" spans="1:29" s="115" customFormat="1">
      <c r="A9" s="413" t="s">
        <v>2558</v>
      </c>
      <c r="B9" s="69" t="s">
        <v>2559</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14" t="s">
        <v>2560</v>
      </c>
      <c r="Q9" s="1796" t="str">
        <f t="shared" ref="Q9:Q14" si="6">B9</f>
        <v>用途</v>
      </c>
      <c r="R9" s="768" t="s">
        <v>17</v>
      </c>
      <c r="S9" s="769">
        <f t="shared" si="0"/>
        <v>100</v>
      </c>
      <c r="T9" s="768" t="s">
        <v>17</v>
      </c>
      <c r="U9" s="769">
        <f t="shared" si="1"/>
        <v>100</v>
      </c>
      <c r="V9" s="768" t="s">
        <v>17</v>
      </c>
      <c r="W9" s="769">
        <f t="shared" si="2"/>
        <v>100</v>
      </c>
      <c r="X9" s="770"/>
      <c r="Y9" s="3039" t="s">
        <v>2561</v>
      </c>
      <c r="Z9" s="55" t="str">
        <f t="shared" ref="Z9:Z14" si="7">Q9</f>
        <v>用途</v>
      </c>
      <c r="AA9" s="771">
        <f t="shared" si="3"/>
        <v>1</v>
      </c>
      <c r="AB9" s="771">
        <f t="shared" si="4"/>
        <v>1</v>
      </c>
      <c r="AC9" s="771">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14"/>
      <c r="Q10" s="1796"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6"/>
      <c r="B11" s="2603">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14"/>
      <c r="Q11" s="1796">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5" customFormat="1" ht="15">
      <c r="A12" s="429"/>
      <c r="B12" s="2603">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85.5">
      <c r="A14" s="438" t="s">
        <v>2564</v>
      </c>
      <c r="B14" s="67" t="s">
        <v>2714</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16" t="s">
        <v>2565</v>
      </c>
      <c r="Q14" s="1811" t="str">
        <f t="shared" si="6"/>
        <v>交通便捷度</v>
      </c>
      <c r="R14" s="772" t="s">
        <v>17</v>
      </c>
      <c r="S14" s="773">
        <f t="shared" si="0"/>
        <v>100</v>
      </c>
      <c r="T14" s="772" t="s">
        <v>17</v>
      </c>
      <c r="U14" s="773">
        <f t="shared" si="1"/>
        <v>100</v>
      </c>
      <c r="V14" s="772" t="s">
        <v>17</v>
      </c>
      <c r="W14" s="773">
        <f t="shared" si="2"/>
        <v>100</v>
      </c>
      <c r="X14" s="1814"/>
      <c r="Y14" s="3216" t="s">
        <v>2565</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17"/>
      <c r="Q15" s="1811"/>
      <c r="R15" s="772"/>
      <c r="S15" s="773"/>
      <c r="T15" s="772"/>
      <c r="U15" s="773"/>
      <c r="V15" s="772"/>
      <c r="W15" s="773"/>
      <c r="X15" s="1814"/>
      <c r="Y15" s="3217"/>
      <c r="Z15" s="1815"/>
      <c r="AA15" s="1812">
        <v>1</v>
      </c>
      <c r="AB15" s="1812">
        <v>1</v>
      </c>
      <c r="AC15" s="1812">
        <v>1</v>
      </c>
    </row>
    <row r="16" spans="1:29" ht="42.75">
      <c r="A16" s="426"/>
      <c r="B16" s="449" t="s">
        <v>2693</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17"/>
      <c r="Q16" s="1811" t="str">
        <f>B16</f>
        <v>公共配套设施</v>
      </c>
      <c r="R16" s="772" t="s">
        <v>17</v>
      </c>
      <c r="S16" s="773">
        <f>F16</f>
        <v>100</v>
      </c>
      <c r="T16" s="772" t="s">
        <v>17</v>
      </c>
      <c r="U16" s="773">
        <f>H16</f>
        <v>100</v>
      </c>
      <c r="V16" s="772" t="s">
        <v>17</v>
      </c>
      <c r="W16" s="773">
        <f>J16</f>
        <v>100</v>
      </c>
      <c r="X16" s="1814"/>
      <c r="Y16" s="3217"/>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1"/>
      <c r="M17" s="1132"/>
      <c r="N17" s="1132"/>
      <c r="O17" s="1140"/>
      <c r="P17" s="3217"/>
      <c r="Q17" s="1811"/>
      <c r="R17" s="772"/>
      <c r="S17" s="773"/>
      <c r="T17" s="772"/>
      <c r="U17" s="773"/>
      <c r="V17" s="772"/>
      <c r="W17" s="773"/>
      <c r="X17" s="1814"/>
      <c r="Y17" s="3217"/>
      <c r="Z17" s="1815"/>
      <c r="AA17" s="1812">
        <v>1</v>
      </c>
      <c r="AB17" s="1812">
        <v>1</v>
      </c>
      <c r="AC17" s="1812">
        <v>1</v>
      </c>
    </row>
    <row r="18" spans="1:29" ht="28.5">
      <c r="A18" s="426"/>
      <c r="B18" s="1385" t="s">
        <v>2694</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17"/>
      <c r="Q18" s="1811" t="str">
        <f>B18</f>
        <v>基础设施水平</v>
      </c>
      <c r="R18" s="772" t="s">
        <v>17</v>
      </c>
      <c r="S18" s="773">
        <f>F18</f>
        <v>100</v>
      </c>
      <c r="T18" s="772" t="s">
        <v>17</v>
      </c>
      <c r="U18" s="773">
        <f>H18</f>
        <v>100</v>
      </c>
      <c r="V18" s="772" t="s">
        <v>17</v>
      </c>
      <c r="W18" s="773">
        <f>J18</f>
        <v>100</v>
      </c>
      <c r="X18" s="1814"/>
      <c r="Y18" s="3217"/>
      <c r="Z18" s="1815" t="str">
        <f>Q18</f>
        <v>基础设施水平</v>
      </c>
      <c r="AA18" s="1812">
        <f t="shared" ref="AA18" si="8">D18/F18</f>
        <v>1</v>
      </c>
      <c r="AB18" s="1812">
        <f t="shared" ref="AB18" si="9">D18/H18</f>
        <v>1</v>
      </c>
      <c r="AC18" s="1812">
        <f t="shared" ref="AC18" si="10">D18/J18</f>
        <v>1</v>
      </c>
    </row>
    <row r="19" spans="1:29" ht="15">
      <c r="A19" s="426"/>
      <c r="B19" s="1385"/>
      <c r="C19" s="2611"/>
      <c r="D19" s="448"/>
      <c r="E19" s="2611"/>
      <c r="F19" s="451"/>
      <c r="G19" s="2611"/>
      <c r="H19" s="446"/>
      <c r="I19" s="445"/>
      <c r="J19" s="446"/>
      <c r="K19" s="1384"/>
      <c r="L19" s="1141"/>
      <c r="M19" s="1132"/>
      <c r="N19" s="1132"/>
      <c r="O19" s="1140"/>
      <c r="P19" s="3217"/>
      <c r="Q19" s="1811"/>
      <c r="R19" s="772"/>
      <c r="S19" s="773"/>
      <c r="T19" s="772"/>
      <c r="U19" s="773"/>
      <c r="V19" s="772"/>
      <c r="W19" s="773"/>
      <c r="X19" s="1814"/>
      <c r="Y19" s="3217"/>
      <c r="Z19" s="1815"/>
      <c r="AA19" s="1812">
        <v>1</v>
      </c>
      <c r="AB19" s="1812">
        <v>1</v>
      </c>
      <c r="AC19" s="1812">
        <v>1</v>
      </c>
    </row>
    <row r="20" spans="1:29" ht="57">
      <c r="A20" s="426"/>
      <c r="B20" s="449" t="s">
        <v>2715</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17"/>
      <c r="Q20" s="1811" t="str">
        <f>B20</f>
        <v>自然及人文环境</v>
      </c>
      <c r="R20" s="772" t="s">
        <v>17</v>
      </c>
      <c r="S20" s="773">
        <f>F20</f>
        <v>100</v>
      </c>
      <c r="T20" s="772" t="s">
        <v>17</v>
      </c>
      <c r="U20" s="773">
        <f>H20</f>
        <v>100</v>
      </c>
      <c r="V20" s="772" t="s">
        <v>17</v>
      </c>
      <c r="W20" s="773">
        <f>J20</f>
        <v>100</v>
      </c>
      <c r="X20" s="1814"/>
      <c r="Y20" s="3217"/>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17"/>
      <c r="Q21" s="1811"/>
      <c r="R21" s="772"/>
      <c r="S21" s="773"/>
      <c r="T21" s="772"/>
      <c r="U21" s="773"/>
      <c r="V21" s="772"/>
      <c r="W21" s="773"/>
      <c r="X21" s="1814"/>
      <c r="Y21" s="3217"/>
      <c r="Z21" s="1815"/>
      <c r="AA21" s="1812">
        <v>1</v>
      </c>
      <c r="AB21" s="1812">
        <v>1</v>
      </c>
      <c r="AC21" s="1812">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17"/>
      <c r="Q22" s="1811" t="str">
        <f>B22</f>
        <v>楼层</v>
      </c>
      <c r="R22" s="772" t="s">
        <v>17</v>
      </c>
      <c r="S22" s="773">
        <f>F22</f>
        <v>100</v>
      </c>
      <c r="T22" s="772" t="s">
        <v>17</v>
      </c>
      <c r="U22" s="773">
        <f>H22</f>
        <v>100</v>
      </c>
      <c r="V22" s="772" t="s">
        <v>17</v>
      </c>
      <c r="W22" s="773">
        <f>J22</f>
        <v>100</v>
      </c>
      <c r="X22" s="1814"/>
      <c r="Y22" s="3217"/>
      <c r="Z22" s="1815" t="str">
        <f>Q22</f>
        <v>楼层</v>
      </c>
      <c r="AA22" s="1812">
        <f t="shared" si="3"/>
        <v>1</v>
      </c>
      <c r="AB22" s="1812">
        <f t="shared" si="4"/>
        <v>1</v>
      </c>
      <c r="AC22" s="1812">
        <f t="shared" si="5"/>
        <v>1</v>
      </c>
    </row>
    <row r="23" spans="1:29" ht="15">
      <c r="A23" s="402"/>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17"/>
      <c r="Q23" s="1811">
        <f>B23</f>
        <v>111</v>
      </c>
      <c r="R23" s="772" t="s">
        <v>17</v>
      </c>
      <c r="S23" s="773">
        <f>F23</f>
        <v>100</v>
      </c>
      <c r="T23" s="772" t="s">
        <v>17</v>
      </c>
      <c r="U23" s="773">
        <f>H23</f>
        <v>100</v>
      </c>
      <c r="V23" s="772" t="s">
        <v>17</v>
      </c>
      <c r="W23" s="773">
        <f>J23</f>
        <v>100</v>
      </c>
      <c r="X23" s="1814"/>
      <c r="Y23" s="3217"/>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17"/>
      <c r="Q24" s="1811">
        <f t="shared" ref="Q24:Q34" si="11">B24</f>
        <v>111</v>
      </c>
      <c r="R24" s="772" t="s">
        <v>17</v>
      </c>
      <c r="S24" s="773">
        <f>F24</f>
        <v>100</v>
      </c>
      <c r="T24" s="772" t="s">
        <v>17</v>
      </c>
      <c r="U24" s="773">
        <f>H24</f>
        <v>100</v>
      </c>
      <c r="V24" s="772" t="s">
        <v>17</v>
      </c>
      <c r="W24" s="773">
        <f>J24</f>
        <v>100</v>
      </c>
      <c r="X24" s="1814"/>
      <c r="Y24" s="3217"/>
      <c r="Z24" s="1815">
        <f>Q24</f>
        <v>111</v>
      </c>
      <c r="AA24" s="1812">
        <f t="shared" si="3"/>
        <v>1</v>
      </c>
      <c r="AB24" s="1812">
        <f t="shared" si="4"/>
        <v>1</v>
      </c>
      <c r="AC24" s="1812">
        <f t="shared" si="5"/>
        <v>1</v>
      </c>
    </row>
    <row r="25" spans="1:29" s="115"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17"/>
      <c r="Q25" s="1796">
        <f t="shared" si="11"/>
        <v>111</v>
      </c>
      <c r="R25" s="768" t="s">
        <v>17</v>
      </c>
      <c r="S25" s="769">
        <f>F25</f>
        <v>100</v>
      </c>
      <c r="T25" s="768" t="s">
        <v>17</v>
      </c>
      <c r="U25" s="769">
        <f>H25</f>
        <v>100</v>
      </c>
      <c r="V25" s="768" t="s">
        <v>17</v>
      </c>
      <c r="W25" s="769">
        <f>J25</f>
        <v>100</v>
      </c>
      <c r="X25" s="770"/>
      <c r="Y25" s="3217"/>
      <c r="Z25" s="55">
        <f>Q25</f>
        <v>111</v>
      </c>
      <c r="AA25" s="1812">
        <f>D25/F25</f>
        <v>1</v>
      </c>
      <c r="AB25" s="1812">
        <f>D25/H25</f>
        <v>1</v>
      </c>
      <c r="AC25" s="1812">
        <f>D25/J25</f>
        <v>1</v>
      </c>
    </row>
    <row r="26" spans="1:29" ht="29.25">
      <c r="A26" s="464" t="s">
        <v>2568</v>
      </c>
      <c r="B26" s="69" t="s">
        <v>2719</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272" t="s">
        <v>2570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21" t="s">
        <v>2570</v>
      </c>
      <c r="Z26" s="1815" t="str">
        <f t="shared" ref="Z26:Z34" si="15">Q26</f>
        <v>公共部分装修</v>
      </c>
      <c r="AA26" s="1812">
        <f t="shared" si="3"/>
        <v>1</v>
      </c>
      <c r="AB26" s="1812">
        <f t="shared" si="4"/>
        <v>1</v>
      </c>
      <c r="AC26" s="1812">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12" t="e">
        <f t="shared" si="3"/>
        <v>#N/A</v>
      </c>
      <c r="AB27" s="1812" t="e">
        <f t="shared" si="4"/>
        <v>#N/A</v>
      </c>
      <c r="AC27" s="1812"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21"/>
      <c r="Q28" s="1811" t="str">
        <f t="shared" si="11"/>
        <v>物业等级</v>
      </c>
      <c r="R28" s="772" t="s">
        <v>17</v>
      </c>
      <c r="S28" s="773">
        <f t="shared" si="12"/>
        <v>100</v>
      </c>
      <c r="T28" s="772" t="s">
        <v>17</v>
      </c>
      <c r="U28" s="773">
        <f t="shared" si="13"/>
        <v>100</v>
      </c>
      <c r="V28" s="772" t="s">
        <v>17</v>
      </c>
      <c r="W28" s="773">
        <f t="shared" si="14"/>
        <v>100</v>
      </c>
      <c r="X28" s="1814"/>
      <c r="Y28" s="3221"/>
      <c r="Z28" s="1815" t="str">
        <f t="shared" si="15"/>
        <v>物业等级</v>
      </c>
      <c r="AA28" s="1812">
        <f t="shared" si="3"/>
        <v>1</v>
      </c>
      <c r="AB28" s="1812">
        <f t="shared" si="4"/>
        <v>1</v>
      </c>
      <c r="AC28" s="1812">
        <f t="shared" si="5"/>
        <v>1</v>
      </c>
    </row>
    <row r="29" spans="1:29" ht="15">
      <c r="A29" s="470"/>
      <c r="B29" s="420" t="s">
        <v>2742</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21"/>
      <c r="Q29" s="1811" t="str">
        <f t="shared" si="11"/>
        <v>有无电梯</v>
      </c>
      <c r="R29" s="772" t="s">
        <v>17</v>
      </c>
      <c r="S29" s="773">
        <f t="shared" si="12"/>
        <v>100</v>
      </c>
      <c r="T29" s="772" t="s">
        <v>17</v>
      </c>
      <c r="U29" s="773">
        <f t="shared" si="13"/>
        <v>100</v>
      </c>
      <c r="V29" s="772" t="s">
        <v>17</v>
      </c>
      <c r="W29" s="773">
        <f t="shared" si="14"/>
        <v>100</v>
      </c>
      <c r="X29" s="1814"/>
      <c r="Y29" s="3221"/>
      <c r="Z29" s="1815" t="str">
        <f t="shared" si="15"/>
        <v>有无电梯</v>
      </c>
      <c r="AA29" s="1812">
        <f t="shared" si="3"/>
        <v>1</v>
      </c>
      <c r="AB29" s="1812">
        <f t="shared" si="4"/>
        <v>1</v>
      </c>
      <c r="AC29" s="1812">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21"/>
      <c r="Q30" s="1811" t="str">
        <f t="shared" si="11"/>
        <v>建筑面积</v>
      </c>
      <c r="R30" s="772" t="s">
        <v>17</v>
      </c>
      <c r="S30" s="773" t="e">
        <f t="shared" si="12"/>
        <v>#N/A</v>
      </c>
      <c r="T30" s="772" t="s">
        <v>17</v>
      </c>
      <c r="U30" s="773" t="e">
        <f t="shared" si="13"/>
        <v>#N/A</v>
      </c>
      <c r="V30" s="772" t="s">
        <v>17</v>
      </c>
      <c r="W30" s="773" t="e">
        <f t="shared" si="14"/>
        <v>#N/A</v>
      </c>
      <c r="X30" s="1814"/>
      <c r="Y30" s="3221"/>
      <c r="Z30" s="1815" t="str">
        <f t="shared" si="15"/>
        <v>建筑面积</v>
      </c>
      <c r="AA30" s="1812" t="e">
        <f t="shared" si="3"/>
        <v>#N/A</v>
      </c>
      <c r="AB30" s="1812" t="e">
        <f t="shared" si="4"/>
        <v>#N/A</v>
      </c>
      <c r="AC30" s="1812" t="e">
        <f t="shared" si="5"/>
        <v>#N/A</v>
      </c>
    </row>
    <row r="31" spans="1:29" s="115" customFormat="1" ht="15">
      <c r="A31" s="471"/>
      <c r="B31" s="420" t="s">
        <v>2744</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21"/>
      <c r="Q31" s="1796" t="str">
        <f t="shared" si="11"/>
        <v>是否封闭</v>
      </c>
      <c r="R31" s="768" t="s">
        <v>17</v>
      </c>
      <c r="S31" s="769">
        <f t="shared" si="12"/>
        <v>100</v>
      </c>
      <c r="T31" s="768" t="s">
        <v>17</v>
      </c>
      <c r="U31" s="769">
        <f t="shared" si="13"/>
        <v>100</v>
      </c>
      <c r="V31" s="768" t="s">
        <v>17</v>
      </c>
      <c r="W31" s="769">
        <f t="shared" si="14"/>
        <v>100</v>
      </c>
      <c r="X31" s="770"/>
      <c r="Y31" s="3221"/>
      <c r="Z31" s="55"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21" t="s">
        <v>2570</v>
      </c>
      <c r="Q32" s="1811">
        <f t="shared" si="11"/>
        <v>111</v>
      </c>
      <c r="R32" s="772" t="s">
        <v>17</v>
      </c>
      <c r="S32" s="773">
        <f t="shared" si="12"/>
        <v>100</v>
      </c>
      <c r="T32" s="772" t="s">
        <v>17</v>
      </c>
      <c r="U32" s="773">
        <f t="shared" si="13"/>
        <v>100</v>
      </c>
      <c r="V32" s="772" t="s">
        <v>17</v>
      </c>
      <c r="W32" s="773">
        <f t="shared" si="14"/>
        <v>100</v>
      </c>
      <c r="X32" s="1814"/>
      <c r="Y32" s="3221" t="s">
        <v>2570</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21"/>
      <c r="Q33" s="1811">
        <f t="shared" si="11"/>
        <v>111</v>
      </c>
      <c r="R33" s="772" t="s">
        <v>17</v>
      </c>
      <c r="S33" s="773">
        <f t="shared" si="12"/>
        <v>100</v>
      </c>
      <c r="T33" s="772" t="s">
        <v>17</v>
      </c>
      <c r="U33" s="773">
        <f t="shared" si="13"/>
        <v>100</v>
      </c>
      <c r="V33" s="772" t="s">
        <v>17</v>
      </c>
      <c r="W33" s="773">
        <f t="shared" si="14"/>
        <v>100</v>
      </c>
      <c r="X33" s="1814"/>
      <c r="Y33" s="3221"/>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1"/>
      <c r="M34" s="1132"/>
      <c r="N34" s="1132"/>
      <c r="O34" s="1140"/>
      <c r="P34" s="3221"/>
      <c r="Q34" s="1811">
        <f t="shared" si="11"/>
        <v>111</v>
      </c>
      <c r="R34" s="772" t="s">
        <v>17</v>
      </c>
      <c r="S34" s="773">
        <f t="shared" si="12"/>
        <v>100</v>
      </c>
      <c r="T34" s="772" t="s">
        <v>17</v>
      </c>
      <c r="U34" s="773">
        <f t="shared" si="13"/>
        <v>100</v>
      </c>
      <c r="V34" s="772" t="s">
        <v>17</v>
      </c>
      <c r="W34" s="773">
        <f t="shared" si="14"/>
        <v>100</v>
      </c>
      <c r="X34" s="1814"/>
      <c r="Y34" s="3221"/>
      <c r="Z34" s="1815">
        <f t="shared" si="15"/>
        <v>111</v>
      </c>
      <c r="AA34" s="1812">
        <f t="shared" si="3"/>
        <v>1</v>
      </c>
      <c r="AB34" s="1812">
        <f t="shared" si="4"/>
        <v>1</v>
      </c>
      <c r="AC34" s="1812">
        <f t="shared" si="5"/>
        <v>1</v>
      </c>
    </row>
    <row r="35" spans="1:29" ht="15">
      <c r="A35" s="477" t="s">
        <v>2582</v>
      </c>
      <c r="B35" s="478"/>
      <c r="C35" s="1408" t="s">
        <v>1</v>
      </c>
      <c r="D35" s="1409"/>
      <c r="E35" s="1410"/>
      <c r="F35" s="1411"/>
      <c r="G35" s="1412"/>
      <c r="H35" s="1413"/>
      <c r="I35" s="1410"/>
      <c r="J35" s="1413"/>
      <c r="K35" s="781"/>
      <c r="L35" s="1144"/>
      <c r="M35" s="1145"/>
      <c r="N35" s="1132"/>
      <c r="O35" s="1145"/>
      <c r="P35" s="3214" t="str">
        <f>A35</f>
        <v>成交单价（元/平方米）</v>
      </c>
      <c r="Q35" s="3214"/>
      <c r="R35" s="3215">
        <f>E35</f>
        <v>0</v>
      </c>
      <c r="S35" s="3215"/>
      <c r="T35" s="3215">
        <f>G35</f>
        <v>0</v>
      </c>
      <c r="U35" s="3215"/>
      <c r="V35" s="3215">
        <f>I35</f>
        <v>0</v>
      </c>
      <c r="W35" s="3215"/>
      <c r="X35" s="757"/>
      <c r="Y35" s="779"/>
      <c r="Z35" s="757"/>
      <c r="AA35" s="757"/>
      <c r="AB35" s="757"/>
      <c r="AC35" s="757"/>
    </row>
    <row r="36" spans="1:29" ht="15.75" thickBot="1">
      <c r="A36" s="484" t="s">
        <v>2674</v>
      </c>
      <c r="B36" s="485"/>
      <c r="C36" s="1414" t="e">
        <f>R37</f>
        <v>#DIV/0!</v>
      </c>
      <c r="D36" s="1415"/>
      <c r="E36" s="1416" t="e">
        <f>R36</f>
        <v>#DIV/0!</v>
      </c>
      <c r="F36" s="1416"/>
      <c r="G36" s="1414" t="e">
        <f>T36</f>
        <v>#DIV/0!</v>
      </c>
      <c r="H36" s="1415"/>
      <c r="I36" s="1416" t="e">
        <f>V36</f>
        <v>#DIV/0!</v>
      </c>
      <c r="J36" s="1415"/>
      <c r="K36" s="782"/>
      <c r="L36" s="1144"/>
      <c r="M36" s="1145"/>
      <c r="N36" s="1132"/>
      <c r="O36" s="1145"/>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7"/>
      <c r="Y36" s="757"/>
      <c r="Z36" s="757"/>
      <c r="AA36" s="757"/>
      <c r="AB36" s="757"/>
      <c r="AC36" s="757"/>
    </row>
    <row r="37" spans="1:29" ht="15.75" thickBot="1">
      <c r="A37" s="490" t="s">
        <v>2675</v>
      </c>
      <c r="B37" s="491"/>
      <c r="C37" s="1418" t="e">
        <f>R37</f>
        <v>#DIV/0!</v>
      </c>
      <c r="D37" s="1418"/>
      <c r="E37" s="1418"/>
      <c r="F37" s="1418"/>
      <c r="G37" s="1418"/>
      <c r="H37" s="1418"/>
      <c r="I37" s="1418"/>
      <c r="J37" s="1418"/>
      <c r="K37" s="783"/>
      <c r="L37" s="1144"/>
      <c r="M37" s="1145"/>
      <c r="N37" s="1145"/>
      <c r="O37" s="1145"/>
      <c r="P37" s="3211" t="str">
        <f>A37</f>
        <v>估价对象XX用房的比较价值（楼面单价，元/平方米）</v>
      </c>
      <c r="Q37" s="3212"/>
      <c r="R37" s="3213" t="e">
        <f>IF(F1="售价",ROUND(AVERAGE(R36:V36),0),ROUND(AVERAGE(R36:V36),1))</f>
        <v>#DIV/0!</v>
      </c>
      <c r="S37" s="3213"/>
      <c r="T37" s="3213"/>
      <c r="U37" s="3213"/>
      <c r="V37" s="3213"/>
      <c r="W37" s="3213"/>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2679</v>
      </c>
      <c r="B45" s="757"/>
      <c r="C45" s="762"/>
      <c r="D45" s="762"/>
      <c r="E45" s="762"/>
      <c r="F45" s="763"/>
      <c r="G45" s="763"/>
      <c r="H45" s="762"/>
      <c r="I45" s="762"/>
      <c r="J45" s="762"/>
      <c r="K45" s="764"/>
      <c r="L45" s="765"/>
      <c r="M45" s="762"/>
      <c r="N45" s="762"/>
      <c r="O45" s="762"/>
      <c r="P45" s="501"/>
      <c r="Q45" s="502"/>
    </row>
    <row r="46" spans="1:29" s="506" customFormat="1" ht="15">
      <c r="A46" s="503" t="s">
        <v>2553</v>
      </c>
      <c r="B46" s="504"/>
      <c r="C46" s="1575" t="str">
        <f>YEAR(C7)&amp;"-"&amp;MONTH(C7)</f>
        <v>2018-10</v>
      </c>
      <c r="D46" s="1576">
        <f>EDATE(C46,-1)</f>
        <v>43344</v>
      </c>
      <c r="E46" s="1576">
        <f t="shared" ref="E46:O46" si="16">EDATE(D46,-1)</f>
        <v>43313</v>
      </c>
      <c r="F46" s="1576">
        <f t="shared" si="16"/>
        <v>43282</v>
      </c>
      <c r="G46" s="1576">
        <f t="shared" si="16"/>
        <v>43252</v>
      </c>
      <c r="H46" s="1576">
        <f t="shared" si="16"/>
        <v>43221</v>
      </c>
      <c r="I46" s="1576">
        <f t="shared" si="16"/>
        <v>43191</v>
      </c>
      <c r="J46" s="1576">
        <f t="shared" si="16"/>
        <v>43160</v>
      </c>
      <c r="K46" s="1576">
        <f t="shared" si="16"/>
        <v>43132</v>
      </c>
      <c r="L46" s="1576">
        <f t="shared" si="16"/>
        <v>43101</v>
      </c>
      <c r="M46" s="1576">
        <f t="shared" si="16"/>
        <v>43070</v>
      </c>
      <c r="N46" s="1576">
        <f t="shared" si="16"/>
        <v>43040</v>
      </c>
      <c r="O46" s="1576">
        <f t="shared" si="16"/>
        <v>43009</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2590</v>
      </c>
      <c r="B48" s="514"/>
      <c r="C48" s="515"/>
      <c r="D48" s="516"/>
      <c r="E48" s="516"/>
      <c r="F48" s="516"/>
      <c r="G48" s="516"/>
      <c r="H48" s="516"/>
      <c r="I48" s="516"/>
      <c r="J48" s="516"/>
      <c r="K48" s="516"/>
      <c r="L48" s="516"/>
      <c r="M48" s="517"/>
      <c r="N48" s="516"/>
      <c r="O48" s="518"/>
      <c r="P48" s="502"/>
      <c r="Q48" s="502"/>
    </row>
    <row r="49" spans="1:17" s="115" customFormat="1" ht="15">
      <c r="A49" s="519" t="s">
        <v>2555</v>
      </c>
      <c r="B49" s="508"/>
      <c r="C49" s="520" t="s">
        <v>2657</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2593</v>
      </c>
      <c r="B51" s="526" t="s">
        <v>2559</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2694</v>
      </c>
      <c r="C65" s="658" t="s">
        <v>2680</v>
      </c>
      <c r="D65" s="658" t="s">
        <v>2681</v>
      </c>
      <c r="E65" s="658" t="s">
        <v>2682</v>
      </c>
      <c r="F65" s="658" t="s">
        <v>2683</v>
      </c>
      <c r="G65" s="658" t="s">
        <v>2684</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2734</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2568</v>
      </c>
      <c r="B77" s="526" t="s">
        <v>2621</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2738</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2746</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2748</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2332</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2334</v>
      </c>
      <c r="B3" s="607" t="e">
        <f>ROUND(IF(D3="",B2*10000/'数据-汇总表'!E3,B2*10000/D3),0)</f>
        <v>#DIV/0!</v>
      </c>
      <c r="C3" s="245"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27" t="s">
        <v>2653</v>
      </c>
      <c r="AC4" s="3226" t="s">
        <v>2654</v>
      </c>
    </row>
    <row r="5" spans="1:30"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27"/>
      <c r="AC5" s="3227"/>
    </row>
    <row r="6" spans="1:30" ht="15.75" thickBot="1">
      <c r="A6" s="404"/>
      <c r="B6" s="405"/>
      <c r="C6" s="3246" t="s">
        <v>2551</v>
      </c>
      <c r="D6" s="3247"/>
      <c r="E6" s="3253" t="s">
        <v>2551</v>
      </c>
      <c r="F6" s="3254"/>
      <c r="G6" s="3246" t="s">
        <v>2551</v>
      </c>
      <c r="H6" s="3247"/>
      <c r="I6" s="3246" t="s">
        <v>2551</v>
      </c>
      <c r="J6" s="3247"/>
      <c r="K6" s="608" t="s">
        <v>2552</v>
      </c>
      <c r="L6" s="1131"/>
      <c r="M6" s="1132"/>
      <c r="N6" s="1132"/>
      <c r="O6" s="1132"/>
      <c r="P6" s="3237"/>
      <c r="Q6" s="3238"/>
      <c r="R6" s="3241"/>
      <c r="S6" s="3242"/>
      <c r="T6" s="3243"/>
      <c r="U6" s="3244"/>
      <c r="V6" s="3245"/>
      <c r="W6" s="3245"/>
      <c r="X6" s="1814"/>
      <c r="Y6" s="3243"/>
      <c r="Z6" s="3244"/>
      <c r="AA6" s="3228"/>
      <c r="AB6" s="3228"/>
      <c r="AC6" s="3228"/>
    </row>
    <row r="7" spans="1:30" s="115" customFormat="1" ht="15.75" thickBot="1">
      <c r="A7" s="406" t="s">
        <v>2553</v>
      </c>
      <c r="B7" s="407"/>
      <c r="C7" s="408">
        <f>'数据-取费表'!B2</f>
        <v>43398</v>
      </c>
      <c r="D7" s="409">
        <v>100</v>
      </c>
      <c r="E7" s="410">
        <v>42309</v>
      </c>
      <c r="F7" s="411">
        <f>SUMIF(70:70,YEAR(E7)&amp;"-"&amp;INT((MONTH(E7)+2)/3),71:71)</f>
        <v>0</v>
      </c>
      <c r="G7" s="2699">
        <v>42309</v>
      </c>
      <c r="H7" s="409">
        <f>SUMIF(70:70,YEAR(G7)&amp;"-"&amp;INT((MONTH(G7)+2)/3),71:71)</f>
        <v>0</v>
      </c>
      <c r="I7" s="2699">
        <v>42036</v>
      </c>
      <c r="J7" s="409">
        <f>SUMIF(70:70,YEAR(I7)&amp;"-"&amp;INT((MONTH(I7)+2)/3),71:71)</f>
        <v>0</v>
      </c>
      <c r="K7" s="609"/>
      <c r="L7" s="1133"/>
      <c r="M7" s="1134"/>
      <c r="N7" s="1134"/>
      <c r="O7" s="1134"/>
      <c r="P7" s="3250" t="s">
        <v>2554</v>
      </c>
      <c r="Q7" s="3252"/>
      <c r="R7" s="768" t="s">
        <v>17</v>
      </c>
      <c r="S7" s="769">
        <f t="shared" ref="S7:S15" si="0">F7</f>
        <v>0</v>
      </c>
      <c r="T7" s="768" t="s">
        <v>17</v>
      </c>
      <c r="U7" s="769">
        <f t="shared" ref="U7:U15" si="1">H7</f>
        <v>0</v>
      </c>
      <c r="V7" s="768" t="s">
        <v>17</v>
      </c>
      <c r="W7" s="769">
        <f t="shared" ref="W7:W15" si="2">J7</f>
        <v>0</v>
      </c>
      <c r="X7" s="770"/>
      <c r="Y7" s="3250" t="s">
        <v>2554</v>
      </c>
      <c r="Z7" s="3251"/>
      <c r="AA7" s="771" t="e">
        <f>D7/F7</f>
        <v>#DIV/0!</v>
      </c>
      <c r="AB7" s="771" t="e">
        <f>D7/H7</f>
        <v>#DIV/0!</v>
      </c>
      <c r="AC7" s="771" t="e">
        <f>D7/J7</f>
        <v>#DIV/0!</v>
      </c>
    </row>
    <row r="8" spans="1:30" s="115"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45" si="3">D8/F8</f>
        <v>#DIV/0!</v>
      </c>
      <c r="AB8" s="771" t="e">
        <f t="shared" ref="AB8:AB45" si="4">D8/H8</f>
        <v>#DIV/0!</v>
      </c>
      <c r="AC8" s="771" t="e">
        <f t="shared" ref="AC8:AC45" si="5">D8/J8</f>
        <v>#DIV/0!</v>
      </c>
    </row>
    <row r="9" spans="1:30" s="115" customFormat="1">
      <c r="A9" s="413" t="s">
        <v>2558</v>
      </c>
      <c r="B9" s="69" t="s">
        <v>2559</v>
      </c>
      <c r="C9" s="2702"/>
      <c r="D9" s="133">
        <v>100</v>
      </c>
      <c r="E9" s="2702"/>
      <c r="F9" s="133">
        <f>SUMIF(75:75,E9,76:76)-SUMIF(75:75,C9,76:76)+100</f>
        <v>100</v>
      </c>
      <c r="G9" s="2702"/>
      <c r="H9" s="133">
        <f>SUMIF(75:75,G9,76:76)-SUMIF(75:75,C9,76:76)+100</f>
        <v>100</v>
      </c>
      <c r="I9" s="2702"/>
      <c r="J9" s="133">
        <f>SUMIF(75:75,I9,76:76)-SUMIF(75:75,C9,76:76)+100</f>
        <v>100</v>
      </c>
      <c r="K9" s="609"/>
      <c r="L9" s="1133"/>
      <c r="M9" s="1134"/>
      <c r="N9" s="1134"/>
      <c r="O9" s="1135"/>
      <c r="P9" s="3214"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771">
        <f t="shared" si="5"/>
        <v>1</v>
      </c>
    </row>
    <row r="10" spans="1:30" s="425" customFormat="1" ht="27">
      <c r="A10" s="419"/>
      <c r="B10" s="420" t="s">
        <v>2562</v>
      </c>
      <c r="C10" s="430"/>
      <c r="D10" s="134">
        <v>100</v>
      </c>
      <c r="E10" s="463"/>
      <c r="F10" s="134">
        <f>ROUND(100/'数据-取费表'!G16,0)</f>
        <v>127</v>
      </c>
      <c r="G10" s="461"/>
      <c r="H10" s="134">
        <f>ROUND(100/'数据-取费表'!G16,0)</f>
        <v>127</v>
      </c>
      <c r="I10" s="461"/>
      <c r="J10" s="134">
        <f>ROUND(100/'数据-取费表'!G16,0)</f>
        <v>127</v>
      </c>
      <c r="K10" s="670"/>
      <c r="L10" s="1136"/>
      <c r="M10" s="1137"/>
      <c r="N10" s="1137"/>
      <c r="O10" s="1138"/>
      <c r="P10" s="3214"/>
      <c r="Q10" s="1796" t="str">
        <f t="shared" si="6"/>
        <v>土地使用年限（年）</v>
      </c>
      <c r="R10" s="768" t="s">
        <v>17</v>
      </c>
      <c r="S10" s="769">
        <f t="shared" si="0"/>
        <v>127</v>
      </c>
      <c r="T10" s="768" t="s">
        <v>17</v>
      </c>
      <c r="U10" s="769">
        <f t="shared" si="1"/>
        <v>127</v>
      </c>
      <c r="V10" s="768" t="s">
        <v>17</v>
      </c>
      <c r="W10" s="769">
        <f t="shared" si="2"/>
        <v>127</v>
      </c>
      <c r="X10" s="770"/>
      <c r="Y10" s="3039"/>
      <c r="Z10" s="55" t="str">
        <f t="shared" si="7"/>
        <v>土地使用年限（年）</v>
      </c>
      <c r="AA10" s="771">
        <f t="shared" si="3"/>
        <v>0.78740157480314965</v>
      </c>
      <c r="AB10" s="771">
        <f t="shared" si="4"/>
        <v>0.78740157480314965</v>
      </c>
      <c r="AC10" s="771">
        <f t="shared" si="5"/>
        <v>0.78740157480314965</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14"/>
      <c r="Q11" s="1796"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30" s="115" customFormat="1" ht="15">
      <c r="A12" s="429"/>
      <c r="B12" s="2603" t="s">
        <v>2752</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14"/>
      <c r="Q12" s="1796" t="str">
        <f t="shared" si="6"/>
        <v>配建</v>
      </c>
      <c r="R12" s="768" t="s">
        <v>17</v>
      </c>
      <c r="S12" s="769">
        <f t="shared" si="0"/>
        <v>100</v>
      </c>
      <c r="T12" s="768" t="s">
        <v>17</v>
      </c>
      <c r="U12" s="769">
        <f t="shared" si="1"/>
        <v>100</v>
      </c>
      <c r="V12" s="768" t="s">
        <v>17</v>
      </c>
      <c r="W12" s="769">
        <f t="shared" si="2"/>
        <v>100</v>
      </c>
      <c r="X12" s="770"/>
      <c r="Y12" s="3039"/>
      <c r="Z12" s="55" t="str">
        <f t="shared" si="7"/>
        <v>配建</v>
      </c>
      <c r="AA12" s="771">
        <f>D12/F12</f>
        <v>1</v>
      </c>
      <c r="AB12" s="771">
        <f>D12/H12</f>
        <v>1</v>
      </c>
      <c r="AC12" s="771">
        <f>D12/J12</f>
        <v>1</v>
      </c>
    </row>
    <row r="13" spans="1:30" ht="15">
      <c r="A13" s="426"/>
      <c r="B13" s="2603">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39"/>
      <c r="Z13" s="55">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39"/>
      <c r="Z14" s="55">
        <f t="shared" si="7"/>
        <v>111</v>
      </c>
      <c r="AA14" s="771">
        <f>D14/F14</f>
        <v>1</v>
      </c>
      <c r="AB14" s="771">
        <f>D14/H14</f>
        <v>1</v>
      </c>
      <c r="AC14" s="771">
        <f>D14/J14</f>
        <v>1</v>
      </c>
    </row>
    <row r="15" spans="1:30" ht="99.75">
      <c r="A15" s="438" t="s">
        <v>2564</v>
      </c>
      <c r="B15" s="67" t="s">
        <v>2089</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16" t="s">
        <v>2565</v>
      </c>
      <c r="Q15" s="1811" t="str">
        <f t="shared" si="6"/>
        <v>居住社区成熟度</v>
      </c>
      <c r="R15" s="772" t="s">
        <v>17</v>
      </c>
      <c r="S15" s="773">
        <f t="shared" si="0"/>
        <v>100</v>
      </c>
      <c r="T15" s="772" t="s">
        <v>17</v>
      </c>
      <c r="U15" s="773">
        <f t="shared" si="1"/>
        <v>100</v>
      </c>
      <c r="V15" s="772" t="s">
        <v>17</v>
      </c>
      <c r="W15" s="773">
        <f t="shared" si="2"/>
        <v>100</v>
      </c>
      <c r="X15" s="1814"/>
      <c r="Y15" s="3216" t="s">
        <v>2565</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1"/>
      <c r="M16" s="1132"/>
      <c r="N16" s="1132"/>
      <c r="O16" s="1140"/>
      <c r="P16" s="3217"/>
      <c r="Q16" s="1811"/>
      <c r="R16" s="772"/>
      <c r="S16" s="773"/>
      <c r="T16" s="772"/>
      <c r="U16" s="773"/>
      <c r="V16" s="772"/>
      <c r="W16" s="773"/>
      <c r="X16" s="1814"/>
      <c r="Y16" s="3217"/>
      <c r="Z16" s="1815"/>
      <c r="AA16" s="1812">
        <v>1</v>
      </c>
      <c r="AB16" s="1812">
        <v>1</v>
      </c>
      <c r="AC16" s="1812">
        <v>1</v>
      </c>
    </row>
    <row r="17" spans="1:29" ht="71.25">
      <c r="A17" s="426"/>
      <c r="B17" s="449" t="s">
        <v>2658</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17"/>
      <c r="Q17" s="1811" t="str">
        <f>B17</f>
        <v>商业繁华度</v>
      </c>
      <c r="R17" s="772" t="s">
        <v>17</v>
      </c>
      <c r="S17" s="773">
        <f>F17</f>
        <v>100</v>
      </c>
      <c r="T17" s="772" t="s">
        <v>17</v>
      </c>
      <c r="U17" s="773">
        <f>H17</f>
        <v>100</v>
      </c>
      <c r="V17" s="772" t="s">
        <v>17</v>
      </c>
      <c r="W17" s="773">
        <f>J17</f>
        <v>100</v>
      </c>
      <c r="X17" s="1814"/>
      <c r="Y17" s="3217"/>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1"/>
      <c r="M18" s="1132"/>
      <c r="N18" s="1132"/>
      <c r="O18" s="1140"/>
      <c r="P18" s="3217"/>
      <c r="Q18" s="1811"/>
      <c r="R18" s="772"/>
      <c r="S18" s="773"/>
      <c r="T18" s="772"/>
      <c r="U18" s="773"/>
      <c r="V18" s="772"/>
      <c r="W18" s="773"/>
      <c r="X18" s="1814"/>
      <c r="Y18" s="3217"/>
      <c r="Z18" s="1815"/>
      <c r="AA18" s="1812">
        <v>1</v>
      </c>
      <c r="AB18" s="1812">
        <v>1</v>
      </c>
      <c r="AC18" s="1812">
        <v>1</v>
      </c>
    </row>
    <row r="19" spans="1:29" ht="71.25">
      <c r="A19" s="426"/>
      <c r="B19" s="449" t="s">
        <v>2692</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17"/>
      <c r="Q19" s="1811" t="str">
        <f>B19</f>
        <v>办公集聚程度</v>
      </c>
      <c r="R19" s="772" t="s">
        <v>17</v>
      </c>
      <c r="S19" s="773">
        <f>F19</f>
        <v>100</v>
      </c>
      <c r="T19" s="772" t="s">
        <v>17</v>
      </c>
      <c r="U19" s="773">
        <f>H19</f>
        <v>100</v>
      </c>
      <c r="V19" s="772" t="s">
        <v>17</v>
      </c>
      <c r="W19" s="773">
        <f>J19</f>
        <v>100</v>
      </c>
      <c r="X19" s="1814"/>
      <c r="Y19" s="3217"/>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1"/>
      <c r="M20" s="1132"/>
      <c r="N20" s="1132"/>
      <c r="O20" s="1140"/>
      <c r="P20" s="3217"/>
      <c r="Q20" s="1811"/>
      <c r="R20" s="772"/>
      <c r="S20" s="773"/>
      <c r="T20" s="772"/>
      <c r="U20" s="773"/>
      <c r="V20" s="772"/>
      <c r="W20" s="773"/>
      <c r="X20" s="1814"/>
      <c r="Y20" s="3217"/>
      <c r="Z20" s="1815"/>
      <c r="AA20" s="1812">
        <v>1</v>
      </c>
      <c r="AB20" s="1812">
        <v>1</v>
      </c>
      <c r="AC20" s="1812">
        <v>1</v>
      </c>
    </row>
    <row r="21" spans="1:29" ht="85.5">
      <c r="A21" s="426"/>
      <c r="B21" s="449" t="s">
        <v>2714</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17"/>
      <c r="Q21" s="1811" t="str">
        <f>B21</f>
        <v>交通便捷度</v>
      </c>
      <c r="R21" s="772" t="s">
        <v>17</v>
      </c>
      <c r="S21" s="773">
        <f>F21</f>
        <v>100</v>
      </c>
      <c r="T21" s="772" t="s">
        <v>17</v>
      </c>
      <c r="U21" s="773">
        <f>H21</f>
        <v>100</v>
      </c>
      <c r="V21" s="772" t="s">
        <v>17</v>
      </c>
      <c r="W21" s="773">
        <f>J21</f>
        <v>100</v>
      </c>
      <c r="X21" s="1814"/>
      <c r="Y21" s="3217"/>
      <c r="Z21" s="1815" t="str">
        <f>Q21</f>
        <v>交通便捷度</v>
      </c>
      <c r="AA21" s="1812">
        <f t="shared" si="3"/>
        <v>1</v>
      </c>
      <c r="AB21" s="1812">
        <f t="shared" si="4"/>
        <v>1</v>
      </c>
      <c r="AC21" s="1812">
        <f t="shared" si="5"/>
        <v>1</v>
      </c>
    </row>
    <row r="22" spans="1:29" ht="15">
      <c r="A22" s="426"/>
      <c r="B22" s="1385"/>
      <c r="C22" s="445"/>
      <c r="D22" s="448"/>
      <c r="E22" s="2608"/>
      <c r="F22" s="446"/>
      <c r="G22" s="2608"/>
      <c r="H22" s="446"/>
      <c r="I22" s="2607"/>
      <c r="J22" s="446"/>
      <c r="K22" s="670"/>
      <c r="L22" s="1141"/>
      <c r="M22" s="1132"/>
      <c r="N22" s="1132"/>
      <c r="O22" s="1140"/>
      <c r="P22" s="3217"/>
      <c r="Q22" s="1811"/>
      <c r="R22" s="772"/>
      <c r="S22" s="773"/>
      <c r="T22" s="772"/>
      <c r="U22" s="773"/>
      <c r="V22" s="772"/>
      <c r="W22" s="773"/>
      <c r="X22" s="1814"/>
      <c r="Y22" s="3217"/>
      <c r="Z22" s="1815"/>
      <c r="AA22" s="1812">
        <v>1</v>
      </c>
      <c r="AB22" s="1812">
        <v>1</v>
      </c>
      <c r="AC22" s="1812">
        <v>1</v>
      </c>
    </row>
    <row r="23" spans="1:29" ht="15">
      <c r="A23" s="402"/>
      <c r="B23" s="449" t="s">
        <v>2753</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17"/>
      <c r="Q23" s="1811" t="str">
        <f t="shared" ref="Q23:Q37" si="8">B23</f>
        <v>区域土地利用方向</v>
      </c>
      <c r="R23" s="772" t="s">
        <v>17</v>
      </c>
      <c r="S23" s="773">
        <f>F23</f>
        <v>100</v>
      </c>
      <c r="T23" s="772" t="s">
        <v>17</v>
      </c>
      <c r="U23" s="773">
        <f>H23</f>
        <v>100</v>
      </c>
      <c r="V23" s="772" t="s">
        <v>17</v>
      </c>
      <c r="W23" s="773">
        <f>J23</f>
        <v>100</v>
      </c>
      <c r="X23" s="1814"/>
      <c r="Y23" s="3217"/>
      <c r="Z23" s="1815" t="str">
        <f>Q23</f>
        <v>区域土地利用方向</v>
      </c>
      <c r="AA23" s="1812">
        <f t="shared" si="3"/>
        <v>1</v>
      </c>
      <c r="AB23" s="1812">
        <f t="shared" si="4"/>
        <v>1</v>
      </c>
      <c r="AC23" s="1812">
        <f t="shared" si="5"/>
        <v>1</v>
      </c>
    </row>
    <row r="24" spans="1:29" ht="15">
      <c r="A24" s="402"/>
      <c r="B24" s="454"/>
      <c r="C24" s="614"/>
      <c r="D24" s="446"/>
      <c r="E24" s="2608"/>
      <c r="F24" s="446"/>
      <c r="G24" s="2607"/>
      <c r="H24" s="446"/>
      <c r="I24" s="2607"/>
      <c r="J24" s="446"/>
      <c r="K24" s="810"/>
      <c r="L24" s="1141"/>
      <c r="M24" s="1132"/>
      <c r="N24" s="1132"/>
      <c r="O24" s="1140"/>
      <c r="P24" s="3217"/>
      <c r="Q24" s="1811"/>
      <c r="R24" s="772"/>
      <c r="S24" s="773"/>
      <c r="T24" s="772"/>
      <c r="U24" s="773"/>
      <c r="V24" s="772"/>
      <c r="W24" s="773"/>
      <c r="X24" s="1814"/>
      <c r="Y24" s="3217"/>
      <c r="Z24" s="1815"/>
      <c r="AA24" s="1812"/>
      <c r="AB24" s="1812"/>
      <c r="AC24" s="1812"/>
    </row>
    <row r="25" spans="1:29" ht="57">
      <c r="A25" s="402"/>
      <c r="B25" s="1385" t="s">
        <v>2754</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17"/>
      <c r="Q25" s="1811" t="str">
        <f t="shared" si="8"/>
        <v>自然及人文环境状况</v>
      </c>
      <c r="R25" s="772" t="s">
        <v>17</v>
      </c>
      <c r="S25" s="773">
        <f>F25</f>
        <v>100</v>
      </c>
      <c r="T25" s="772" t="s">
        <v>17</v>
      </c>
      <c r="U25" s="773">
        <f>H25</f>
        <v>100</v>
      </c>
      <c r="V25" s="772" t="s">
        <v>17</v>
      </c>
      <c r="W25" s="773">
        <f>J25</f>
        <v>100</v>
      </c>
      <c r="X25" s="1814"/>
      <c r="Y25" s="3217"/>
      <c r="Z25" s="1815" t="str">
        <f>Q25</f>
        <v>自然及人文环境状况</v>
      </c>
      <c r="AA25" s="1812">
        <f t="shared" si="3"/>
        <v>1</v>
      </c>
      <c r="AB25" s="1812">
        <f t="shared" si="4"/>
        <v>1</v>
      </c>
      <c r="AC25" s="1812">
        <f t="shared" si="5"/>
        <v>1</v>
      </c>
    </row>
    <row r="26" spans="1:29" ht="15">
      <c r="A26" s="402"/>
      <c r="B26" s="454"/>
      <c r="C26" s="445"/>
      <c r="D26" s="446"/>
      <c r="E26" s="2614"/>
      <c r="F26" s="446"/>
      <c r="G26" s="2614"/>
      <c r="H26" s="446"/>
      <c r="I26" s="445"/>
      <c r="J26" s="446"/>
      <c r="K26" s="670"/>
      <c r="L26" s="1141"/>
      <c r="M26" s="1132"/>
      <c r="N26" s="1132"/>
      <c r="O26" s="1140"/>
      <c r="P26" s="3217"/>
      <c r="Q26" s="1811"/>
      <c r="R26" s="772"/>
      <c r="S26" s="773"/>
      <c r="T26" s="772"/>
      <c r="U26" s="773"/>
      <c r="V26" s="772"/>
      <c r="W26" s="773"/>
      <c r="X26" s="1814"/>
      <c r="Y26" s="3217"/>
      <c r="Z26" s="1815"/>
      <c r="AA26" s="1812">
        <v>1</v>
      </c>
      <c r="AB26" s="1812">
        <v>1</v>
      </c>
      <c r="AC26" s="1812">
        <v>1</v>
      </c>
    </row>
    <row r="27" spans="1:29" s="115" customFormat="1" ht="42.75">
      <c r="A27" s="647"/>
      <c r="B27" s="1385" t="s">
        <v>2659</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17"/>
      <c r="Q27" s="1796" t="str">
        <f t="shared" si="8"/>
        <v>公共配套设施</v>
      </c>
      <c r="R27" s="768" t="s">
        <v>17</v>
      </c>
      <c r="S27" s="769">
        <f>F27</f>
        <v>100</v>
      </c>
      <c r="T27" s="768" t="s">
        <v>17</v>
      </c>
      <c r="U27" s="769">
        <f>H27</f>
        <v>100</v>
      </c>
      <c r="V27" s="768" t="s">
        <v>17</v>
      </c>
      <c r="W27" s="769">
        <f>J27</f>
        <v>100</v>
      </c>
      <c r="X27" s="770"/>
      <c r="Y27" s="3217"/>
      <c r="Z27" s="55" t="str">
        <f>Q27</f>
        <v>公共配套设施</v>
      </c>
      <c r="AA27" s="1812">
        <f>D27/F27</f>
        <v>1</v>
      </c>
      <c r="AB27" s="1812">
        <f>D27/H27</f>
        <v>1</v>
      </c>
      <c r="AC27" s="1812">
        <f>D27/J27</f>
        <v>1</v>
      </c>
    </row>
    <row r="28" spans="1:29" s="115" customFormat="1" ht="15">
      <c r="A28" s="647"/>
      <c r="B28" s="454"/>
      <c r="C28" s="2703"/>
      <c r="D28" s="446"/>
      <c r="E28" s="2614"/>
      <c r="F28" s="446"/>
      <c r="G28" s="2614"/>
      <c r="H28" s="446"/>
      <c r="I28" s="445"/>
      <c r="J28" s="446"/>
      <c r="K28" s="670"/>
      <c r="L28" s="1133"/>
      <c r="M28" s="1134"/>
      <c r="N28" s="1134"/>
      <c r="O28" s="1135"/>
      <c r="P28" s="3217"/>
      <c r="Q28" s="1796"/>
      <c r="R28" s="768"/>
      <c r="S28" s="769"/>
      <c r="T28" s="768"/>
      <c r="U28" s="769"/>
      <c r="V28" s="768"/>
      <c r="W28" s="769"/>
      <c r="X28" s="770"/>
      <c r="Y28" s="3217"/>
      <c r="Z28" s="55"/>
      <c r="AA28" s="1812">
        <v>1</v>
      </c>
      <c r="AB28" s="1812">
        <v>1</v>
      </c>
      <c r="AC28" s="1812">
        <v>1</v>
      </c>
    </row>
    <row r="29" spans="1:29" s="115" customFormat="1" ht="28.5">
      <c r="A29" s="647"/>
      <c r="B29" s="1385" t="s">
        <v>2660</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17"/>
      <c r="Q29" s="1796" t="str">
        <f t="shared" ref="Q29" si="9">B29</f>
        <v>基础设施水平</v>
      </c>
      <c r="R29" s="768" t="s">
        <v>17</v>
      </c>
      <c r="S29" s="769">
        <f>F29</f>
        <v>100</v>
      </c>
      <c r="T29" s="768" t="s">
        <v>17</v>
      </c>
      <c r="U29" s="769">
        <f>H29</f>
        <v>100</v>
      </c>
      <c r="V29" s="768" t="s">
        <v>17</v>
      </c>
      <c r="W29" s="769">
        <f>J29</f>
        <v>100</v>
      </c>
      <c r="X29" s="770"/>
      <c r="Y29" s="3217"/>
      <c r="Z29" s="55" t="str">
        <f>Q29</f>
        <v>基础设施水平</v>
      </c>
      <c r="AA29" s="1812">
        <f>D29/F29</f>
        <v>1</v>
      </c>
      <c r="AB29" s="1812">
        <f>D29/H29</f>
        <v>1</v>
      </c>
      <c r="AC29" s="1812">
        <f>D29/J29</f>
        <v>1</v>
      </c>
    </row>
    <row r="30" spans="1:29" s="115" customFormat="1" ht="15">
      <c r="A30" s="647"/>
      <c r="B30" s="454"/>
      <c r="C30" s="2703"/>
      <c r="D30" s="446"/>
      <c r="E30" s="2704"/>
      <c r="F30" s="446"/>
      <c r="G30" s="2704"/>
      <c r="H30" s="446"/>
      <c r="I30" s="2704"/>
      <c r="J30" s="446"/>
      <c r="K30" s="670"/>
      <c r="L30" s="1133"/>
      <c r="M30" s="1134"/>
      <c r="N30" s="1134"/>
      <c r="O30" s="1135"/>
      <c r="P30" s="3217"/>
      <c r="Q30" s="1796"/>
      <c r="R30" s="768"/>
      <c r="S30" s="769"/>
      <c r="T30" s="768"/>
      <c r="U30" s="769"/>
      <c r="V30" s="768"/>
      <c r="W30" s="769"/>
      <c r="X30" s="770"/>
      <c r="Y30" s="3217"/>
      <c r="Z30" s="55"/>
      <c r="AA30" s="1812">
        <v>1</v>
      </c>
      <c r="AB30" s="1812">
        <v>1</v>
      </c>
      <c r="AC30" s="1812">
        <v>1</v>
      </c>
    </row>
    <row r="31" spans="1:29" ht="15">
      <c r="A31" s="426"/>
      <c r="B31" s="454" t="s">
        <v>2661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17"/>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17"/>
      <c r="Z31" s="1815" t="str">
        <f t="shared" ref="Z31:Z45" si="13">Q31</f>
        <v>临街状况</v>
      </c>
      <c r="AA31" s="1812">
        <f t="shared" si="3"/>
        <v>1</v>
      </c>
      <c r="AB31" s="1812">
        <f t="shared" si="4"/>
        <v>1</v>
      </c>
      <c r="AC31" s="1812">
        <f t="shared" si="5"/>
        <v>1</v>
      </c>
    </row>
    <row r="32" spans="1:29" ht="27">
      <c r="A32" s="426"/>
      <c r="B32" s="1385"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17"/>
      <c r="Q32" s="1811" t="str">
        <f t="shared" si="8"/>
        <v>毗邻道路的类型与等级</v>
      </c>
      <c r="R32" s="772" t="s">
        <v>17</v>
      </c>
      <c r="S32" s="773">
        <f t="shared" si="10"/>
        <v>100</v>
      </c>
      <c r="T32" s="772" t="s">
        <v>17</v>
      </c>
      <c r="U32" s="773">
        <f t="shared" si="11"/>
        <v>100</v>
      </c>
      <c r="V32" s="772" t="s">
        <v>17</v>
      </c>
      <c r="W32" s="773">
        <f t="shared" si="12"/>
        <v>100</v>
      </c>
      <c r="X32" s="1814"/>
      <c r="Y32" s="3217"/>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1"/>
      <c r="M33" s="1132"/>
      <c r="N33" s="1132"/>
      <c r="O33" s="1140"/>
      <c r="P33" s="3217"/>
      <c r="Q33" s="1811"/>
      <c r="R33" s="772"/>
      <c r="S33" s="773"/>
      <c r="T33" s="772"/>
      <c r="U33" s="773"/>
      <c r="V33" s="772"/>
      <c r="W33" s="773"/>
      <c r="X33" s="1814"/>
      <c r="Y33" s="3217"/>
      <c r="Z33" s="1815"/>
      <c r="AA33" s="1812">
        <v>1</v>
      </c>
      <c r="AB33" s="1812">
        <v>1</v>
      </c>
      <c r="AC33" s="1812">
        <v>1</v>
      </c>
    </row>
    <row r="34" spans="1:29" ht="15">
      <c r="A34" s="426"/>
      <c r="B34" s="420" t="s">
        <v>2755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17"/>
      <c r="Q34" s="1811" t="str">
        <f t="shared" si="8"/>
        <v>土地级别</v>
      </c>
      <c r="R34" s="772" t="s">
        <v>17</v>
      </c>
      <c r="S34" s="773">
        <f t="shared" si="10"/>
        <v>100</v>
      </c>
      <c r="T34" s="772" t="s">
        <v>17</v>
      </c>
      <c r="U34" s="773">
        <f t="shared" si="11"/>
        <v>100</v>
      </c>
      <c r="V34" s="772" t="s">
        <v>17</v>
      </c>
      <c r="W34" s="773">
        <f t="shared" si="12"/>
        <v>100</v>
      </c>
      <c r="X34" s="1814"/>
      <c r="Y34" s="3217"/>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17"/>
      <c r="Q35" s="1811">
        <f t="shared" si="8"/>
        <v>111</v>
      </c>
      <c r="R35" s="772" t="s">
        <v>17</v>
      </c>
      <c r="S35" s="773">
        <f t="shared" si="10"/>
        <v>100</v>
      </c>
      <c r="T35" s="772" t="s">
        <v>17</v>
      </c>
      <c r="U35" s="773">
        <f t="shared" si="11"/>
        <v>100</v>
      </c>
      <c r="V35" s="772" t="s">
        <v>17</v>
      </c>
      <c r="W35" s="773">
        <f t="shared" si="12"/>
        <v>100</v>
      </c>
      <c r="X35" s="1814"/>
      <c r="Y35" s="3217"/>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72" t="s">
        <v>2570</v>
      </c>
      <c r="Q36" s="1811">
        <f t="shared" si="8"/>
        <v>111</v>
      </c>
      <c r="R36" s="772" t="s">
        <v>17</v>
      </c>
      <c r="S36" s="773">
        <f t="shared" si="10"/>
        <v>100</v>
      </c>
      <c r="T36" s="772" t="s">
        <v>17</v>
      </c>
      <c r="U36" s="773">
        <f t="shared" si="11"/>
        <v>100</v>
      </c>
      <c r="V36" s="772" t="s">
        <v>17</v>
      </c>
      <c r="W36" s="773">
        <f t="shared" si="12"/>
        <v>100</v>
      </c>
      <c r="X36" s="1814"/>
      <c r="Y36" s="3221" t="s">
        <v>2570</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21"/>
      <c r="Q37" s="1811">
        <f t="shared" si="8"/>
        <v>111</v>
      </c>
      <c r="R37" s="775" t="s">
        <v>17</v>
      </c>
      <c r="S37" s="776">
        <f t="shared" si="10"/>
        <v>100</v>
      </c>
      <c r="T37" s="775" t="s">
        <v>17</v>
      </c>
      <c r="U37" s="776">
        <f t="shared" si="11"/>
        <v>100</v>
      </c>
      <c r="V37" s="775" t="s">
        <v>17</v>
      </c>
      <c r="W37" s="776">
        <f t="shared" si="12"/>
        <v>100</v>
      </c>
      <c r="X37" s="777"/>
      <c r="Y37" s="3221"/>
      <c r="Z37" s="778">
        <f t="shared" si="13"/>
        <v>111</v>
      </c>
      <c r="AA37" s="1812">
        <f t="shared" si="3"/>
        <v>1</v>
      </c>
      <c r="AB37" s="1812">
        <f t="shared" si="4"/>
        <v>1</v>
      </c>
      <c r="AC37" s="1812">
        <f t="shared" si="5"/>
        <v>1</v>
      </c>
    </row>
    <row r="38" spans="1:29" ht="15">
      <c r="A38" s="470" t="s">
        <v>2568</v>
      </c>
      <c r="B38" s="454" t="s">
        <v>2756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21"/>
      <c r="Q38" s="1811" t="str">
        <f>B38</f>
        <v>宗地面积</v>
      </c>
      <c r="R38" s="772" t="s">
        <v>17</v>
      </c>
      <c r="S38" s="773" t="e">
        <f t="shared" si="10"/>
        <v>#N/A</v>
      </c>
      <c r="T38" s="772" t="s">
        <v>17</v>
      </c>
      <c r="U38" s="773" t="e">
        <f t="shared" si="11"/>
        <v>#N/A</v>
      </c>
      <c r="V38" s="772" t="s">
        <v>17</v>
      </c>
      <c r="W38" s="773" t="e">
        <f t="shared" si="12"/>
        <v>#N/A</v>
      </c>
      <c r="X38" s="1814"/>
      <c r="Y38" s="3221"/>
      <c r="Z38" s="1815" t="str">
        <f t="shared" si="13"/>
        <v>宗地面积</v>
      </c>
      <c r="AA38" s="1812" t="e">
        <f t="shared" si="3"/>
        <v>#N/A</v>
      </c>
      <c r="AB38" s="1812" t="e">
        <f t="shared" si="4"/>
        <v>#N/A</v>
      </c>
      <c r="AC38" s="1812" t="e">
        <f t="shared" si="5"/>
        <v>#N/A</v>
      </c>
    </row>
    <row r="39" spans="1:29" ht="15">
      <c r="A39" s="470"/>
      <c r="B39" s="420" t="s">
        <v>2757</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1"/>
      <c r="M39" s="1132"/>
      <c r="N39" s="1132"/>
      <c r="O39" s="1140"/>
      <c r="P39" s="3221"/>
      <c r="Q39" s="1811" t="str">
        <f t="shared" ref="Q39:Q45" si="14">B39</f>
        <v>宗地形状</v>
      </c>
      <c r="R39" s="772" t="s">
        <v>17</v>
      </c>
      <c r="S39" s="773">
        <f t="shared" si="10"/>
        <v>100</v>
      </c>
      <c r="T39" s="772" t="s">
        <v>17</v>
      </c>
      <c r="U39" s="773">
        <f t="shared" si="11"/>
        <v>100</v>
      </c>
      <c r="V39" s="772" t="s">
        <v>17</v>
      </c>
      <c r="W39" s="773">
        <f t="shared" si="12"/>
        <v>100</v>
      </c>
      <c r="X39" s="1814"/>
      <c r="Y39" s="3221"/>
      <c r="Z39" s="1815" t="str">
        <f t="shared" si="13"/>
        <v>宗地形状</v>
      </c>
      <c r="AA39" s="1812">
        <f t="shared" si="3"/>
        <v>1</v>
      </c>
      <c r="AB39" s="1812">
        <f t="shared" si="4"/>
        <v>1</v>
      </c>
      <c r="AC39" s="1812">
        <f t="shared" si="5"/>
        <v>1</v>
      </c>
    </row>
    <row r="40" spans="1:29" ht="15">
      <c r="A40" s="470"/>
      <c r="B40" s="420" t="s">
        <v>2758</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1"/>
      <c r="M40" s="1132"/>
      <c r="N40" s="1132"/>
      <c r="O40" s="1140"/>
      <c r="P40" s="3221"/>
      <c r="Q40" s="1811" t="str">
        <f t="shared" si="14"/>
        <v>临街宽度及深度</v>
      </c>
      <c r="R40" s="772" t="s">
        <v>17</v>
      </c>
      <c r="S40" s="773">
        <f t="shared" si="10"/>
        <v>100</v>
      </c>
      <c r="T40" s="772" t="s">
        <v>17</v>
      </c>
      <c r="U40" s="773">
        <f t="shared" si="11"/>
        <v>100</v>
      </c>
      <c r="V40" s="772" t="s">
        <v>17</v>
      </c>
      <c r="W40" s="773">
        <f t="shared" si="12"/>
        <v>100</v>
      </c>
      <c r="X40" s="1814"/>
      <c r="Y40" s="3221"/>
      <c r="Z40" s="1815" t="str">
        <f t="shared" si="13"/>
        <v>临街宽度及深度</v>
      </c>
      <c r="AA40" s="1812">
        <f t="shared" si="3"/>
        <v>1</v>
      </c>
      <c r="AB40" s="1812">
        <f t="shared" si="4"/>
        <v>1</v>
      </c>
      <c r="AC40" s="1812">
        <f t="shared" si="5"/>
        <v>1</v>
      </c>
    </row>
    <row r="41" spans="1:29" s="115" customFormat="1" ht="15">
      <c r="A41" s="471"/>
      <c r="B41" s="420" t="s">
        <v>2759</v>
      </c>
      <c r="C41" s="2705"/>
      <c r="D41" s="134">
        <v>100</v>
      </c>
      <c r="E41" s="2705"/>
      <c r="F41" s="433">
        <f>SUMIF(123:123,E41,124:124)-SUMIF(123:123,C41,124:124)+100</f>
        <v>100</v>
      </c>
      <c r="G41" s="2705"/>
      <c r="H41" s="433">
        <f>SUMIF(123:123,G41,124:124)-SUMIF(123:123,C41,124:124)+100</f>
        <v>100</v>
      </c>
      <c r="I41" s="2705"/>
      <c r="J41" s="433">
        <f>SUMIF(123:123,I41,124:124)-SUMIF(123:123,C41,124:124)+100</f>
        <v>100</v>
      </c>
      <c r="K41" s="610"/>
      <c r="L41" s="1133"/>
      <c r="M41" s="1134"/>
      <c r="N41" s="1134"/>
      <c r="O41" s="1135"/>
      <c r="P41" s="3221"/>
      <c r="Q41" s="1811" t="str">
        <f t="shared" si="14"/>
        <v>宗地开发程度</v>
      </c>
      <c r="R41" s="768" t="s">
        <v>17</v>
      </c>
      <c r="S41" s="769">
        <f t="shared" si="10"/>
        <v>100</v>
      </c>
      <c r="T41" s="768" t="s">
        <v>17</v>
      </c>
      <c r="U41" s="769">
        <f t="shared" si="11"/>
        <v>100</v>
      </c>
      <c r="V41" s="768" t="s">
        <v>17</v>
      </c>
      <c r="W41" s="769">
        <f t="shared" si="12"/>
        <v>100</v>
      </c>
      <c r="X41" s="770"/>
      <c r="Y41" s="3221"/>
      <c r="Z41" s="55" t="str">
        <f t="shared" si="13"/>
        <v>宗地开发程度</v>
      </c>
      <c r="AA41" s="771">
        <f t="shared" si="3"/>
        <v>1</v>
      </c>
      <c r="AB41" s="771">
        <f t="shared" si="4"/>
        <v>1</v>
      </c>
      <c r="AC41" s="771">
        <f t="shared" si="5"/>
        <v>1</v>
      </c>
    </row>
    <row r="42" spans="1:29" ht="15">
      <c r="A42" s="470"/>
      <c r="B42" s="420" t="s">
        <v>2760</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1"/>
      <c r="M42" s="1132"/>
      <c r="N42" s="1132"/>
      <c r="O42" s="1140"/>
      <c r="P42" s="3221" t="s">
        <v>2570</v>
      </c>
      <c r="Q42" s="1811" t="str">
        <f t="shared" si="14"/>
        <v>工程地质条件</v>
      </c>
      <c r="R42" s="772" t="s">
        <v>17</v>
      </c>
      <c r="S42" s="773">
        <f t="shared" si="10"/>
        <v>100</v>
      </c>
      <c r="T42" s="772" t="s">
        <v>17</v>
      </c>
      <c r="U42" s="773">
        <f t="shared" si="11"/>
        <v>100</v>
      </c>
      <c r="V42" s="772" t="s">
        <v>17</v>
      </c>
      <c r="W42" s="773">
        <f t="shared" si="12"/>
        <v>100</v>
      </c>
      <c r="X42" s="1814"/>
      <c r="Y42" s="3221" t="s">
        <v>2570</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21"/>
      <c r="Q43" s="1811">
        <f t="shared" si="14"/>
        <v>111</v>
      </c>
      <c r="R43" s="772" t="s">
        <v>17</v>
      </c>
      <c r="S43" s="773">
        <f t="shared" si="10"/>
        <v>100</v>
      </c>
      <c r="T43" s="772" t="s">
        <v>17</v>
      </c>
      <c r="U43" s="773">
        <f t="shared" si="11"/>
        <v>100</v>
      </c>
      <c r="V43" s="772" t="s">
        <v>17</v>
      </c>
      <c r="W43" s="773">
        <f t="shared" si="12"/>
        <v>100</v>
      </c>
      <c r="X43" s="1814"/>
      <c r="Y43" s="3221"/>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21"/>
      <c r="Q44" s="1811">
        <f t="shared" si="14"/>
        <v>111</v>
      </c>
      <c r="R44" s="772" t="s">
        <v>17</v>
      </c>
      <c r="S44" s="773">
        <f t="shared" si="10"/>
        <v>100</v>
      </c>
      <c r="T44" s="772" t="s">
        <v>17</v>
      </c>
      <c r="U44" s="773">
        <f t="shared" si="11"/>
        <v>100</v>
      </c>
      <c r="V44" s="772" t="s">
        <v>17</v>
      </c>
      <c r="W44" s="773">
        <f t="shared" si="12"/>
        <v>100</v>
      </c>
      <c r="X44" s="1814"/>
      <c r="Y44" s="3221"/>
      <c r="Z44" s="1815">
        <f t="shared" si="13"/>
        <v>111</v>
      </c>
      <c r="AA44" s="1812">
        <f t="shared" si="3"/>
        <v>1</v>
      </c>
      <c r="AB44" s="1812">
        <f t="shared" si="4"/>
        <v>1</v>
      </c>
      <c r="AC44" s="1812">
        <f t="shared" si="5"/>
        <v>1</v>
      </c>
    </row>
    <row r="45" spans="1:29" s="469" customFormat="1" ht="15.75" thickBot="1">
      <c r="A45" s="466"/>
      <c r="B45" s="1388">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21"/>
      <c r="Q45" s="1811">
        <f t="shared" si="14"/>
        <v>111</v>
      </c>
      <c r="R45" s="775" t="s">
        <v>17</v>
      </c>
      <c r="S45" s="776">
        <f t="shared" si="10"/>
        <v>100</v>
      </c>
      <c r="T45" s="775" t="s">
        <v>17</v>
      </c>
      <c r="U45" s="776">
        <f t="shared" si="11"/>
        <v>100</v>
      </c>
      <c r="V45" s="775" t="s">
        <v>17</v>
      </c>
      <c r="W45" s="776">
        <f t="shared" si="12"/>
        <v>100</v>
      </c>
      <c r="X45" s="777"/>
      <c r="Y45" s="3221"/>
      <c r="Z45" s="778">
        <f t="shared" si="13"/>
        <v>111</v>
      </c>
      <c r="AA45" s="1812">
        <f t="shared" si="3"/>
        <v>1</v>
      </c>
      <c r="AB45" s="1812">
        <f t="shared" si="4"/>
        <v>1</v>
      </c>
      <c r="AC45" s="1812">
        <f t="shared" si="5"/>
        <v>1</v>
      </c>
    </row>
    <row r="46" spans="1:29" ht="15">
      <c r="A46" s="477" t="s">
        <v>2725</v>
      </c>
      <c r="B46" s="2707" t="s">
        <v>2761</v>
      </c>
      <c r="C46" s="680" t="s">
        <v>1</v>
      </c>
      <c r="D46" s="479"/>
      <c r="E46" s="480"/>
      <c r="F46" s="481"/>
      <c r="G46" s="482"/>
      <c r="H46" s="483"/>
      <c r="I46" s="480"/>
      <c r="J46" s="483"/>
      <c r="K46" s="781"/>
      <c r="L46" s="1144"/>
      <c r="M46" s="1145"/>
      <c r="N46" s="1132"/>
      <c r="O46" s="1145"/>
      <c r="P46" s="3214" t="str">
        <f>A46</f>
        <v>成交单价</v>
      </c>
      <c r="Q46" s="3214"/>
      <c r="R46" s="3245">
        <f>E46</f>
        <v>0</v>
      </c>
      <c r="S46" s="3245"/>
      <c r="T46" s="3245">
        <f>G46</f>
        <v>0</v>
      </c>
      <c r="U46" s="3245"/>
      <c r="V46" s="3245">
        <f>I46</f>
        <v>0</v>
      </c>
      <c r="W46" s="3245"/>
      <c r="X46" s="757"/>
      <c r="Y46" s="779"/>
      <c r="Z46" s="757"/>
      <c r="AA46" s="757"/>
      <c r="AB46" s="757"/>
      <c r="AC46" s="757"/>
    </row>
    <row r="47" spans="1:29" ht="15.75" thickBot="1">
      <c r="A47" s="484" t="s">
        <v>2674</v>
      </c>
      <c r="B47" s="681"/>
      <c r="C47" s="488" t="e">
        <f>R48</f>
        <v>#DIV/0!</v>
      </c>
      <c r="D47" s="487"/>
      <c r="E47" s="488" t="e">
        <f>R47</f>
        <v>#DIV/0!</v>
      </c>
      <c r="F47" s="489"/>
      <c r="G47" s="486" t="e">
        <f>T47</f>
        <v>#DIV/0!</v>
      </c>
      <c r="H47" s="487"/>
      <c r="I47" s="488" t="e">
        <f>V47</f>
        <v>#DIV/0!</v>
      </c>
      <c r="J47" s="487"/>
      <c r="K47" s="782"/>
      <c r="L47" s="1144"/>
      <c r="M47" s="1145"/>
      <c r="N47" s="1145"/>
      <c r="O47" s="1145"/>
      <c r="P47" s="3214" t="str">
        <f>A47</f>
        <v>比较价值（元/平方米）</v>
      </c>
      <c r="Q47" s="3214"/>
      <c r="R47" s="3273" t="e">
        <f>ROUND(PRODUCT(R46,AA7:AA45),0)</f>
        <v>#DIV/0!</v>
      </c>
      <c r="S47" s="3273"/>
      <c r="T47" s="3273" t="e">
        <f>ROUND(PRODUCT(T46,AB7:AB45),0)</f>
        <v>#DIV/0!</v>
      </c>
      <c r="U47" s="3273"/>
      <c r="V47" s="3273" t="e">
        <f>ROUND(PRODUCT(V46,AC7:AC45),0)</f>
        <v>#DIV/0!</v>
      </c>
      <c r="W47" s="3273"/>
      <c r="X47" s="757"/>
      <c r="Y47" s="757"/>
      <c r="Z47" s="757"/>
      <c r="AA47" s="757"/>
      <c r="AB47" s="757"/>
      <c r="AC47" s="757"/>
    </row>
    <row r="48" spans="1:29" ht="15.75" thickBot="1">
      <c r="A48" s="490" t="s">
        <v>2762</v>
      </c>
      <c r="B48" s="491"/>
      <c r="C48" s="492" t="e">
        <f>R48</f>
        <v>#DIV/0!</v>
      </c>
      <c r="D48" s="492"/>
      <c r="E48" s="492"/>
      <c r="F48" s="492"/>
      <c r="G48" s="492"/>
      <c r="H48" s="492"/>
      <c r="I48" s="492"/>
      <c r="J48" s="492"/>
      <c r="K48" s="783"/>
      <c r="L48" s="1144"/>
      <c r="M48" s="1145"/>
      <c r="N48" s="1145"/>
      <c r="O48" s="1145"/>
      <c r="P48" s="3211" t="str">
        <f>A48</f>
        <v>估价对象XX用房的比较价值（楼面单价，元/平方米）</v>
      </c>
      <c r="Q48" s="3212"/>
      <c r="R48" s="3274" t="e">
        <f>ROUND(AVERAGE(R47:V47),0)</f>
        <v>#DIV/0!</v>
      </c>
      <c r="S48" s="3274"/>
      <c r="T48" s="3274"/>
      <c r="U48" s="3274"/>
      <c r="V48" s="3274"/>
      <c r="W48" s="327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2763</v>
      </c>
      <c r="B55" s="683" t="s">
        <v>2764</v>
      </c>
      <c r="C55" s="2708" t="s">
        <v>2765</v>
      </c>
      <c r="D55" s="2709" t="s">
        <v>2766</v>
      </c>
      <c r="E55" s="684" t="s">
        <v>2767</v>
      </c>
      <c r="F55" s="1108" t="s">
        <v>2768</v>
      </c>
      <c r="G55" s="3229" t="s">
        <v>2769</v>
      </c>
      <c r="H55" s="3275"/>
      <c r="I55" s="142" t="s">
        <v>2770</v>
      </c>
      <c r="J55" s="2710">
        <f>项目基本情况!F35</f>
        <v>0</v>
      </c>
      <c r="K55" s="2711" t="s">
        <v>2771</v>
      </c>
      <c r="L55" s="1107"/>
      <c r="M55" s="1145"/>
      <c r="N55" s="1145"/>
      <c r="O55" s="1145"/>
    </row>
    <row r="56" spans="1:15" s="690" customFormat="1">
      <c r="A56" s="686" t="s">
        <v>2772</v>
      </c>
      <c r="B56" s="687" t="e">
        <f>C48</f>
        <v>#DIV/0!</v>
      </c>
      <c r="C56" s="688">
        <v>1</v>
      </c>
      <c r="D56" s="1164">
        <v>1</v>
      </c>
      <c r="E56" s="688">
        <f>'数据-汇总表'!E8+'数据-汇总表'!E9</f>
        <v>4254.24</v>
      </c>
      <c r="F56" s="1104" t="e">
        <f t="shared" ref="F56:F65" si="15">ROUND(B56*E56/10000,0)</f>
        <v>#DIV/0!</v>
      </c>
      <c r="G56" s="3225"/>
      <c r="H56" s="3214"/>
      <c r="I56" s="1109">
        <v>1</v>
      </c>
      <c r="J56" s="1112">
        <v>1</v>
      </c>
      <c r="K56" s="1146"/>
      <c r="L56" s="942"/>
      <c r="M56" s="942"/>
      <c r="N56" s="942"/>
      <c r="O56" s="942"/>
    </row>
    <row r="57" spans="1:15" s="690" customFormat="1">
      <c r="A57" s="691" t="s">
        <v>2773</v>
      </c>
      <c r="B57" s="260" t="e">
        <f>ROUND($C$48*C57*D57,0)</f>
        <v>#DIV/0!</v>
      </c>
      <c r="C57" s="198">
        <f t="shared" ref="C57:C65" si="16">IF($C$55="北京市系数",I57,J57)</f>
        <v>0.7</v>
      </c>
      <c r="D57" s="1165">
        <v>0.25</v>
      </c>
      <c r="E57" s="692"/>
      <c r="F57" s="1104" t="e">
        <f t="shared" si="15"/>
        <v>#DIV/0!</v>
      </c>
      <c r="G57" s="3276" t="s">
        <v>2774</v>
      </c>
      <c r="H57" s="1105" t="str">
        <f>项目基本情况!B37</f>
        <v>七级</v>
      </c>
      <c r="I57" s="1109">
        <f>SUMIF(修正!A45:A56,H57,修正!B45:B56)</f>
        <v>0.7</v>
      </c>
      <c r="J57" s="1113"/>
      <c r="K57" s="1145"/>
      <c r="L57" s="942"/>
      <c r="M57" s="942"/>
      <c r="N57" s="942"/>
      <c r="O57" s="942"/>
    </row>
    <row r="58" spans="1:15" s="690" customFormat="1">
      <c r="A58" s="691" t="s">
        <v>2775</v>
      </c>
      <c r="B58" s="260" t="e">
        <f t="shared" ref="B58:B65" si="17">ROUND($C$48*C58*D58,0)</f>
        <v>#DIV/0!</v>
      </c>
      <c r="C58" s="198">
        <f t="shared" si="16"/>
        <v>0.4</v>
      </c>
      <c r="D58" s="1165">
        <v>0.25</v>
      </c>
      <c r="E58" s="692"/>
      <c r="F58" s="1104" t="e">
        <f t="shared" si="15"/>
        <v>#DIV/0!</v>
      </c>
      <c r="G58" s="3276"/>
      <c r="H58" s="1105" t="str">
        <f>项目基本情况!B37</f>
        <v>七级</v>
      </c>
      <c r="I58" s="1109">
        <f>SUMIF(修正!A45:A56,H58,修正!C45:C56)</f>
        <v>0.4</v>
      </c>
      <c r="J58" s="1113"/>
      <c r="K58" s="1146"/>
      <c r="L58" s="942"/>
      <c r="M58" s="942"/>
      <c r="N58" s="942"/>
      <c r="O58" s="942"/>
    </row>
    <row r="59" spans="1:15" s="690" customFormat="1">
      <c r="A59" s="691" t="s">
        <v>2776</v>
      </c>
      <c r="B59" s="260" t="e">
        <f t="shared" si="17"/>
        <v>#DIV/0!</v>
      </c>
      <c r="C59" s="198">
        <f t="shared" si="16"/>
        <v>0.28000000000000003</v>
      </c>
      <c r="D59" s="1165">
        <v>0.25</v>
      </c>
      <c r="E59" s="692"/>
      <c r="F59" s="1104" t="e">
        <f t="shared" si="15"/>
        <v>#DIV/0!</v>
      </c>
      <c r="G59" s="3276"/>
      <c r="H59" s="1105" t="str">
        <f>项目基本情况!B37</f>
        <v>七级</v>
      </c>
      <c r="I59" s="1109">
        <f>SUMIF(修正!A45:A56,H59,修正!D45:D56)</f>
        <v>0.28000000000000003</v>
      </c>
      <c r="J59" s="1113"/>
      <c r="K59" s="1145"/>
      <c r="L59" s="942"/>
      <c r="M59" s="942"/>
      <c r="N59" s="942"/>
      <c r="O59" s="942"/>
    </row>
    <row r="60" spans="1:15" s="690" customFormat="1">
      <c r="A60" s="691" t="s">
        <v>2777</v>
      </c>
      <c r="B60" s="260" t="e">
        <f t="shared" si="17"/>
        <v>#DIV/0!</v>
      </c>
      <c r="C60" s="198">
        <f t="shared" si="16"/>
        <v>0.25</v>
      </c>
      <c r="D60" s="1165">
        <v>0.25</v>
      </c>
      <c r="E60" s="692"/>
      <c r="F60" s="1104" t="e">
        <f t="shared" si="15"/>
        <v>#DIV/0!</v>
      </c>
      <c r="G60" s="3276"/>
      <c r="H60" s="1105" t="str">
        <f>项目基本情况!B37</f>
        <v>七级</v>
      </c>
      <c r="I60" s="1109">
        <f>SUMIF(修正!A45:A56,H60,修正!E45:E56)</f>
        <v>0.25</v>
      </c>
      <c r="J60" s="1113"/>
      <c r="K60" s="1146"/>
      <c r="L60" s="942"/>
      <c r="M60" s="942"/>
      <c r="N60" s="942"/>
      <c r="O60" s="942"/>
    </row>
    <row r="61" spans="1:15" s="690" customFormat="1">
      <c r="A61" s="691" t="s">
        <v>2778</v>
      </c>
      <c r="B61" s="260" t="e">
        <f t="shared" si="17"/>
        <v>#DIV/0!</v>
      </c>
      <c r="C61" s="198">
        <f t="shared" si="16"/>
        <v>0.25</v>
      </c>
      <c r="D61" s="1165">
        <v>0.25</v>
      </c>
      <c r="E61" s="259">
        <f>'数据-汇总表'!E11</f>
        <v>0</v>
      </c>
      <c r="F61" s="1104" t="e">
        <f t="shared" si="15"/>
        <v>#DIV/0!</v>
      </c>
      <c r="G61" s="2712" t="s">
        <v>2779</v>
      </c>
      <c r="H61" s="1105" t="str">
        <f>项目基本情况!C37</f>
        <v>七级</v>
      </c>
      <c r="I61" s="1109">
        <f>SUMIF(修正!A45:A56,H61,修正!F45:F56)</f>
        <v>0.25</v>
      </c>
      <c r="J61" s="1113"/>
      <c r="K61" s="1145"/>
      <c r="L61" s="942"/>
      <c r="M61" s="942"/>
      <c r="N61" s="942"/>
      <c r="O61" s="942"/>
    </row>
    <row r="62" spans="1:15" s="690" customFormat="1">
      <c r="A62" s="691" t="s">
        <v>2780</v>
      </c>
      <c r="B62" s="260" t="e">
        <f t="shared" si="17"/>
        <v>#DIV/0!</v>
      </c>
      <c r="C62" s="198">
        <f t="shared" si="16"/>
        <v>0.25</v>
      </c>
      <c r="D62" s="1165">
        <v>0.25</v>
      </c>
      <c r="E62" s="259">
        <f>'数据-汇总表'!E12</f>
        <v>0</v>
      </c>
      <c r="F62" s="1104" t="e">
        <f t="shared" si="15"/>
        <v>#DIV/0!</v>
      </c>
      <c r="G62" s="1110" t="s">
        <v>2781</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0" customFormat="1">
      <c r="A63" s="691" t="s">
        <v>2782</v>
      </c>
      <c r="B63" s="260" t="e">
        <f t="shared" si="17"/>
        <v>#DIV/0!</v>
      </c>
      <c r="C63" s="198">
        <f t="shared" si="16"/>
        <v>0</v>
      </c>
      <c r="D63" s="1165">
        <v>0.25</v>
      </c>
      <c r="E63" s="259">
        <f>'数据-汇总表'!E13</f>
        <v>0</v>
      </c>
      <c r="F63" s="1104" t="e">
        <f t="shared" si="15"/>
        <v>#DIV/0!</v>
      </c>
      <c r="G63" s="1110" t="s">
        <v>2783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2784</v>
      </c>
      <c r="B64" s="260" t="e">
        <f t="shared" si="17"/>
        <v>#DIV/0!</v>
      </c>
      <c r="C64" s="198">
        <f t="shared" si="16"/>
        <v>0.2</v>
      </c>
      <c r="D64" s="1165">
        <v>0.25</v>
      </c>
      <c r="E64" s="259">
        <f>'数据-汇总表'!E14</f>
        <v>0</v>
      </c>
      <c r="F64" s="1104" t="e">
        <f t="shared" si="15"/>
        <v>#DIV/0!</v>
      </c>
      <c r="G64" s="2712" t="s">
        <v>2774</v>
      </c>
      <c r="H64" s="1105" t="str">
        <f>项目基本情况!B37</f>
        <v>七级</v>
      </c>
      <c r="I64" s="1109">
        <f>SUMIF(修正!A45:A56,H64,修正!H45:H56)</f>
        <v>0.2</v>
      </c>
      <c r="J64" s="1113"/>
      <c r="K64" s="1146"/>
      <c r="L64" s="942"/>
      <c r="M64" s="942"/>
      <c r="N64" s="942"/>
      <c r="O64" s="942"/>
    </row>
    <row r="65" spans="1:17" s="690" customFormat="1" ht="15" thickBot="1">
      <c r="A65" s="691" t="s">
        <v>2785</v>
      </c>
      <c r="B65" s="260" t="e">
        <f t="shared" si="17"/>
        <v>#DIV/0!</v>
      </c>
      <c r="C65" s="198">
        <f t="shared" si="16"/>
        <v>0.2</v>
      </c>
      <c r="D65" s="1165">
        <v>0.25</v>
      </c>
      <c r="E65" s="259">
        <f>'数据-汇总表'!E15</f>
        <v>0</v>
      </c>
      <c r="F65" s="1104" t="e">
        <f t="shared" si="15"/>
        <v>#DIV/0!</v>
      </c>
      <c r="G65" s="2713" t="s">
        <v>2779</v>
      </c>
      <c r="H65" s="1115" t="str">
        <f>项目基本情况!C37</f>
        <v>七级</v>
      </c>
      <c r="I65" s="1111">
        <f>SUMIF(修正!A45:A56,H65,修正!H45:H56)</f>
        <v>0.2</v>
      </c>
      <c r="J65" s="1114"/>
      <c r="K65" s="1145"/>
      <c r="L65" s="942"/>
      <c r="M65" s="942"/>
      <c r="N65" s="942"/>
      <c r="O65" s="942"/>
    </row>
    <row r="66" spans="1:17" s="690" customFormat="1" ht="13.5" thickBot="1">
      <c r="A66" s="693" t="s">
        <v>2786</v>
      </c>
      <c r="B66" s="694" t="s">
        <v>28</v>
      </c>
      <c r="C66" s="694" t="s">
        <v>29</v>
      </c>
      <c r="D66" s="694" t="s">
        <v>1029</v>
      </c>
      <c r="E66" s="694">
        <f>IF(B46="楼面地价",SUM(E56:E65),'数据-汇总表'!D3)</f>
        <v>4254.24</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2679</v>
      </c>
      <c r="B69" s="757"/>
      <c r="C69" s="762"/>
      <c r="D69" s="762"/>
      <c r="E69" s="762"/>
      <c r="F69" s="763"/>
      <c r="G69" s="763"/>
      <c r="H69" s="762"/>
      <c r="I69" s="762"/>
      <c r="J69" s="1160"/>
      <c r="K69" s="1161"/>
      <c r="L69" s="1162"/>
      <c r="M69" s="1160"/>
      <c r="N69" s="1160"/>
      <c r="O69" s="1160"/>
      <c r="P69" s="501"/>
      <c r="Q69" s="502"/>
    </row>
    <row r="70" spans="1:17" s="506" customFormat="1" ht="15">
      <c r="A70" s="2714" t="s">
        <v>2787</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5"/>
    </row>
    <row r="71" spans="1:17" s="115" customFormat="1" ht="30" customHeight="1">
      <c r="A71" s="2715" t="s">
        <v>2788</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8"/>
      <c r="N71" s="593"/>
      <c r="O71" s="1569"/>
      <c r="P71" s="502"/>
    </row>
    <row r="72" spans="1:17" s="115" customFormat="1" ht="15.75" thickBot="1">
      <c r="A72" s="513" t="s">
        <v>2590</v>
      </c>
      <c r="B72" s="514"/>
      <c r="C72" s="515"/>
      <c r="D72" s="516"/>
      <c r="E72" s="516"/>
      <c r="F72" s="516"/>
      <c r="G72" s="516"/>
      <c r="H72" s="516"/>
      <c r="I72" s="516"/>
      <c r="J72" s="516"/>
      <c r="K72" s="516"/>
      <c r="L72" s="516"/>
      <c r="M72" s="517"/>
      <c r="N72" s="516"/>
      <c r="O72" s="1163"/>
      <c r="P72" s="502"/>
      <c r="Q72" s="502"/>
    </row>
    <row r="73" spans="1:17" s="115" customFormat="1" ht="15">
      <c r="A73" s="519" t="s">
        <v>2555</v>
      </c>
      <c r="B73" s="508"/>
      <c r="C73" s="520" t="s">
        <v>2657</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2593</v>
      </c>
      <c r="B75" s="526" t="s">
        <v>2559</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2562</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2790</v>
      </c>
      <c r="C96" s="576" t="s">
        <v>2602</v>
      </c>
      <c r="D96" s="576" t="s">
        <v>2603</v>
      </c>
      <c r="E96" s="576" t="s">
        <v>2604</v>
      </c>
      <c r="F96" s="576" t="s">
        <v>2605</v>
      </c>
      <c r="G96" s="576" t="s">
        <v>2606</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2791</v>
      </c>
      <c r="C98" s="571" t="s">
        <v>2602</v>
      </c>
      <c r="D98" s="571" t="s">
        <v>2603</v>
      </c>
      <c r="E98" s="571" t="s">
        <v>2604</v>
      </c>
      <c r="F98" s="571" t="s">
        <v>2605</v>
      </c>
      <c r="G98" s="571" t="s">
        <v>2606</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2660</v>
      </c>
      <c r="C102" s="658" t="s">
        <v>2680</v>
      </c>
      <c r="D102" s="658" t="s">
        <v>2681</v>
      </c>
      <c r="E102" s="658" t="s">
        <v>2682</v>
      </c>
      <c r="F102" s="658" t="s">
        <v>2683</v>
      </c>
      <c r="G102" s="658" t="s">
        <v>2684</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2696</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2755</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2797</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2798</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2799</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2800</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2332</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ROUND(IF(D3="",B2*10000/'数据-汇总表'!E3,B2*10000/D3),0)</f>
        <v>#DIV/0!</v>
      </c>
      <c r="C3" s="245"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29" t="s">
        <v>2651</v>
      </c>
      <c r="D4" s="3230"/>
      <c r="E4" s="3231" t="s">
        <v>2652</v>
      </c>
      <c r="F4" s="3232"/>
      <c r="G4" s="3229" t="s">
        <v>2653</v>
      </c>
      <c r="H4" s="3230"/>
      <c r="I4" s="3229" t="s">
        <v>2654</v>
      </c>
      <c r="J4" s="3230"/>
      <c r="K4" s="608" t="s">
        <v>2655</v>
      </c>
      <c r="L4" s="1131"/>
      <c r="M4" s="1132"/>
      <c r="N4" s="1132"/>
      <c r="O4" s="1132"/>
      <c r="P4" s="3233" t="s">
        <v>2656</v>
      </c>
      <c r="Q4" s="3234"/>
      <c r="R4" s="3239" t="s">
        <v>2652</v>
      </c>
      <c r="S4" s="3240"/>
      <c r="T4" s="3239" t="s">
        <v>2653</v>
      </c>
      <c r="U4" s="3240"/>
      <c r="V4" s="3245" t="s">
        <v>2654</v>
      </c>
      <c r="W4" s="3245"/>
      <c r="X4" s="1814"/>
      <c r="Y4" s="3239" t="s">
        <v>2656</v>
      </c>
      <c r="Z4" s="3240"/>
      <c r="AA4" s="3226" t="s">
        <v>2652</v>
      </c>
      <c r="AB4" s="3227" t="s">
        <v>2653</v>
      </c>
      <c r="AC4" s="3226" t="s">
        <v>2654</v>
      </c>
    </row>
    <row r="5" spans="1:29" ht="15">
      <c r="A5" s="402"/>
      <c r="B5" s="403"/>
      <c r="C5" s="3248" t="s">
        <v>2547</v>
      </c>
      <c r="D5" s="3249"/>
      <c r="E5" s="3255" t="s">
        <v>2548</v>
      </c>
      <c r="F5" s="3256"/>
      <c r="G5" s="3248" t="s">
        <v>2549</v>
      </c>
      <c r="H5" s="3249"/>
      <c r="I5" s="3248" t="s">
        <v>2550</v>
      </c>
      <c r="J5" s="3249"/>
      <c r="K5" s="608"/>
      <c r="L5" s="1131"/>
      <c r="M5" s="1132"/>
      <c r="N5" s="1132"/>
      <c r="O5" s="1132"/>
      <c r="P5" s="3235"/>
      <c r="Q5" s="3236"/>
      <c r="R5" s="3241"/>
      <c r="S5" s="3242"/>
      <c r="T5" s="3241"/>
      <c r="U5" s="3242"/>
      <c r="V5" s="3245"/>
      <c r="W5" s="3245"/>
      <c r="X5" s="1814"/>
      <c r="Y5" s="3241"/>
      <c r="Z5" s="3242"/>
      <c r="AA5" s="3227"/>
      <c r="AB5" s="3227"/>
      <c r="AC5" s="3227"/>
    </row>
    <row r="6" spans="1:29" ht="15.75" thickBot="1">
      <c r="A6" s="404"/>
      <c r="B6" s="405"/>
      <c r="C6" s="3277" t="s">
        <v>2802</v>
      </c>
      <c r="D6" s="3278"/>
      <c r="E6" s="3279" t="s">
        <v>2802</v>
      </c>
      <c r="F6" s="3280"/>
      <c r="G6" s="3277" t="s">
        <v>2802</v>
      </c>
      <c r="H6" s="3278"/>
      <c r="I6" s="3277" t="s">
        <v>2802</v>
      </c>
      <c r="J6" s="3278"/>
      <c r="K6" s="608" t="s">
        <v>2552</v>
      </c>
      <c r="L6" s="1131"/>
      <c r="M6" s="1132"/>
      <c r="N6" s="1132"/>
      <c r="O6" s="1132"/>
      <c r="P6" s="3237"/>
      <c r="Q6" s="3238"/>
      <c r="R6" s="3241"/>
      <c r="S6" s="3242"/>
      <c r="T6" s="3243"/>
      <c r="U6" s="3244"/>
      <c r="V6" s="3245"/>
      <c r="W6" s="3245"/>
      <c r="X6" s="1814"/>
      <c r="Y6" s="3243"/>
      <c r="Z6" s="3244"/>
      <c r="AA6" s="3228"/>
      <c r="AB6" s="3228"/>
      <c r="AC6" s="3228"/>
    </row>
    <row r="7" spans="1:29" s="115" customFormat="1" ht="15.75" thickBot="1">
      <c r="A7" s="406" t="s">
        <v>2553</v>
      </c>
      <c r="B7" s="407"/>
      <c r="C7" s="408">
        <f>'数据-取费表'!B2</f>
        <v>43398</v>
      </c>
      <c r="D7" s="409">
        <v>100</v>
      </c>
      <c r="E7" s="410"/>
      <c r="F7" s="411">
        <f>SUMIF(65:65,YEAR(E7)&amp;"-"&amp;INT((MONTH(E7)+2)/3),66:66)</f>
        <v>0</v>
      </c>
      <c r="G7" s="2699"/>
      <c r="H7" s="409">
        <f>SUMIF(65:65,YEAR(G7)&amp;"-"&amp;INT((MONTH(G7)+2)/3),66:66)</f>
        <v>0</v>
      </c>
      <c r="I7" s="2699"/>
      <c r="J7" s="409">
        <f>SUMIF(65:65,YEAR(I7)&amp;"-"&amp;INT((MONTH(I7)+2)/3),66:66)</f>
        <v>0</v>
      </c>
      <c r="K7" s="609"/>
      <c r="L7" s="1133"/>
      <c r="M7" s="1134"/>
      <c r="N7" s="1134"/>
      <c r="O7" s="1134"/>
      <c r="P7" s="3250" t="s">
        <v>2554</v>
      </c>
      <c r="Q7" s="3252"/>
      <c r="R7" s="768" t="s">
        <v>17</v>
      </c>
      <c r="S7" s="769">
        <f t="shared" ref="S7:S15" si="0">F7</f>
        <v>0</v>
      </c>
      <c r="T7" s="768" t="s">
        <v>17</v>
      </c>
      <c r="U7" s="769">
        <f t="shared" ref="U7:U15" si="1">H7</f>
        <v>0</v>
      </c>
      <c r="V7" s="768" t="s">
        <v>17</v>
      </c>
      <c r="W7" s="769">
        <f t="shared" ref="W7:W15" si="2">J7</f>
        <v>0</v>
      </c>
      <c r="X7" s="770"/>
      <c r="Y7" s="3250" t="s">
        <v>2554</v>
      </c>
      <c r="Z7" s="3251"/>
      <c r="AA7" s="771" t="e">
        <f>D7/F7</f>
        <v>#DIV/0!</v>
      </c>
      <c r="AB7" s="771" t="e">
        <f>D7/H7</f>
        <v>#DIV/0!</v>
      </c>
      <c r="AC7" s="771" t="e">
        <f>D7/J7</f>
        <v>#DIV/0!</v>
      </c>
    </row>
    <row r="8" spans="1:29" s="115"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50" t="s">
        <v>2557</v>
      </c>
      <c r="Q8" s="3251"/>
      <c r="R8" s="768" t="s">
        <v>17</v>
      </c>
      <c r="S8" s="769">
        <f t="shared" si="0"/>
        <v>0</v>
      </c>
      <c r="T8" s="768" t="s">
        <v>17</v>
      </c>
      <c r="U8" s="769">
        <f t="shared" si="1"/>
        <v>0</v>
      </c>
      <c r="V8" s="768" t="s">
        <v>17</v>
      </c>
      <c r="W8" s="769">
        <f t="shared" si="2"/>
        <v>0</v>
      </c>
      <c r="X8" s="770"/>
      <c r="Y8" s="3250" t="s">
        <v>2557</v>
      </c>
      <c r="Z8" s="3251"/>
      <c r="AA8" s="771" t="e">
        <f t="shared" ref="AA8:AA40" si="3">D8/F8</f>
        <v>#DIV/0!</v>
      </c>
      <c r="AB8" s="771" t="e">
        <f t="shared" ref="AB8:AB40" si="4">D8/H8</f>
        <v>#DIV/0!</v>
      </c>
      <c r="AC8" s="771" t="e">
        <f t="shared" ref="AC8:AC40" si="5">D8/J8</f>
        <v>#DIV/0!</v>
      </c>
    </row>
    <row r="9" spans="1:29" s="115" customFormat="1">
      <c r="A9" s="413" t="s">
        <v>2558</v>
      </c>
      <c r="B9" s="69" t="s">
        <v>2559</v>
      </c>
      <c r="C9" s="2702"/>
      <c r="D9" s="133">
        <v>100</v>
      </c>
      <c r="E9" s="2702"/>
      <c r="F9" s="133">
        <f>SUMIF(70:70,E9,71:71)-SUMIF(70:70,C9,71:71)+100</f>
        <v>100</v>
      </c>
      <c r="G9" s="2702"/>
      <c r="H9" s="133">
        <f>SUMIF(70:70,G9,71:71)-SUMIF(70:70,C9,71:71)+100</f>
        <v>100</v>
      </c>
      <c r="I9" s="2702"/>
      <c r="J9" s="133">
        <f>SUMIF(70:70,I9,71:71)-SUMIF(70:70,C9,71:71)+100</f>
        <v>100</v>
      </c>
      <c r="K9" s="609"/>
      <c r="L9" s="1133"/>
      <c r="M9" s="1134"/>
      <c r="N9" s="1134"/>
      <c r="O9" s="1135"/>
      <c r="P9" s="3214" t="s">
        <v>2560</v>
      </c>
      <c r="Q9" s="1796" t="str">
        <f t="shared" ref="Q9:Q15" si="6">B9</f>
        <v>用途</v>
      </c>
      <c r="R9" s="768" t="s">
        <v>17</v>
      </c>
      <c r="S9" s="769">
        <f t="shared" si="0"/>
        <v>100</v>
      </c>
      <c r="T9" s="768" t="s">
        <v>17</v>
      </c>
      <c r="U9" s="769">
        <f t="shared" si="1"/>
        <v>100</v>
      </c>
      <c r="V9" s="768" t="s">
        <v>17</v>
      </c>
      <c r="W9" s="769">
        <f t="shared" si="2"/>
        <v>100</v>
      </c>
      <c r="X9" s="770"/>
      <c r="Y9" s="3039" t="s">
        <v>2561</v>
      </c>
      <c r="Z9" s="55" t="str">
        <f t="shared" ref="Z9:Z15" si="7">Q9</f>
        <v>用途</v>
      </c>
      <c r="AA9" s="771">
        <f t="shared" si="3"/>
        <v>1</v>
      </c>
      <c r="AB9" s="771">
        <f t="shared" si="4"/>
        <v>1</v>
      </c>
      <c r="AC9" s="771">
        <f t="shared" si="5"/>
        <v>1</v>
      </c>
    </row>
    <row r="10" spans="1:29" s="425" customFormat="1" ht="27">
      <c r="A10" s="419"/>
      <c r="B10" s="420" t="s">
        <v>2562</v>
      </c>
      <c r="C10" s="430"/>
      <c r="D10" s="134">
        <v>100</v>
      </c>
      <c r="E10" s="430"/>
      <c r="F10" s="134">
        <f>ROUND(100/'数据-取费表'!G16,0)</f>
        <v>127</v>
      </c>
      <c r="G10" s="430"/>
      <c r="H10" s="134">
        <f>ROUND(100/'数据-取费表'!G16,0)</f>
        <v>127</v>
      </c>
      <c r="I10" s="430"/>
      <c r="J10" s="134">
        <f>ROUND(100/'数据-取费表'!G16,0)</f>
        <v>127</v>
      </c>
      <c r="K10" s="670"/>
      <c r="L10" s="1136"/>
      <c r="M10" s="1137"/>
      <c r="N10" s="1137"/>
      <c r="O10" s="1138"/>
      <c r="P10" s="3214"/>
      <c r="Q10" s="1796" t="str">
        <f t="shared" si="6"/>
        <v>土地使用年限（年）</v>
      </c>
      <c r="R10" s="768" t="s">
        <v>17</v>
      </c>
      <c r="S10" s="769">
        <f t="shared" si="0"/>
        <v>127</v>
      </c>
      <c r="T10" s="768" t="s">
        <v>17</v>
      </c>
      <c r="U10" s="769">
        <f t="shared" si="1"/>
        <v>127</v>
      </c>
      <c r="V10" s="768" t="s">
        <v>17</v>
      </c>
      <c r="W10" s="769">
        <f t="shared" si="2"/>
        <v>127</v>
      </c>
      <c r="X10" s="770"/>
      <c r="Y10" s="3039"/>
      <c r="Z10" s="55" t="str">
        <f t="shared" si="7"/>
        <v>土地使用年限（年）</v>
      </c>
      <c r="AA10" s="771">
        <f t="shared" si="3"/>
        <v>0.78740157480314965</v>
      </c>
      <c r="AB10" s="771">
        <f t="shared" si="4"/>
        <v>0.78740157480314965</v>
      </c>
      <c r="AC10" s="771">
        <f t="shared" si="5"/>
        <v>0.78740157480314965</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14"/>
      <c r="Q11" s="1796"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5" customFormat="1" ht="15">
      <c r="A12" s="429"/>
      <c r="B12" s="2603">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6"/>
      <c r="B13" s="2603">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38" t="s">
        <v>2564</v>
      </c>
      <c r="B15" s="627" t="s">
        <v>2803</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16" t="s">
        <v>2565</v>
      </c>
      <c r="Q15" s="1811" t="str">
        <f t="shared" si="6"/>
        <v>产业集聚程度</v>
      </c>
      <c r="R15" s="772" t="s">
        <v>17</v>
      </c>
      <c r="S15" s="773">
        <f t="shared" si="0"/>
        <v>100</v>
      </c>
      <c r="T15" s="772" t="s">
        <v>17</v>
      </c>
      <c r="U15" s="773">
        <f t="shared" si="1"/>
        <v>100</v>
      </c>
      <c r="V15" s="772" t="s">
        <v>17</v>
      </c>
      <c r="W15" s="773">
        <f t="shared" si="2"/>
        <v>100</v>
      </c>
      <c r="X15" s="1814"/>
      <c r="Y15" s="3216" t="s">
        <v>2565</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1"/>
      <c r="M16" s="1132"/>
      <c r="N16" s="1132"/>
      <c r="O16" s="1140"/>
      <c r="P16" s="3217"/>
      <c r="Q16" s="1811"/>
      <c r="R16" s="772"/>
      <c r="S16" s="773"/>
      <c r="T16" s="772"/>
      <c r="U16" s="773"/>
      <c r="V16" s="772"/>
      <c r="W16" s="773"/>
      <c r="X16" s="1814"/>
      <c r="Y16" s="3217"/>
      <c r="Z16" s="1815"/>
      <c r="AA16" s="1812">
        <v>1</v>
      </c>
      <c r="AB16" s="1812">
        <v>1</v>
      </c>
      <c r="AC16" s="1812">
        <v>1</v>
      </c>
    </row>
    <row r="17" spans="1:29" ht="85.5">
      <c r="A17" s="426"/>
      <c r="B17" s="629" t="s">
        <v>2714</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17"/>
      <c r="Q17" s="1811" t="str">
        <f>B17</f>
        <v>交通便捷度</v>
      </c>
      <c r="R17" s="772" t="s">
        <v>17</v>
      </c>
      <c r="S17" s="773">
        <f>F17</f>
        <v>100</v>
      </c>
      <c r="T17" s="772" t="s">
        <v>17</v>
      </c>
      <c r="U17" s="773">
        <f>H17</f>
        <v>100</v>
      </c>
      <c r="V17" s="772" t="s">
        <v>17</v>
      </c>
      <c r="W17" s="773">
        <f>J17</f>
        <v>100</v>
      </c>
      <c r="X17" s="1814"/>
      <c r="Y17" s="3217"/>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1"/>
      <c r="M18" s="1132"/>
      <c r="N18" s="1132"/>
      <c r="O18" s="1140"/>
      <c r="P18" s="3217"/>
      <c r="Q18" s="1811"/>
      <c r="R18" s="772"/>
      <c r="S18" s="773"/>
      <c r="T18" s="772"/>
      <c r="U18" s="773"/>
      <c r="V18" s="772"/>
      <c r="W18" s="773"/>
      <c r="X18" s="1814"/>
      <c r="Y18" s="3217"/>
      <c r="Z18" s="1815"/>
      <c r="AA18" s="1812">
        <v>1</v>
      </c>
      <c r="AB18" s="1812">
        <v>1</v>
      </c>
      <c r="AC18" s="1812">
        <v>1</v>
      </c>
    </row>
    <row r="19" spans="1:29" ht="15">
      <c r="A19" s="426"/>
      <c r="B19" s="629" t="s">
        <v>2753</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17"/>
      <c r="Q19" s="1811" t="str">
        <f t="shared" ref="Q19:Q33" si="8">B19</f>
        <v>区域土地利用方向</v>
      </c>
      <c r="R19" s="772" t="s">
        <v>17</v>
      </c>
      <c r="S19" s="773">
        <f>F19</f>
        <v>100</v>
      </c>
      <c r="T19" s="772" t="s">
        <v>17</v>
      </c>
      <c r="U19" s="773">
        <f>H19</f>
        <v>100</v>
      </c>
      <c r="V19" s="772" t="s">
        <v>17</v>
      </c>
      <c r="W19" s="773">
        <f>J19</f>
        <v>100</v>
      </c>
      <c r="X19" s="1814"/>
      <c r="Y19" s="3217"/>
      <c r="Z19" s="1815" t="str">
        <f>Q19</f>
        <v>区域土地利用方向</v>
      </c>
      <c r="AA19" s="1812">
        <f t="shared" si="3"/>
        <v>1</v>
      </c>
      <c r="AB19" s="1812">
        <f t="shared" si="4"/>
        <v>1</v>
      </c>
      <c r="AC19" s="1812">
        <f t="shared" si="5"/>
        <v>1</v>
      </c>
    </row>
    <row r="20" spans="1:29" ht="15">
      <c r="A20" s="402"/>
      <c r="B20" s="630"/>
      <c r="C20" s="445"/>
      <c r="D20" s="446"/>
      <c r="E20" s="2608"/>
      <c r="F20" s="446"/>
      <c r="G20" s="2608"/>
      <c r="H20" s="446"/>
      <c r="I20" s="2608"/>
      <c r="J20" s="446"/>
      <c r="K20" s="810"/>
      <c r="L20" s="1141"/>
      <c r="M20" s="1132"/>
      <c r="N20" s="1132"/>
      <c r="O20" s="1140"/>
      <c r="P20" s="3217"/>
      <c r="Q20" s="1811"/>
      <c r="R20" s="772"/>
      <c r="S20" s="773"/>
      <c r="T20" s="772"/>
      <c r="U20" s="773"/>
      <c r="V20" s="772"/>
      <c r="W20" s="773"/>
      <c r="X20" s="1814"/>
      <c r="Y20" s="3217"/>
      <c r="Z20" s="1815"/>
      <c r="AA20" s="1812"/>
      <c r="AB20" s="1812"/>
      <c r="AC20" s="1812"/>
    </row>
    <row r="21" spans="1:29" ht="71.25">
      <c r="A21" s="402"/>
      <c r="B21" s="629" t="s">
        <v>2804</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17"/>
      <c r="Q21" s="1811" t="str">
        <f t="shared" si="8"/>
        <v>环境状况</v>
      </c>
      <c r="R21" s="772" t="s">
        <v>17</v>
      </c>
      <c r="S21" s="773">
        <f>F21</f>
        <v>100</v>
      </c>
      <c r="T21" s="772" t="s">
        <v>17</v>
      </c>
      <c r="U21" s="773">
        <f>H21</f>
        <v>100</v>
      </c>
      <c r="V21" s="772" t="s">
        <v>17</v>
      </c>
      <c r="W21" s="773">
        <f>J21</f>
        <v>100</v>
      </c>
      <c r="X21" s="1814"/>
      <c r="Y21" s="3217"/>
      <c r="Z21" s="1815" t="str">
        <f>Q21</f>
        <v>环境状况</v>
      </c>
      <c r="AA21" s="1812">
        <f t="shared" si="3"/>
        <v>1</v>
      </c>
      <c r="AB21" s="1812">
        <f t="shared" si="4"/>
        <v>1</v>
      </c>
      <c r="AC21" s="1812">
        <f t="shared" si="5"/>
        <v>1</v>
      </c>
    </row>
    <row r="22" spans="1:29" ht="15">
      <c r="A22" s="402"/>
      <c r="B22" s="630"/>
      <c r="C22" s="445"/>
      <c r="D22" s="446"/>
      <c r="E22" s="2614"/>
      <c r="F22" s="446"/>
      <c r="G22" s="2614"/>
      <c r="H22" s="446"/>
      <c r="I22" s="445"/>
      <c r="J22" s="446"/>
      <c r="K22" s="670"/>
      <c r="L22" s="1141"/>
      <c r="M22" s="1132"/>
      <c r="N22" s="1132"/>
      <c r="O22" s="1140"/>
      <c r="P22" s="3217"/>
      <c r="Q22" s="1811"/>
      <c r="R22" s="772"/>
      <c r="S22" s="773"/>
      <c r="T22" s="772"/>
      <c r="U22" s="773"/>
      <c r="V22" s="772"/>
      <c r="W22" s="773"/>
      <c r="X22" s="1814"/>
      <c r="Y22" s="3217"/>
      <c r="Z22" s="1815"/>
      <c r="AA22" s="1812">
        <v>1</v>
      </c>
      <c r="AB22" s="1812">
        <v>1</v>
      </c>
      <c r="AC22" s="1812">
        <v>1</v>
      </c>
    </row>
    <row r="23" spans="1:29" s="115" customFormat="1" ht="42.75">
      <c r="A23" s="647"/>
      <c r="B23" s="631" t="s">
        <v>2659</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17"/>
      <c r="Q23" s="1796" t="str">
        <f t="shared" si="8"/>
        <v>公共配套设施</v>
      </c>
      <c r="R23" s="768" t="s">
        <v>17</v>
      </c>
      <c r="S23" s="769">
        <f>F23</f>
        <v>100</v>
      </c>
      <c r="T23" s="768" t="s">
        <v>17</v>
      </c>
      <c r="U23" s="769">
        <f>H23</f>
        <v>100</v>
      </c>
      <c r="V23" s="768" t="s">
        <v>17</v>
      </c>
      <c r="W23" s="769">
        <f>J23</f>
        <v>100</v>
      </c>
      <c r="X23" s="770"/>
      <c r="Y23" s="3217"/>
      <c r="Z23" s="55" t="str">
        <f>Q23</f>
        <v>公共配套设施</v>
      </c>
      <c r="AA23" s="1812">
        <f>D23/F23</f>
        <v>1</v>
      </c>
      <c r="AB23" s="1812">
        <f>D23/H23</f>
        <v>1</v>
      </c>
      <c r="AC23" s="1812">
        <f>D23/J23</f>
        <v>1</v>
      </c>
    </row>
    <row r="24" spans="1:29" s="115" customFormat="1" ht="15">
      <c r="A24" s="647"/>
      <c r="B24" s="630"/>
      <c r="C24" s="2703"/>
      <c r="D24" s="446"/>
      <c r="E24" s="2614"/>
      <c r="F24" s="446"/>
      <c r="G24" s="2614"/>
      <c r="H24" s="446"/>
      <c r="I24" s="445"/>
      <c r="J24" s="446"/>
      <c r="K24" s="670"/>
      <c r="L24" s="1133"/>
      <c r="M24" s="1134"/>
      <c r="N24" s="1134"/>
      <c r="O24" s="1135"/>
      <c r="P24" s="3217"/>
      <c r="Q24" s="1796"/>
      <c r="R24" s="768"/>
      <c r="S24" s="769"/>
      <c r="T24" s="768"/>
      <c r="U24" s="769"/>
      <c r="V24" s="768"/>
      <c r="W24" s="769"/>
      <c r="X24" s="770"/>
      <c r="Y24" s="3217"/>
      <c r="Z24" s="55"/>
      <c r="AA24" s="771">
        <v>1</v>
      </c>
      <c r="AB24" s="771">
        <v>1</v>
      </c>
      <c r="AC24" s="771">
        <v>1</v>
      </c>
    </row>
    <row r="25" spans="1:29" s="115" customFormat="1" ht="28.5">
      <c r="A25" s="647"/>
      <c r="B25" s="631" t="s">
        <v>2660</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17"/>
      <c r="Q25" s="1796" t="str">
        <f t="shared" ref="Q25" si="9">B25</f>
        <v>基础设施水平</v>
      </c>
      <c r="R25" s="768" t="s">
        <v>17</v>
      </c>
      <c r="S25" s="769">
        <f>F25</f>
        <v>100</v>
      </c>
      <c r="T25" s="768" t="s">
        <v>17</v>
      </c>
      <c r="U25" s="769">
        <f>H25</f>
        <v>100</v>
      </c>
      <c r="V25" s="768" t="s">
        <v>17</v>
      </c>
      <c r="W25" s="769">
        <f>J25</f>
        <v>100</v>
      </c>
      <c r="X25" s="770"/>
      <c r="Y25" s="3217"/>
      <c r="Z25" s="55" t="str">
        <f>Q25</f>
        <v>基础设施水平</v>
      </c>
      <c r="AA25" s="1812">
        <f>D25/F25</f>
        <v>1</v>
      </c>
      <c r="AB25" s="1812">
        <f>D25/H25</f>
        <v>1</v>
      </c>
      <c r="AC25" s="1812">
        <f>D25/J25</f>
        <v>1</v>
      </c>
    </row>
    <row r="26" spans="1:29" s="115" customFormat="1" ht="15">
      <c r="A26" s="647"/>
      <c r="B26" s="630"/>
      <c r="C26" s="2703"/>
      <c r="D26" s="446"/>
      <c r="E26" s="2704"/>
      <c r="F26" s="446"/>
      <c r="G26" s="2704"/>
      <c r="H26" s="446"/>
      <c r="I26" s="2704"/>
      <c r="J26" s="446"/>
      <c r="K26" s="670"/>
      <c r="L26" s="1133"/>
      <c r="M26" s="1134"/>
      <c r="N26" s="1134"/>
      <c r="O26" s="1135"/>
      <c r="P26" s="3217"/>
      <c r="Q26" s="1796"/>
      <c r="R26" s="768"/>
      <c r="S26" s="769"/>
      <c r="T26" s="768"/>
      <c r="U26" s="769"/>
      <c r="V26" s="768"/>
      <c r="W26" s="769"/>
      <c r="X26" s="770"/>
      <c r="Y26" s="3217"/>
      <c r="Z26" s="55"/>
      <c r="AA26" s="771">
        <v>1</v>
      </c>
      <c r="AB26" s="771">
        <v>1</v>
      </c>
      <c r="AC26" s="771">
        <v>1</v>
      </c>
    </row>
    <row r="27" spans="1:29" ht="15">
      <c r="A27" s="426"/>
      <c r="B27" s="630" t="s">
        <v>2661</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17"/>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17"/>
      <c r="Z27" s="1815" t="str">
        <f t="shared" ref="Z27:Z40" si="13">Q27</f>
        <v>临街状况</v>
      </c>
      <c r="AA27" s="1812">
        <f t="shared" si="3"/>
        <v>1</v>
      </c>
      <c r="AB27" s="1812">
        <f t="shared" si="4"/>
        <v>1</v>
      </c>
      <c r="AC27" s="1812">
        <f t="shared" si="5"/>
        <v>1</v>
      </c>
    </row>
    <row r="28" spans="1:29" ht="27">
      <c r="A28" s="426"/>
      <c r="B28" s="631" t="s">
        <v>2696</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17"/>
      <c r="Q28" s="1811" t="str">
        <f t="shared" si="8"/>
        <v>毗邻道路的类型与等级</v>
      </c>
      <c r="R28" s="772" t="s">
        <v>17</v>
      </c>
      <c r="S28" s="773">
        <f t="shared" si="10"/>
        <v>100</v>
      </c>
      <c r="T28" s="772" t="s">
        <v>17</v>
      </c>
      <c r="U28" s="773">
        <f t="shared" si="11"/>
        <v>100</v>
      </c>
      <c r="V28" s="772" t="s">
        <v>17</v>
      </c>
      <c r="W28" s="773">
        <f t="shared" si="12"/>
        <v>100</v>
      </c>
      <c r="X28" s="1814"/>
      <c r="Y28" s="3217"/>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1"/>
      <c r="M29" s="1132"/>
      <c r="N29" s="1132"/>
      <c r="O29" s="1140"/>
      <c r="P29" s="3217"/>
      <c r="Q29" s="1811"/>
      <c r="R29" s="772"/>
      <c r="S29" s="773"/>
      <c r="T29" s="772"/>
      <c r="U29" s="773"/>
      <c r="V29" s="772"/>
      <c r="W29" s="773"/>
      <c r="X29" s="1814"/>
      <c r="Y29" s="3217"/>
      <c r="Z29" s="1815"/>
      <c r="AA29" s="1812">
        <v>1</v>
      </c>
      <c r="AB29" s="1812">
        <v>1</v>
      </c>
      <c r="AC29" s="1812">
        <v>1</v>
      </c>
    </row>
    <row r="30" spans="1:29" ht="15">
      <c r="A30" s="426"/>
      <c r="B30" s="652" t="s">
        <v>2755</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17"/>
      <c r="Q30" s="1811" t="str">
        <f t="shared" si="8"/>
        <v>土地级别</v>
      </c>
      <c r="R30" s="772" t="s">
        <v>17</v>
      </c>
      <c r="S30" s="773">
        <f t="shared" si="10"/>
        <v>100</v>
      </c>
      <c r="T30" s="772" t="s">
        <v>17</v>
      </c>
      <c r="U30" s="773">
        <f t="shared" si="11"/>
        <v>100</v>
      </c>
      <c r="V30" s="772" t="s">
        <v>17</v>
      </c>
      <c r="W30" s="773">
        <f t="shared" si="12"/>
        <v>100</v>
      </c>
      <c r="X30" s="1814"/>
      <c r="Y30" s="3217"/>
      <c r="Z30" s="1815" t="str">
        <f t="shared" si="13"/>
        <v>土地级别</v>
      </c>
      <c r="AA30" s="1812">
        <f t="shared" si="3"/>
        <v>1</v>
      </c>
      <c r="AB30" s="1812">
        <f t="shared" si="4"/>
        <v>1</v>
      </c>
      <c r="AC30" s="1812">
        <f t="shared" si="5"/>
        <v>1</v>
      </c>
    </row>
    <row r="31" spans="1:29" ht="15">
      <c r="A31" s="402"/>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17"/>
      <c r="Q31" s="1811">
        <f t="shared" si="8"/>
        <v>111</v>
      </c>
      <c r="R31" s="772" t="s">
        <v>17</v>
      </c>
      <c r="S31" s="773">
        <f t="shared" si="10"/>
        <v>100</v>
      </c>
      <c r="T31" s="772" t="s">
        <v>17</v>
      </c>
      <c r="U31" s="773">
        <f t="shared" si="11"/>
        <v>100</v>
      </c>
      <c r="V31" s="772" t="s">
        <v>17</v>
      </c>
      <c r="W31" s="773">
        <f t="shared" si="12"/>
        <v>100</v>
      </c>
      <c r="X31" s="1814"/>
      <c r="Y31" s="3217"/>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72" t="s">
        <v>2570</v>
      </c>
      <c r="Q32" s="1811">
        <f t="shared" si="8"/>
        <v>111</v>
      </c>
      <c r="R32" s="772" t="s">
        <v>17</v>
      </c>
      <c r="S32" s="773">
        <f t="shared" si="10"/>
        <v>100</v>
      </c>
      <c r="T32" s="772" t="s">
        <v>17</v>
      </c>
      <c r="U32" s="773">
        <f t="shared" si="11"/>
        <v>100</v>
      </c>
      <c r="V32" s="772" t="s">
        <v>17</v>
      </c>
      <c r="W32" s="773">
        <f t="shared" si="12"/>
        <v>100</v>
      </c>
      <c r="X32" s="1814"/>
      <c r="Y32" s="3221" t="s">
        <v>2570</v>
      </c>
      <c r="Z32" s="1815">
        <f t="shared" si="13"/>
        <v>111</v>
      </c>
      <c r="AA32" s="1812">
        <f t="shared" si="3"/>
        <v>1</v>
      </c>
      <c r="AB32" s="1812">
        <f t="shared" si="4"/>
        <v>1</v>
      </c>
      <c r="AC32" s="1812">
        <f t="shared" si="5"/>
        <v>1</v>
      </c>
    </row>
    <row r="33" spans="1:29" s="469" customFormat="1" ht="15.75" thickBot="1">
      <c r="A33" s="674"/>
      <c r="B33" s="271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21"/>
      <c r="Q33" s="1811">
        <f t="shared" si="8"/>
        <v>111</v>
      </c>
      <c r="R33" s="775" t="s">
        <v>17</v>
      </c>
      <c r="S33" s="776">
        <f t="shared" si="10"/>
        <v>100</v>
      </c>
      <c r="T33" s="775" t="s">
        <v>17</v>
      </c>
      <c r="U33" s="776">
        <f t="shared" si="11"/>
        <v>100</v>
      </c>
      <c r="V33" s="775" t="s">
        <v>17</v>
      </c>
      <c r="W33" s="776">
        <f t="shared" si="12"/>
        <v>100</v>
      </c>
      <c r="X33" s="777"/>
      <c r="Y33" s="3221"/>
      <c r="Z33" s="778">
        <f t="shared" si="13"/>
        <v>111</v>
      </c>
      <c r="AA33" s="1812">
        <f t="shared" si="3"/>
        <v>1</v>
      </c>
      <c r="AB33" s="1812">
        <f t="shared" si="4"/>
        <v>1</v>
      </c>
      <c r="AC33" s="1812">
        <f t="shared" si="5"/>
        <v>1</v>
      </c>
    </row>
    <row r="34" spans="1:29" ht="15">
      <c r="A34" s="438" t="s">
        <v>2568</v>
      </c>
      <c r="B34" s="454" t="s">
        <v>2756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21"/>
      <c r="Q34" s="1811" t="str">
        <f>B34</f>
        <v>宗地面积</v>
      </c>
      <c r="R34" s="772" t="s">
        <v>17</v>
      </c>
      <c r="S34" s="773" t="e">
        <f t="shared" si="10"/>
        <v>#N/A</v>
      </c>
      <c r="T34" s="772" t="s">
        <v>17</v>
      </c>
      <c r="U34" s="773" t="e">
        <f t="shared" si="11"/>
        <v>#N/A</v>
      </c>
      <c r="V34" s="772" t="s">
        <v>17</v>
      </c>
      <c r="W34" s="773" t="e">
        <f t="shared" si="12"/>
        <v>#N/A</v>
      </c>
      <c r="X34" s="1814"/>
      <c r="Y34" s="3221"/>
      <c r="Z34" s="1815" t="str">
        <f t="shared" si="13"/>
        <v>宗地面积</v>
      </c>
      <c r="AA34" s="1812" t="e">
        <f t="shared" si="3"/>
        <v>#N/A</v>
      </c>
      <c r="AB34" s="1812" t="e">
        <f t="shared" si="4"/>
        <v>#N/A</v>
      </c>
      <c r="AC34" s="1812" t="e">
        <f t="shared" si="5"/>
        <v>#N/A</v>
      </c>
    </row>
    <row r="35" spans="1:29" ht="15">
      <c r="A35" s="470"/>
      <c r="B35" s="420" t="s">
        <v>2757</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1"/>
      <c r="M35" s="1132"/>
      <c r="N35" s="1132"/>
      <c r="O35" s="1140"/>
      <c r="P35" s="3221"/>
      <c r="Q35" s="1811" t="str">
        <f t="shared" ref="Q35:Q40" si="14">B35</f>
        <v>宗地形状</v>
      </c>
      <c r="R35" s="772" t="s">
        <v>17</v>
      </c>
      <c r="S35" s="773">
        <f t="shared" si="10"/>
        <v>100</v>
      </c>
      <c r="T35" s="772" t="s">
        <v>17</v>
      </c>
      <c r="U35" s="773">
        <f t="shared" si="11"/>
        <v>100</v>
      </c>
      <c r="V35" s="772" t="s">
        <v>17</v>
      </c>
      <c r="W35" s="773">
        <f t="shared" si="12"/>
        <v>100</v>
      </c>
      <c r="X35" s="1814"/>
      <c r="Y35" s="3221"/>
      <c r="Z35" s="1815" t="str">
        <f t="shared" si="13"/>
        <v>宗地形状</v>
      </c>
      <c r="AA35" s="1812">
        <f t="shared" si="3"/>
        <v>1</v>
      </c>
      <c r="AB35" s="1812">
        <f t="shared" si="4"/>
        <v>1</v>
      </c>
      <c r="AC35" s="1812">
        <f t="shared" si="5"/>
        <v>1</v>
      </c>
    </row>
    <row r="36" spans="1:29" s="115" customFormat="1" ht="15">
      <c r="A36" s="471"/>
      <c r="B36" s="420" t="s">
        <v>2759</v>
      </c>
      <c r="C36" s="2705"/>
      <c r="D36" s="134">
        <v>100</v>
      </c>
      <c r="E36" s="2705"/>
      <c r="F36" s="433">
        <f>SUMIF(112:112,E36,113:113)-SUMIF(112:112,C36,113:113)+100</f>
        <v>100</v>
      </c>
      <c r="G36" s="2705"/>
      <c r="H36" s="433">
        <f>SUMIF(112:112,G36,113:113)-SUMIF(112:112,C36,113:113)+100</f>
        <v>100</v>
      </c>
      <c r="I36" s="2705"/>
      <c r="J36" s="433">
        <f>SUMIF(112:112,I36,113:113)-SUMIF(112:112,C36,113:113)+100</f>
        <v>100</v>
      </c>
      <c r="K36" s="610"/>
      <c r="L36" s="1133"/>
      <c r="M36" s="1134"/>
      <c r="N36" s="1134"/>
      <c r="O36" s="1135"/>
      <c r="P36" s="3221"/>
      <c r="Q36" s="1811" t="str">
        <f t="shared" si="14"/>
        <v>宗地开发程度</v>
      </c>
      <c r="R36" s="768" t="s">
        <v>17</v>
      </c>
      <c r="S36" s="769">
        <f t="shared" si="10"/>
        <v>100</v>
      </c>
      <c r="T36" s="768" t="s">
        <v>17</v>
      </c>
      <c r="U36" s="769">
        <f t="shared" si="11"/>
        <v>100</v>
      </c>
      <c r="V36" s="768" t="s">
        <v>17</v>
      </c>
      <c r="W36" s="769">
        <f t="shared" si="12"/>
        <v>100</v>
      </c>
      <c r="X36" s="770"/>
      <c r="Y36" s="3221"/>
      <c r="Z36" s="55" t="str">
        <f t="shared" si="13"/>
        <v>宗地开发程度</v>
      </c>
      <c r="AA36" s="771">
        <f t="shared" si="3"/>
        <v>1</v>
      </c>
      <c r="AB36" s="771">
        <f t="shared" si="4"/>
        <v>1</v>
      </c>
      <c r="AC36" s="771">
        <f t="shared" si="5"/>
        <v>1</v>
      </c>
    </row>
    <row r="37" spans="1:29" ht="15">
      <c r="A37" s="470"/>
      <c r="B37" s="420" t="s">
        <v>2760</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1"/>
      <c r="M37" s="1132"/>
      <c r="N37" s="1132"/>
      <c r="O37" s="1140"/>
      <c r="P37" s="3221" t="s">
        <v>2570</v>
      </c>
      <c r="Q37" s="1811" t="str">
        <f t="shared" si="14"/>
        <v>工程地质条件</v>
      </c>
      <c r="R37" s="772" t="s">
        <v>17</v>
      </c>
      <c r="S37" s="773">
        <f t="shared" si="10"/>
        <v>100</v>
      </c>
      <c r="T37" s="772" t="s">
        <v>17</v>
      </c>
      <c r="U37" s="773">
        <f t="shared" si="11"/>
        <v>100</v>
      </c>
      <c r="V37" s="772" t="s">
        <v>17</v>
      </c>
      <c r="W37" s="773">
        <f t="shared" si="12"/>
        <v>100</v>
      </c>
      <c r="X37" s="1814"/>
      <c r="Y37" s="3221" t="s">
        <v>2570</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21"/>
      <c r="Q38" s="1811">
        <f t="shared" si="14"/>
        <v>111</v>
      </c>
      <c r="R38" s="772" t="s">
        <v>17</v>
      </c>
      <c r="S38" s="773">
        <f t="shared" si="10"/>
        <v>100</v>
      </c>
      <c r="T38" s="772" t="s">
        <v>17</v>
      </c>
      <c r="U38" s="773">
        <f t="shared" si="11"/>
        <v>100</v>
      </c>
      <c r="V38" s="772" t="s">
        <v>17</v>
      </c>
      <c r="W38" s="773">
        <f t="shared" si="12"/>
        <v>100</v>
      </c>
      <c r="X38" s="1814"/>
      <c r="Y38" s="3221"/>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21"/>
      <c r="Q39" s="1811">
        <f t="shared" si="14"/>
        <v>111</v>
      </c>
      <c r="R39" s="772" t="s">
        <v>17</v>
      </c>
      <c r="S39" s="773">
        <f t="shared" si="10"/>
        <v>100</v>
      </c>
      <c r="T39" s="772" t="s">
        <v>17</v>
      </c>
      <c r="U39" s="773">
        <f t="shared" si="11"/>
        <v>100</v>
      </c>
      <c r="V39" s="772" t="s">
        <v>17</v>
      </c>
      <c r="W39" s="773">
        <f t="shared" si="12"/>
        <v>100</v>
      </c>
      <c r="X39" s="1814"/>
      <c r="Y39" s="3221"/>
      <c r="Z39" s="1815">
        <f t="shared" si="13"/>
        <v>111</v>
      </c>
      <c r="AA39" s="1812">
        <f t="shared" si="3"/>
        <v>1</v>
      </c>
      <c r="AB39" s="1812">
        <f t="shared" si="4"/>
        <v>1</v>
      </c>
      <c r="AC39" s="1812">
        <f t="shared" si="5"/>
        <v>1</v>
      </c>
    </row>
    <row r="40" spans="1:29" s="469" customFormat="1" ht="15.75" thickBot="1">
      <c r="A40" s="466"/>
      <c r="B40" s="1388">
        <v>111</v>
      </c>
      <c r="C40" s="2706"/>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21"/>
      <c r="Q40" s="1811">
        <f t="shared" si="14"/>
        <v>111</v>
      </c>
      <c r="R40" s="775" t="s">
        <v>17</v>
      </c>
      <c r="S40" s="776">
        <f t="shared" si="10"/>
        <v>100</v>
      </c>
      <c r="T40" s="775" t="s">
        <v>17</v>
      </c>
      <c r="U40" s="776">
        <f t="shared" si="11"/>
        <v>100</v>
      </c>
      <c r="V40" s="775" t="s">
        <v>17</v>
      </c>
      <c r="W40" s="776">
        <f t="shared" si="12"/>
        <v>100</v>
      </c>
      <c r="X40" s="777"/>
      <c r="Y40" s="3221"/>
      <c r="Z40" s="778">
        <f t="shared" si="13"/>
        <v>111</v>
      </c>
      <c r="AA40" s="1812">
        <f t="shared" si="3"/>
        <v>1</v>
      </c>
      <c r="AB40" s="1812">
        <f t="shared" si="4"/>
        <v>1</v>
      </c>
      <c r="AC40" s="1812">
        <f t="shared" si="5"/>
        <v>1</v>
      </c>
    </row>
    <row r="41" spans="1:29" ht="15">
      <c r="A41" s="477" t="s">
        <v>2725</v>
      </c>
      <c r="B41" s="2707" t="s">
        <v>2805</v>
      </c>
      <c r="C41" s="680" t="s">
        <v>1</v>
      </c>
      <c r="D41" s="479"/>
      <c r="E41" s="480"/>
      <c r="F41" s="481"/>
      <c r="G41" s="482"/>
      <c r="H41" s="483"/>
      <c r="I41" s="480"/>
      <c r="J41" s="483"/>
      <c r="K41" s="781"/>
      <c r="L41" s="1144"/>
      <c r="M41" s="1132"/>
      <c r="N41" s="1132"/>
      <c r="O41" s="1145"/>
      <c r="P41" s="3214" t="str">
        <f>A41</f>
        <v>成交单价</v>
      </c>
      <c r="Q41" s="3214"/>
      <c r="R41" s="3245">
        <f>E41</f>
        <v>0</v>
      </c>
      <c r="S41" s="3245"/>
      <c r="T41" s="3245">
        <f>G41</f>
        <v>0</v>
      </c>
      <c r="U41" s="3245"/>
      <c r="V41" s="3245">
        <f>I41</f>
        <v>0</v>
      </c>
      <c r="W41" s="3245"/>
      <c r="X41" s="757"/>
      <c r="Y41" s="779"/>
      <c r="Z41" s="757"/>
      <c r="AA41" s="757"/>
      <c r="AB41" s="757"/>
      <c r="AC41" s="757"/>
    </row>
    <row r="42" spans="1:29" ht="15.75" thickBot="1">
      <c r="A42" s="484" t="s">
        <v>2674</v>
      </c>
      <c r="B42" s="681"/>
      <c r="C42" s="488" t="e">
        <f>R43</f>
        <v>#DIV/0!</v>
      </c>
      <c r="D42" s="487"/>
      <c r="E42" s="488" t="e">
        <f>R42</f>
        <v>#DIV/0!</v>
      </c>
      <c r="F42" s="489"/>
      <c r="G42" s="486" t="e">
        <f>T42</f>
        <v>#DIV/0!</v>
      </c>
      <c r="H42" s="487"/>
      <c r="I42" s="488" t="e">
        <f>V42</f>
        <v>#DIV/0!</v>
      </c>
      <c r="J42" s="487"/>
      <c r="K42" s="782"/>
      <c r="L42" s="1144"/>
      <c r="M42" s="1132"/>
      <c r="N42" s="1132"/>
      <c r="O42" s="1145"/>
      <c r="P42" s="3214" t="str">
        <f>A42</f>
        <v>比较价值（元/平方米）</v>
      </c>
      <c r="Q42" s="3214"/>
      <c r="R42" s="3273" t="e">
        <f>ROUND(PRODUCT(R41,AA7:AA40),0)</f>
        <v>#DIV/0!</v>
      </c>
      <c r="S42" s="3273"/>
      <c r="T42" s="3273" t="e">
        <f>ROUND(PRODUCT(T41,AB7:AB40),0)</f>
        <v>#DIV/0!</v>
      </c>
      <c r="U42" s="3273"/>
      <c r="V42" s="3273" t="e">
        <f>ROUND(PRODUCT(V41,AC7:AC40),0)</f>
        <v>#DIV/0!</v>
      </c>
      <c r="W42" s="3273"/>
      <c r="X42" s="757"/>
      <c r="Y42" s="757"/>
      <c r="Z42" s="757"/>
      <c r="AA42" s="757"/>
      <c r="AB42" s="757"/>
      <c r="AC42" s="757"/>
    </row>
    <row r="43" spans="1:29" ht="15.75" thickBot="1">
      <c r="A43" s="490" t="s">
        <v>2675</v>
      </c>
      <c r="B43" s="491"/>
      <c r="C43" s="492" t="e">
        <f>R43</f>
        <v>#DIV/0!</v>
      </c>
      <c r="D43" s="492"/>
      <c r="E43" s="492"/>
      <c r="F43" s="492"/>
      <c r="G43" s="492"/>
      <c r="H43" s="492"/>
      <c r="I43" s="492"/>
      <c r="J43" s="492"/>
      <c r="K43" s="783"/>
      <c r="L43" s="1144"/>
      <c r="M43" s="1132"/>
      <c r="N43" s="1132"/>
      <c r="O43" s="1145"/>
      <c r="P43" s="3211" t="str">
        <f>A43</f>
        <v>估价对象XX用房的比较价值（楼面单价，元/平方米）</v>
      </c>
      <c r="Q43" s="3212"/>
      <c r="R43" s="3274" t="e">
        <f>ROUND(AVERAGE(R42:V42),0)</f>
        <v>#DIV/0!</v>
      </c>
      <c r="S43" s="3274"/>
      <c r="T43" s="3274"/>
      <c r="U43" s="3274"/>
      <c r="V43" s="3274"/>
      <c r="W43" s="327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2763</v>
      </c>
      <c r="B50" s="683" t="s">
        <v>2764</v>
      </c>
      <c r="C50" s="2708" t="s">
        <v>2765</v>
      </c>
      <c r="D50" s="2709" t="s">
        <v>2766</v>
      </c>
      <c r="E50" s="684" t="s">
        <v>2767</v>
      </c>
      <c r="F50" s="685" t="s">
        <v>2768</v>
      </c>
      <c r="G50" s="3229" t="s">
        <v>2769</v>
      </c>
      <c r="H50" s="3275"/>
      <c r="I50" s="1815" t="s">
        <v>2806</v>
      </c>
      <c r="J50" s="1815">
        <f>项目基本情况!F35</f>
        <v>0</v>
      </c>
      <c r="K50" s="2711" t="s">
        <v>2771</v>
      </c>
      <c r="L50" s="1107"/>
      <c r="M50" s="1145"/>
      <c r="N50" s="1145"/>
      <c r="O50" s="1145"/>
    </row>
    <row r="51" spans="1:17" s="690" customFormat="1">
      <c r="A51" s="686" t="s">
        <v>2772</v>
      </c>
      <c r="B51" s="687" t="e">
        <f>C43</f>
        <v>#DIV/0!</v>
      </c>
      <c r="C51" s="688">
        <v>1</v>
      </c>
      <c r="D51" s="1164">
        <v>1</v>
      </c>
      <c r="E51" s="688">
        <f>'数据-汇总表'!E8+'数据-汇总表'!E9</f>
        <v>4254.24</v>
      </c>
      <c r="F51" s="689" t="e">
        <f t="shared" ref="F51:F60" si="15">ROUND(B51*E51/10000,0)</f>
        <v>#DIV/0!</v>
      </c>
      <c r="G51" s="3225"/>
      <c r="H51" s="3214"/>
      <c r="I51" s="943">
        <v>1</v>
      </c>
      <c r="J51" s="943">
        <v>1</v>
      </c>
      <c r="K51" s="1146"/>
      <c r="L51" s="942"/>
      <c r="M51" s="942"/>
      <c r="N51" s="942"/>
      <c r="O51" s="942"/>
    </row>
    <row r="52" spans="1:17" s="690" customFormat="1">
      <c r="A52" s="691" t="s">
        <v>2773</v>
      </c>
      <c r="B52" s="260" t="e">
        <f>ROUND($C$43*C52*D52,0)</f>
        <v>#DIV/0!</v>
      </c>
      <c r="C52" s="198">
        <f t="shared" ref="C52:C60" si="16">IF($C$50="北京市系数",I52,J52)</f>
        <v>0.7</v>
      </c>
      <c r="D52" s="1165">
        <v>0.25</v>
      </c>
      <c r="E52" s="692"/>
      <c r="F52" s="689" t="e">
        <f t="shared" si="15"/>
        <v>#DIV/0!</v>
      </c>
      <c r="G52" s="3276" t="s">
        <v>2774</v>
      </c>
      <c r="H52" s="1105" t="str">
        <f>项目基本情况!B37</f>
        <v>七级</v>
      </c>
      <c r="I52" s="943">
        <f>SUMIF(修正!A45:A56,H52,修正!B45:B56)</f>
        <v>0.7</v>
      </c>
      <c r="J52" s="944"/>
      <c r="K52" s="1145"/>
      <c r="L52" s="942"/>
      <c r="M52" s="942"/>
      <c r="N52" s="942"/>
      <c r="O52" s="942"/>
    </row>
    <row r="53" spans="1:17" s="690" customFormat="1">
      <c r="A53" s="691" t="s">
        <v>2775</v>
      </c>
      <c r="B53" s="260" t="e">
        <f t="shared" ref="B53:B60" si="17">ROUND($C$43*C53*D53,0)</f>
        <v>#DIV/0!</v>
      </c>
      <c r="C53" s="198">
        <f t="shared" si="16"/>
        <v>0.4</v>
      </c>
      <c r="D53" s="1165">
        <v>0.25</v>
      </c>
      <c r="E53" s="692"/>
      <c r="F53" s="689" t="e">
        <f t="shared" si="15"/>
        <v>#DIV/0!</v>
      </c>
      <c r="G53" s="3276"/>
      <c r="H53" s="1105" t="str">
        <f>项目基本情况!B37</f>
        <v>七级</v>
      </c>
      <c r="I53" s="943">
        <f>SUMIF(修正!A45:A56,H53,修正!C45:C56)</f>
        <v>0.4</v>
      </c>
      <c r="J53" s="944"/>
      <c r="K53" s="1146"/>
      <c r="L53" s="942"/>
      <c r="M53" s="942"/>
      <c r="N53" s="942"/>
      <c r="O53" s="942"/>
    </row>
    <row r="54" spans="1:17" s="690" customFormat="1">
      <c r="A54" s="691" t="s">
        <v>2776</v>
      </c>
      <c r="B54" s="260" t="e">
        <f t="shared" si="17"/>
        <v>#DIV/0!</v>
      </c>
      <c r="C54" s="198">
        <f t="shared" si="16"/>
        <v>0.28000000000000003</v>
      </c>
      <c r="D54" s="1165">
        <v>0.25</v>
      </c>
      <c r="E54" s="692"/>
      <c r="F54" s="689" t="e">
        <f t="shared" si="15"/>
        <v>#DIV/0!</v>
      </c>
      <c r="G54" s="3276"/>
      <c r="H54" s="1105" t="str">
        <f>项目基本情况!B37</f>
        <v>七级</v>
      </c>
      <c r="I54" s="943">
        <f>SUMIF(修正!A45:A56,H54,修正!D45:D56)</f>
        <v>0.28000000000000003</v>
      </c>
      <c r="J54" s="944"/>
      <c r="K54" s="1145"/>
      <c r="L54" s="942"/>
      <c r="M54" s="942"/>
      <c r="N54" s="942"/>
      <c r="O54" s="942"/>
    </row>
    <row r="55" spans="1:17" s="690" customFormat="1">
      <c r="A55" s="691" t="s">
        <v>2777</v>
      </c>
      <c r="B55" s="260" t="e">
        <f t="shared" si="17"/>
        <v>#DIV/0!</v>
      </c>
      <c r="C55" s="198">
        <f t="shared" si="16"/>
        <v>0.25</v>
      </c>
      <c r="D55" s="1165">
        <v>0.25</v>
      </c>
      <c r="E55" s="692"/>
      <c r="F55" s="689" t="e">
        <f t="shared" si="15"/>
        <v>#DIV/0!</v>
      </c>
      <c r="G55" s="3276"/>
      <c r="H55" s="1105" t="str">
        <f>项目基本情况!B37</f>
        <v>七级</v>
      </c>
      <c r="I55" s="943">
        <f>SUMIF(修正!A45:A56,H55,修正!E45:E56)</f>
        <v>0.25</v>
      </c>
      <c r="J55" s="944"/>
      <c r="K55" s="1146"/>
      <c r="L55" s="942"/>
      <c r="M55" s="942"/>
      <c r="N55" s="942"/>
      <c r="O55" s="942"/>
    </row>
    <row r="56" spans="1:17" s="690" customFormat="1">
      <c r="A56" s="691" t="s">
        <v>2778</v>
      </c>
      <c r="B56" s="260" t="e">
        <f t="shared" si="17"/>
        <v>#DIV/0!</v>
      </c>
      <c r="C56" s="198">
        <f t="shared" si="16"/>
        <v>0.25</v>
      </c>
      <c r="D56" s="1165">
        <v>0.25</v>
      </c>
      <c r="E56" s="259">
        <f>'数据-汇总表'!E11</f>
        <v>0</v>
      </c>
      <c r="F56" s="689" t="e">
        <f t="shared" si="15"/>
        <v>#DIV/0!</v>
      </c>
      <c r="G56" s="2712" t="s">
        <v>2779</v>
      </c>
      <c r="H56" s="1105" t="str">
        <f>项目基本情况!C37</f>
        <v>七级</v>
      </c>
      <c r="I56" s="943">
        <f>SUMIF(修正!A45:A56,H56,修正!F45:F56)</f>
        <v>0.25</v>
      </c>
      <c r="J56" s="944"/>
      <c r="K56" s="1145"/>
      <c r="L56" s="942"/>
      <c r="M56" s="942"/>
      <c r="N56" s="942"/>
      <c r="O56" s="942"/>
    </row>
    <row r="57" spans="1:17" s="690" customFormat="1">
      <c r="A57" s="691" t="s">
        <v>2780</v>
      </c>
      <c r="B57" s="260" t="e">
        <f t="shared" si="17"/>
        <v>#DIV/0!</v>
      </c>
      <c r="C57" s="198">
        <f t="shared" si="16"/>
        <v>0.25</v>
      </c>
      <c r="D57" s="1165">
        <v>0.25</v>
      </c>
      <c r="E57" s="259">
        <f>'数据-汇总表'!E12</f>
        <v>0</v>
      </c>
      <c r="F57" s="689" t="e">
        <f t="shared" si="15"/>
        <v>#DIV/0!</v>
      </c>
      <c r="G57" s="1110" t="s">
        <v>2781</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0" customFormat="1">
      <c r="A58" s="691" t="s">
        <v>2782</v>
      </c>
      <c r="B58" s="260" t="e">
        <f t="shared" si="17"/>
        <v>#DIV/0!</v>
      </c>
      <c r="C58" s="198">
        <f t="shared" si="16"/>
        <v>0</v>
      </c>
      <c r="D58" s="1165">
        <v>0.25</v>
      </c>
      <c r="E58" s="259">
        <f>'数据-汇总表'!E13</f>
        <v>0</v>
      </c>
      <c r="F58" s="689" t="e">
        <f t="shared" si="15"/>
        <v>#DIV/0!</v>
      </c>
      <c r="G58" s="1110" t="s">
        <v>2783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2784</v>
      </c>
      <c r="B59" s="260" t="e">
        <f t="shared" si="17"/>
        <v>#DIV/0!</v>
      </c>
      <c r="C59" s="198">
        <f t="shared" si="16"/>
        <v>0.2</v>
      </c>
      <c r="D59" s="1165">
        <v>0.25</v>
      </c>
      <c r="E59" s="259">
        <f>'数据-汇总表'!E14</f>
        <v>0</v>
      </c>
      <c r="F59" s="689" t="e">
        <f t="shared" si="15"/>
        <v>#DIV/0!</v>
      </c>
      <c r="G59" s="2712" t="s">
        <v>2774</v>
      </c>
      <c r="H59" s="1105" t="str">
        <f>项目基本情况!B37</f>
        <v>七级</v>
      </c>
      <c r="I59" s="943">
        <f>SUMIF(修正!A45:A56,H59,修正!H45:H56)</f>
        <v>0.2</v>
      </c>
      <c r="J59" s="944"/>
      <c r="K59" s="1146"/>
      <c r="L59" s="942"/>
      <c r="M59" s="942"/>
      <c r="N59" s="942"/>
      <c r="O59" s="942"/>
    </row>
    <row r="60" spans="1:17" s="690" customFormat="1" ht="15" thickBot="1">
      <c r="A60" s="691" t="s">
        <v>2785</v>
      </c>
      <c r="B60" s="260" t="e">
        <f t="shared" si="17"/>
        <v>#DIV/0!</v>
      </c>
      <c r="C60" s="198">
        <f t="shared" si="16"/>
        <v>0.2</v>
      </c>
      <c r="D60" s="1165">
        <v>0.25</v>
      </c>
      <c r="E60" s="259">
        <f>'数据-汇总表'!E15</f>
        <v>0</v>
      </c>
      <c r="F60" s="689" t="e">
        <f t="shared" si="15"/>
        <v>#DIV/0!</v>
      </c>
      <c r="G60" s="2713" t="s">
        <v>2779</v>
      </c>
      <c r="H60" s="1115" t="str">
        <f>项目基本情况!C37</f>
        <v>七级</v>
      </c>
      <c r="I60" s="943">
        <f>SUMIF(修正!A45:A56,H60,修正!H45:H56)</f>
        <v>0.2</v>
      </c>
      <c r="J60" s="944"/>
      <c r="K60" s="1145"/>
      <c r="L60" s="942"/>
      <c r="M60" s="942"/>
      <c r="N60" s="942"/>
      <c r="O60" s="942"/>
    </row>
    <row r="61" spans="1:17" s="690" customFormat="1" ht="15" thickBot="1">
      <c r="A61" s="693" t="s">
        <v>2786</v>
      </c>
      <c r="B61" s="694" t="s">
        <v>28</v>
      </c>
      <c r="C61" s="694" t="s">
        <v>29</v>
      </c>
      <c r="D61" s="694" t="s">
        <v>1029</v>
      </c>
      <c r="E61" s="694">
        <f>IF(B41="楼面地价",SUM(E51:E60),'数据-汇总表'!D3)</f>
        <v>731.02</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2679</v>
      </c>
      <c r="B64" s="757"/>
      <c r="C64" s="762"/>
      <c r="D64" s="762"/>
      <c r="E64" s="762"/>
      <c r="F64" s="763"/>
      <c r="G64" s="763"/>
      <c r="H64" s="762"/>
      <c r="I64" s="762"/>
      <c r="J64" s="762"/>
      <c r="K64" s="764"/>
      <c r="L64" s="765"/>
      <c r="M64" s="762"/>
      <c r="N64" s="762"/>
      <c r="O64" s="1160"/>
      <c r="P64" s="501"/>
      <c r="Q64" s="502"/>
    </row>
    <row r="65" spans="1:17" s="506" customFormat="1" ht="15">
      <c r="A65" s="2714" t="s">
        <v>2787</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5"/>
    </row>
    <row r="66" spans="1:17" s="115" customFormat="1" ht="30.75" customHeight="1">
      <c r="A66" s="2719" t="s">
        <v>2807</v>
      </c>
      <c r="B66" s="330" t="str">
        <f>"北京市平均增长率"&amp;TEXT(基准地价修正!P24,"0.00%")</f>
        <v>北京市平均增长率1.42%</v>
      </c>
      <c r="C66" s="601">
        <v>100</v>
      </c>
      <c r="D66" s="593"/>
      <c r="E66" s="593"/>
      <c r="F66" s="593"/>
      <c r="G66" s="593"/>
      <c r="H66" s="593"/>
      <c r="I66" s="593"/>
      <c r="J66" s="593"/>
      <c r="K66" s="593"/>
      <c r="L66" s="593"/>
      <c r="M66" s="1568"/>
      <c r="N66" s="1568"/>
      <c r="O66" s="1570"/>
      <c r="P66" s="502"/>
    </row>
    <row r="67" spans="1:17" s="115" customFormat="1" ht="15.75" thickBot="1">
      <c r="A67" s="513" t="s">
        <v>2590</v>
      </c>
      <c r="B67" s="514"/>
      <c r="C67" s="515"/>
      <c r="D67" s="516"/>
      <c r="E67" s="516"/>
      <c r="F67" s="516"/>
      <c r="G67" s="516"/>
      <c r="H67" s="516"/>
      <c r="I67" s="516"/>
      <c r="J67" s="516"/>
      <c r="K67" s="516"/>
      <c r="L67" s="516"/>
      <c r="M67" s="517"/>
      <c r="N67" s="517"/>
      <c r="O67" s="518"/>
      <c r="P67" s="502"/>
      <c r="Q67" s="502"/>
    </row>
    <row r="68" spans="1:17" s="115" customFormat="1" ht="15">
      <c r="A68" s="519" t="s">
        <v>2555</v>
      </c>
      <c r="B68" s="508"/>
      <c r="C68" s="520" t="s">
        <v>2657</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2593</v>
      </c>
      <c r="B70" s="526" t="s">
        <v>2559</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2562</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2790</v>
      </c>
      <c r="C87" s="571" t="s">
        <v>2602</v>
      </c>
      <c r="D87" s="571" t="s">
        <v>2603</v>
      </c>
      <c r="E87" s="571" t="s">
        <v>2604</v>
      </c>
      <c r="F87" s="571" t="s">
        <v>2605</v>
      </c>
      <c r="G87" s="571" t="s">
        <v>2606</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2791</v>
      </c>
      <c r="C89" s="571" t="s">
        <v>2602</v>
      </c>
      <c r="D89" s="571" t="s">
        <v>2603</v>
      </c>
      <c r="E89" s="571" t="s">
        <v>2604</v>
      </c>
      <c r="F89" s="571" t="s">
        <v>2605</v>
      </c>
      <c r="G89" s="571" t="s">
        <v>2606</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2808</v>
      </c>
      <c r="C93" s="658" t="s">
        <v>2680</v>
      </c>
      <c r="D93" s="658" t="s">
        <v>2681</v>
      </c>
      <c r="E93" s="658" t="s">
        <v>2682</v>
      </c>
      <c r="F93" s="658" t="s">
        <v>2683</v>
      </c>
      <c r="G93" s="658" t="s">
        <v>2684</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2696</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2755</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2797</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2799</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2800</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83"/>
  <sheetViews>
    <sheetView zoomScaleNormal="100" zoomScaleSheetLayoutView="90" workbookViewId="0">
      <selection activeCell="F50" sqref="F5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3055</v>
      </c>
      <c r="D1" s="1821" t="s">
        <v>70</v>
      </c>
      <c r="E1" s="1822" t="s">
        <v>1387</v>
      </c>
      <c r="F1" s="1284">
        <f ca="1">J53</f>
        <v>31.53</v>
      </c>
      <c r="G1" s="1837">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ROUND(D2/10000,0)</f>
        <v>621</v>
      </c>
      <c r="C2" s="1846" t="s">
        <v>1516</v>
      </c>
      <c r="D2" s="1939">
        <f ca="1">C40+J29+L46</f>
        <v>6205996</v>
      </c>
      <c r="E2" s="1847" t="s">
        <v>1592</v>
      </c>
      <c r="F2" s="1848"/>
      <c r="G2" s="1849"/>
      <c r="H2" s="1841"/>
      <c r="I2" s="1841"/>
      <c r="J2" s="1841"/>
      <c r="K2" s="1842"/>
      <c r="L2" s="1841"/>
      <c r="M2" s="1841"/>
    </row>
    <row r="3" spans="1:37" ht="18" customHeight="1" thickBot="1">
      <c r="A3" s="1850" t="s">
        <v>1517</v>
      </c>
      <c r="B3" s="1851">
        <f ca="1">IF(ISERROR(D2/F43),0,ROUND(D2/F43,0))</f>
        <v>8507</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183950</v>
      </c>
      <c r="D5" s="1823" t="s">
        <v>1402</v>
      </c>
      <c r="E5" s="1294"/>
      <c r="F5" s="1295"/>
      <c r="G5" s="1852"/>
      <c r="H5" s="342">
        <v>1</v>
      </c>
      <c r="I5" s="343" t="s">
        <v>1401</v>
      </c>
      <c r="J5" s="1293">
        <f ca="1">J6+J10+J12</f>
        <v>215941</v>
      </c>
      <c r="K5" s="1823" t="s">
        <v>1402</v>
      </c>
      <c r="L5" s="1294"/>
      <c r="M5" s="1295"/>
    </row>
    <row r="6" spans="1:37" ht="18" customHeight="1">
      <c r="A6" s="1292" t="s">
        <v>1035</v>
      </c>
      <c r="B6" s="3186" t="s">
        <v>1403</v>
      </c>
      <c r="C6" s="1297">
        <f ca="1">ROUND(F6*F8*F7*(1-F9),0)</f>
        <v>183720</v>
      </c>
      <c r="D6" s="162" t="s">
        <v>3030</v>
      </c>
      <c r="E6" s="345" t="s">
        <v>1405</v>
      </c>
      <c r="F6" s="346">
        <f ca="1">INDIRECT("'数据-取费表'!u"&amp;$G$1)</f>
        <v>0.69</v>
      </c>
      <c r="G6" s="1852"/>
      <c r="H6" s="1292" t="s">
        <v>1035</v>
      </c>
      <c r="I6" s="3186" t="s">
        <v>1403</v>
      </c>
      <c r="J6" s="344">
        <f ca="1">ROUND(M6*M8*M7*(1-M9),0)</f>
        <v>215671</v>
      </c>
      <c r="K6" s="1835" t="s">
        <v>3031</v>
      </c>
      <c r="L6" s="345" t="s">
        <v>1405</v>
      </c>
      <c r="M6" s="346">
        <f ca="1">INDIRECT("'数据-取费表'!z"&amp;$G$1)</f>
        <v>0.9</v>
      </c>
    </row>
    <row r="7" spans="1:37" ht="18" customHeight="1">
      <c r="A7" s="1296"/>
      <c r="B7" s="3187"/>
      <c r="C7" s="1298"/>
      <c r="D7" s="350"/>
      <c r="E7" s="2959" t="s">
        <v>1406</v>
      </c>
      <c r="F7" s="346">
        <f ca="1">IF(INDIRECT("'数据-取费表'!ah"&amp;$G$1)="",INDIRECT("'数据-取费表'!k"&amp;$G$1),INDIRECT("'数据-取费表'!ah"&amp;$G$1))</f>
        <v>729.48</v>
      </c>
      <c r="G7" s="1852"/>
      <c r="H7" s="347"/>
      <c r="I7" s="3187"/>
      <c r="J7" s="349"/>
      <c r="K7" s="350"/>
      <c r="L7" s="345" t="s">
        <v>1406</v>
      </c>
      <c r="M7" s="346">
        <f ca="1">F7</f>
        <v>729.48</v>
      </c>
    </row>
    <row r="8" spans="1:37" ht="18" customHeight="1">
      <c r="A8" s="347"/>
      <c r="B8" s="3187"/>
      <c r="C8" s="349"/>
      <c r="D8" s="350"/>
      <c r="E8" s="345" t="s">
        <v>1407</v>
      </c>
      <c r="F8" s="346">
        <f ca="1">INDIRECT("'数据-取费表'!ai"&amp;$G$1)</f>
        <v>365</v>
      </c>
      <c r="G8" s="1852"/>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v>
      </c>
      <c r="G9" s="1852"/>
      <c r="H9" s="347"/>
      <c r="I9" s="3188"/>
      <c r="J9" s="349"/>
      <c r="K9" s="350"/>
      <c r="L9" s="356" t="s">
        <v>1408</v>
      </c>
      <c r="M9" s="357">
        <f ca="1">INDIRECT("'数据-取费表'!ab"&amp;$G$1)</f>
        <v>0.1</v>
      </c>
    </row>
    <row r="10" spans="1:37" ht="18" customHeight="1">
      <c r="A10" s="1292" t="s">
        <v>1039</v>
      </c>
      <c r="B10" s="1824" t="s">
        <v>1409</v>
      </c>
      <c r="C10" s="359">
        <f ca="1">ROUND(IF(F10="押一",C6/12*F11,IF(F10="押二",C6/12*2*F11,IF(F10="押三",C6/12*3*F11,C11*F11))),0)</f>
        <v>230</v>
      </c>
      <c r="D10" s="1825" t="s">
        <v>3040</v>
      </c>
      <c r="E10" s="356" t="s">
        <v>1410</v>
      </c>
      <c r="F10" s="1367" t="s">
        <v>3080</v>
      </c>
      <c r="G10" s="1852"/>
      <c r="H10" s="1292" t="s">
        <v>1039</v>
      </c>
      <c r="I10" s="1824" t="s">
        <v>1409</v>
      </c>
      <c r="J10" s="344">
        <f ca="1">ROUND(IF(M10="押一",J6/12*M11,IF(M10="押二",J6/12*2*M11,IF(M10="押三",J6/12*3*M11,J11*M11))),0)</f>
        <v>270</v>
      </c>
      <c r="K10" s="1836" t="s">
        <v>3042</v>
      </c>
      <c r="L10" s="356" t="s">
        <v>1410</v>
      </c>
      <c r="M10" s="1367" t="s">
        <v>3080</v>
      </c>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2306821</v>
      </c>
      <c r="D13" s="1332" t="s">
        <v>1415</v>
      </c>
      <c r="E13" s="1332" t="s">
        <v>1416</v>
      </c>
      <c r="F13" s="1333">
        <f ca="1">INDIRECT("'数据-取费表'!y"&amp;$G$1)</f>
        <v>0.8</v>
      </c>
      <c r="G13" s="1852"/>
      <c r="H13" s="1330">
        <v>2</v>
      </c>
      <c r="I13" s="1331" t="s">
        <v>1414</v>
      </c>
      <c r="J13" s="1291">
        <f ca="1">ROUND(J14*J15,0)</f>
        <v>1874292</v>
      </c>
      <c r="K13" s="1338" t="s">
        <v>1415</v>
      </c>
      <c r="L13" s="1853"/>
      <c r="M13" s="1854"/>
    </row>
    <row r="14" spans="1:37" ht="18" customHeight="1">
      <c r="A14" s="1202" t="s">
        <v>1034</v>
      </c>
      <c r="B14" s="345" t="s">
        <v>1417</v>
      </c>
      <c r="C14" s="361">
        <f ca="1">ROUND(INDIRECT("'数据-取费表'!l"&amp;$G$1)*F43+'数据-取费表'!L14*INDIRECT("'数据-取费表'!S"&amp;$G$1),0)</f>
        <v>1692394</v>
      </c>
      <c r="D14" s="2950" t="s">
        <v>1418</v>
      </c>
      <c r="E14" s="2948"/>
      <c r="F14" s="362"/>
      <c r="G14" s="1852"/>
      <c r="H14" s="1202" t="s">
        <v>1035</v>
      </c>
      <c r="I14" s="345" t="s">
        <v>1419</v>
      </c>
      <c r="J14" s="24">
        <f ca="1">C29</f>
        <v>2883526</v>
      </c>
      <c r="K14" s="2958"/>
      <c r="L14" s="980"/>
      <c r="M14" s="981"/>
    </row>
    <row r="15" spans="1:37" s="1859" customFormat="1" ht="18" customHeight="1" thickBot="1">
      <c r="A15" s="1202" t="s">
        <v>1036</v>
      </c>
      <c r="B15" s="345" t="s">
        <v>1420</v>
      </c>
      <c r="C15" s="24">
        <f ca="1">ROUND(C14*F15,0)</f>
        <v>67696</v>
      </c>
      <c r="D15" s="363" t="s">
        <v>1421</v>
      </c>
      <c r="E15" s="363" t="s">
        <v>1422</v>
      </c>
      <c r="F15" s="364">
        <f>'数据-取费表'!B33</f>
        <v>0.04</v>
      </c>
      <c r="G15" s="1855"/>
      <c r="H15" s="1340" t="s">
        <v>1039</v>
      </c>
      <c r="I15" s="1341" t="s">
        <v>1416</v>
      </c>
      <c r="J15" s="1350">
        <f ca="1">INDIRECT("'数据-取费表'!ad"&amp;$G$1)</f>
        <v>0.65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83917</v>
      </c>
      <c r="K16" s="1338" t="s">
        <v>1425</v>
      </c>
      <c r="L16" s="2952"/>
      <c r="M16" s="1295"/>
    </row>
    <row r="17" spans="1:37" s="1859" customFormat="1" ht="18" customHeight="1">
      <c r="A17" s="1202" t="s">
        <v>1390</v>
      </c>
      <c r="B17" s="345" t="s">
        <v>1426</v>
      </c>
      <c r="C17" s="24">
        <f ca="1">ROUND(F17*(F43+INDIRECT("'数据-取费表'!S"&amp;$G$1)),0)</f>
        <v>145896</v>
      </c>
      <c r="D17" s="345" t="s">
        <v>1427</v>
      </c>
      <c r="E17" s="345" t="s">
        <v>1428</v>
      </c>
      <c r="F17" s="26">
        <f>'数据-取费表'!B35</f>
        <v>200</v>
      </c>
      <c r="G17" s="1855"/>
      <c r="H17" s="1202" t="s">
        <v>1035</v>
      </c>
      <c r="I17" s="345" t="s">
        <v>1429</v>
      </c>
      <c r="J17" s="24">
        <f ca="1">ROUND(IF(项目基本情况!B11="自然人",J5*M17,J18+J19+J20),0)</f>
        <v>35694</v>
      </c>
      <c r="K17" s="2950" t="s">
        <v>1430</v>
      </c>
      <c r="L17" s="294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25386</v>
      </c>
      <c r="D18" s="345" t="s">
        <v>1421</v>
      </c>
      <c r="E18" s="345" t="s">
        <v>1422</v>
      </c>
      <c r="F18" s="365">
        <f>'数据-取费表'!B36</f>
        <v>1.4999999999999999E-2</v>
      </c>
      <c r="G18" s="1855"/>
      <c r="H18" s="1202" t="s">
        <v>1034</v>
      </c>
      <c r="I18" s="345" t="s">
        <v>1433</v>
      </c>
      <c r="J18" s="24">
        <f ca="1">ROUND(J5*M18/(1+'数据-取费表'!C42),0)</f>
        <v>11311</v>
      </c>
      <c r="K18" s="294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1931372</v>
      </c>
      <c r="D19" s="138" t="s">
        <v>1436</v>
      </c>
      <c r="E19" s="2957"/>
      <c r="F19" s="26"/>
      <c r="G19" s="1852"/>
      <c r="H19" s="1202" t="s">
        <v>1036</v>
      </c>
      <c r="I19" s="345" t="s">
        <v>1437</v>
      </c>
      <c r="J19" s="24">
        <f ca="1">IF(K19="按租金收入计税",ROUND(J5*M19,0),ROUND(C29*M19*0.7,0))</f>
        <v>24222</v>
      </c>
      <c r="K19" s="1829" t="s">
        <v>1438</v>
      </c>
      <c r="L19" s="345" t="s">
        <v>1422</v>
      </c>
      <c r="M19" s="365">
        <f>IF(K19="按租金收入计税",'数据-取费表'!B51,'数据-取费表'!B50)</f>
        <v>1.2E-2</v>
      </c>
    </row>
    <row r="20" spans="1:37" s="1859" customFormat="1" ht="18" customHeight="1">
      <c r="A20" s="1202" t="s">
        <v>1039</v>
      </c>
      <c r="B20" s="345" t="s">
        <v>1439</v>
      </c>
      <c r="C20" s="24">
        <f ca="1">ROUND(C19*F20,0)</f>
        <v>38627</v>
      </c>
      <c r="D20" s="367" t="s">
        <v>1440</v>
      </c>
      <c r="E20" s="345" t="s">
        <v>1422</v>
      </c>
      <c r="F20" s="365">
        <f>'数据-取费表'!B37</f>
        <v>0.02</v>
      </c>
      <c r="G20" s="1855"/>
      <c r="H20" s="1202" t="s">
        <v>1389</v>
      </c>
      <c r="I20" s="162" t="s">
        <v>1441</v>
      </c>
      <c r="J20" s="25">
        <f ca="1">ROUND(M20*M21,0)</f>
        <v>161</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107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2957"/>
      <c r="F22" s="26"/>
      <c r="G22" s="1852"/>
      <c r="H22" s="1202" t="s">
        <v>1039</v>
      </c>
      <c r="I22" s="345" t="s">
        <v>1449</v>
      </c>
      <c r="J22" s="24">
        <f ca="1">ROUND(J14*M22,0)</f>
        <v>43253</v>
      </c>
      <c r="K22" s="2949" t="s">
        <v>1450</v>
      </c>
      <c r="L22" s="345" t="s">
        <v>1422</v>
      </c>
      <c r="M22" s="372">
        <f ca="1">INDIRECT("'数据-取费表'!Ak"&amp;$G$1)</f>
        <v>1.4999999999999999E-2</v>
      </c>
    </row>
    <row r="23" spans="1:37" s="1859" customFormat="1" ht="18" customHeight="1">
      <c r="A23" s="1202" t="s">
        <v>1034</v>
      </c>
      <c r="B23" s="345" t="s">
        <v>1451</v>
      </c>
      <c r="C23" s="24">
        <f ca="1">IF('数据-取费表'!B22&lt;=1,ROUND(C19*F24*F23/2,0)+ROUND(C20*F24*F23/2,0),ROUND(C19*(POWER((1+F24),F23/2)-1),0)+ROUND(C20*(POWER((1+F24),F23/2)-1),0))</f>
        <v>93575</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ROUND(J13*M23,0)</f>
        <v>2811</v>
      </c>
      <c r="K23" s="2949" t="s">
        <v>1454</v>
      </c>
      <c r="L23" s="345" t="s">
        <v>1422</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1392</v>
      </c>
      <c r="I24" s="1341" t="s">
        <v>1439</v>
      </c>
      <c r="J24" s="1342">
        <f ca="1">ROUND(J5*M24,0)</f>
        <v>2159</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2957"/>
      <c r="F25" s="26"/>
      <c r="G25" s="1852"/>
      <c r="H25" s="1330" t="s">
        <v>1031</v>
      </c>
      <c r="I25" s="1345" t="s">
        <v>1463</v>
      </c>
      <c r="J25" s="353">
        <f ca="1">J5-J16</f>
        <v>132024</v>
      </c>
      <c r="K25" s="1346" t="s">
        <v>1464</v>
      </c>
      <c r="L25" s="1347"/>
      <c r="M25" s="1348"/>
    </row>
    <row r="26" spans="1:37" ht="18" customHeight="1">
      <c r="A26" s="1202" t="s">
        <v>1034</v>
      </c>
      <c r="B26" s="345" t="s">
        <v>1465</v>
      </c>
      <c r="C26" s="24">
        <f ca="1">ROUND((C19+C20)*F26,0)</f>
        <v>591000</v>
      </c>
      <c r="D26" s="367" t="s">
        <v>1466</v>
      </c>
      <c r="E26" s="356" t="s">
        <v>1467</v>
      </c>
      <c r="F26" s="355">
        <f ca="1">INDIRECT("'数据-取费表'!q"&amp;$G$1)</f>
        <v>0.3</v>
      </c>
      <c r="G26" s="1852"/>
      <c r="H26" s="342" t="s">
        <v>1032</v>
      </c>
      <c r="I26" s="343" t="s">
        <v>1468</v>
      </c>
      <c r="J26" s="344">
        <f ca="1">IF(J5&lt;&gt;0,ROUND(J25*(1-((1+M28)/(1+M26))^M27)/(M26-M28),0),0)</f>
        <v>2234624</v>
      </c>
      <c r="K26" s="368" t="s">
        <v>1469</v>
      </c>
      <c r="L26" s="345" t="s">
        <v>1470</v>
      </c>
      <c r="M26" s="355">
        <f ca="1">INDIRECT("'数据-取费表'!I"&amp;$G$1)</f>
        <v>3.5000000000000003E-2</v>
      </c>
    </row>
    <row r="27" spans="1:37" ht="18" customHeight="1">
      <c r="A27" s="1202" t="s">
        <v>1036</v>
      </c>
      <c r="B27" s="345" t="s">
        <v>1471</v>
      </c>
      <c r="C27" s="24">
        <f ca="1">ROUND(F21*F26,4)</f>
        <v>6.0000000000000001E-3</v>
      </c>
      <c r="D27" s="367" t="s">
        <v>1472</v>
      </c>
      <c r="E27" s="363"/>
      <c r="F27" s="364"/>
      <c r="G27" s="1852"/>
      <c r="H27" s="347"/>
      <c r="I27" s="348"/>
      <c r="J27" s="349"/>
      <c r="K27" s="376" t="s">
        <v>1473</v>
      </c>
      <c r="L27" s="345" t="s">
        <v>1474</v>
      </c>
      <c r="M27" s="377">
        <f ca="1">INDIRECT("'数据-取费表'!ag"&amp;$G$1)</f>
        <v>18.260000000000002</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2883526</v>
      </c>
      <c r="D29" s="1343"/>
      <c r="E29" s="1341"/>
      <c r="F29" s="1344"/>
      <c r="G29" s="1855"/>
      <c r="H29" s="378" t="s">
        <v>1033</v>
      </c>
      <c r="I29" s="379" t="s">
        <v>1479</v>
      </c>
      <c r="J29" s="380">
        <f ca="1">ROUND(J26/(1+F40)^F41,0)</f>
        <v>1415618</v>
      </c>
      <c r="K29" s="381" t="s">
        <v>1480</v>
      </c>
      <c r="L29" s="382"/>
      <c r="M29" s="383">
        <f ca="1">INDIRECT("'数据-取费表'!k"&amp;$G$1)</f>
        <v>729.48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80423</v>
      </c>
      <c r="D30" s="1338" t="s">
        <v>1425</v>
      </c>
      <c r="E30" s="2952"/>
      <c r="F30" s="1295"/>
      <c r="G30" s="1852"/>
      <c r="H30" s="743"/>
      <c r="I30" s="744"/>
      <c r="J30" s="745"/>
      <c r="K30" s="746"/>
      <c r="L30" s="747"/>
      <c r="M30" s="748"/>
    </row>
    <row r="31" spans="1:37" ht="18" customHeight="1">
      <c r="A31" s="1202" t="s">
        <v>1035</v>
      </c>
      <c r="B31" s="345" t="s">
        <v>1429</v>
      </c>
      <c r="C31" s="24">
        <f ca="1">ROUND(IF(项目基本情况!B11="自然人",C5*F31,C32+C33+C34),0)</f>
        <v>31870</v>
      </c>
      <c r="D31" s="2950" t="s">
        <v>1430</v>
      </c>
      <c r="E31" s="294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9635</v>
      </c>
      <c r="D32" s="294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22074</v>
      </c>
      <c r="D33" s="1829" t="s">
        <v>3103</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f>
        <v>161</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107</v>
      </c>
      <c r="G35" s="1852"/>
      <c r="H35" s="743"/>
      <c r="I35" s="1861"/>
      <c r="J35" s="1862"/>
      <c r="K35" s="1863"/>
      <c r="L35" s="1860"/>
      <c r="M35" s="1860"/>
    </row>
    <row r="36" spans="1:18" ht="18" customHeight="1">
      <c r="A36" s="1353" t="s">
        <v>1039</v>
      </c>
      <c r="B36" s="345" t="s">
        <v>1449</v>
      </c>
      <c r="C36" s="24">
        <f ca="1">ROUND(C29*F36,0)</f>
        <v>43253</v>
      </c>
      <c r="D36" s="2949" t="s">
        <v>1482</v>
      </c>
      <c r="E36" s="345" t="s">
        <v>1422</v>
      </c>
      <c r="F36" s="372">
        <f ca="1">INDIRECT("'数据-取费表'!Ak"&amp;$G$1)</f>
        <v>1.4999999999999999E-2</v>
      </c>
      <c r="G36" s="1852"/>
      <c r="H36" s="1860"/>
      <c r="I36" s="1861"/>
      <c r="J36" s="1862"/>
      <c r="K36" s="749"/>
      <c r="L36" s="1860"/>
      <c r="M36" s="1860"/>
    </row>
    <row r="37" spans="1:18" ht="18" customHeight="1">
      <c r="A37" s="1202" t="s">
        <v>1075</v>
      </c>
      <c r="B37" s="345" t="s">
        <v>1453</v>
      </c>
      <c r="C37" s="24">
        <f ca="1">ROUND(C13*F37,0)</f>
        <v>3460</v>
      </c>
      <c r="D37" s="2949" t="s">
        <v>1454</v>
      </c>
      <c r="E37" s="345" t="s">
        <v>1422</v>
      </c>
      <c r="F37" s="374">
        <f ca="1">INDIRECT("'数据-取费表'!Al"&amp;$G$1)</f>
        <v>1.5E-3</v>
      </c>
      <c r="G37" s="1852"/>
      <c r="H37" s="1860"/>
      <c r="I37" s="1861"/>
      <c r="J37" s="1862"/>
      <c r="K37" s="749"/>
      <c r="L37" s="1860"/>
      <c r="M37" s="1860"/>
    </row>
    <row r="38" spans="1:18" ht="18" customHeight="1" thickBot="1">
      <c r="A38" s="1340" t="s">
        <v>1392</v>
      </c>
      <c r="B38" s="1341" t="s">
        <v>1439</v>
      </c>
      <c r="C38" s="1342">
        <f ca="1">ROUND(C5*F38,1)</f>
        <v>1839.5</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3">
        <f ca="1">C5-C30</f>
        <v>103527</v>
      </c>
      <c r="D39" s="1346" t="s">
        <v>1464</v>
      </c>
      <c r="E39" s="1347"/>
      <c r="F39" s="1348"/>
      <c r="G39" s="1852"/>
      <c r="H39" s="1860"/>
      <c r="I39" s="1861"/>
      <c r="J39" s="1862"/>
      <c r="K39" s="1866"/>
      <c r="L39" s="1860"/>
      <c r="M39" s="1860"/>
    </row>
    <row r="40" spans="1:18" ht="18" customHeight="1">
      <c r="A40" s="342" t="s">
        <v>1032</v>
      </c>
      <c r="B40" s="343" t="s">
        <v>1485</v>
      </c>
      <c r="C40" s="344">
        <f ca="1">ROUND(C39*(1-((1+F42)/(1+F40))^F41)/(F40-F42),0)</f>
        <v>3420703</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13.27</v>
      </c>
      <c r="G41" s="1852"/>
      <c r="H41" s="730"/>
      <c r="I41" s="1861"/>
      <c r="J41" s="1862"/>
      <c r="K41" s="749"/>
      <c r="L41" s="730"/>
      <c r="M41" s="730"/>
    </row>
    <row r="42" spans="1:18" ht="18" customHeight="1">
      <c r="A42" s="351"/>
      <c r="B42" s="352"/>
      <c r="C42" s="353"/>
      <c r="D42" s="371"/>
      <c r="E42" s="345" t="s">
        <v>1477</v>
      </c>
      <c r="F42" s="355">
        <f ca="1">INDIRECT("'数据-取费表'!v"&amp;$G$1)</f>
        <v>0.18295</v>
      </c>
      <c r="G42" s="1852"/>
      <c r="H42" s="730"/>
      <c r="I42" s="1861"/>
      <c r="J42" s="1862"/>
      <c r="K42" s="749"/>
      <c r="L42" s="730"/>
      <c r="M42" s="730"/>
    </row>
    <row r="43" spans="1:18" ht="18" customHeight="1" thickBot="1">
      <c r="A43" s="378" t="s">
        <v>1033</v>
      </c>
      <c r="B43" s="379" t="s">
        <v>1487</v>
      </c>
      <c r="C43" s="380">
        <f ca="1">ROUND(C40/F43,0)</f>
        <v>4689</v>
      </c>
      <c r="D43" s="381" t="s">
        <v>1488</v>
      </c>
      <c r="E43" s="382" t="s">
        <v>1489</v>
      </c>
      <c r="F43" s="383">
        <f ca="1">INDIRECT("'数据-取费表'!k"&amp;$G$1)</f>
        <v>729.48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-5339076</v>
      </c>
      <c r="D45" s="1941" t="s">
        <v>1604</v>
      </c>
      <c r="E45" s="1867"/>
      <c r="F45" s="1867"/>
      <c r="O45" s="1870" t="s">
        <v>1519</v>
      </c>
      <c r="P45" s="1840"/>
      <c r="Q45" s="1840"/>
      <c r="R45" s="1840"/>
    </row>
    <row r="46" spans="1:18" s="1843" customFormat="1" ht="13.5" thickBot="1">
      <c r="A46" s="1871" t="s">
        <v>1520</v>
      </c>
      <c r="C46" s="1872">
        <f ca="1">ROUND(C45/10000,0)</f>
        <v>-534</v>
      </c>
      <c r="D46" s="1873" t="str">
        <f>C2</f>
        <v>万元</v>
      </c>
      <c r="I46" s="1874" t="s">
        <v>1521</v>
      </c>
      <c r="J46" s="1875"/>
      <c r="K46" s="1876"/>
      <c r="L46" s="1877">
        <f ca="1">IF(M47="住宅",0,IF(L48&gt;J51,L60,J60))</f>
        <v>1369675</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3101</v>
      </c>
      <c r="K47" s="1883" t="s">
        <v>1527</v>
      </c>
      <c r="L47" s="1884">
        <f ca="1">INDIRECT("'数据-取费表'!d"&amp;$G$1)</f>
        <v>50</v>
      </c>
      <c r="M47" s="1839" t="str">
        <f>IF(ISNUMBER(FIND("住宅",C1)),"住宅","非住宅")</f>
        <v>非住宅</v>
      </c>
      <c r="O47" s="1885" t="s">
        <v>1040</v>
      </c>
      <c r="P47" s="1886" t="s">
        <v>1528</v>
      </c>
      <c r="Q47" s="1887">
        <f ca="1">C40+J29</f>
        <v>4836321</v>
      </c>
      <c r="R47" s="1887" t="s">
        <v>1529</v>
      </c>
    </row>
    <row r="48" spans="1:18" s="1843" customFormat="1" ht="28.5" thickBot="1">
      <c r="A48" s="1361" t="s">
        <v>1135</v>
      </c>
      <c r="B48" s="343" t="s">
        <v>1401</v>
      </c>
      <c r="C48" s="2956">
        <f ca="1">C49+C53+C55</f>
        <v>143961</v>
      </c>
      <c r="D48" s="1363"/>
      <c r="E48" s="1364"/>
      <c r="F48" s="1182"/>
      <c r="G48" s="790"/>
      <c r="H48" s="791"/>
      <c r="I48" s="1888" t="s">
        <v>1530</v>
      </c>
      <c r="J48" s="1889" t="s">
        <v>3102</v>
      </c>
      <c r="K48" s="1890" t="s">
        <v>1531</v>
      </c>
      <c r="L48" s="1891">
        <f ca="1">INDIRECT("'数据-取费表'!f"&amp;$G$1)</f>
        <v>31.53</v>
      </c>
      <c r="O48" s="1885" t="s">
        <v>1041</v>
      </c>
      <c r="P48" s="1886" t="s">
        <v>1532</v>
      </c>
      <c r="Q48" s="1887">
        <f ca="1">J60</f>
        <v>1369675</v>
      </c>
      <c r="R48" s="1887" t="s">
        <v>1533</v>
      </c>
    </row>
    <row r="49" spans="1:18" s="1843" customFormat="1" ht="13.5" thickBot="1">
      <c r="A49" s="1195" t="s">
        <v>1136</v>
      </c>
      <c r="B49" s="1830" t="s">
        <v>1490</v>
      </c>
      <c r="C49" s="1365">
        <f ca="1">ROUND(F49*F51*F50*(1-F52),0)</f>
        <v>143781</v>
      </c>
      <c r="D49" s="1277" t="s">
        <v>1404</v>
      </c>
      <c r="E49" s="1831" t="s">
        <v>1491</v>
      </c>
      <c r="F49" s="1282">
        <v>0.6</v>
      </c>
      <c r="G49" s="1892"/>
      <c r="H49" s="791"/>
      <c r="I49" s="1888" t="s">
        <v>1534</v>
      </c>
      <c r="J49" s="1893"/>
      <c r="K49" s="1890" t="s">
        <v>1535</v>
      </c>
      <c r="L49" s="1894"/>
      <c r="O49" s="1895" t="s">
        <v>1042</v>
      </c>
      <c r="P49" s="1886" t="s">
        <v>1536</v>
      </c>
      <c r="Q49" s="1887">
        <f ca="1">C29</f>
        <v>2883526</v>
      </c>
      <c r="R49" s="1887" t="s">
        <v>1529</v>
      </c>
    </row>
    <row r="50" spans="1:18" s="1843" customFormat="1" ht="13.5" thickBot="1">
      <c r="A50" s="1196"/>
      <c r="B50" s="1199"/>
      <c r="C50" s="1200"/>
      <c r="D50" s="1173"/>
      <c r="E50" s="1278" t="s">
        <v>1406</v>
      </c>
      <c r="F50" s="1279">
        <f ca="1">F7</f>
        <v>729.48</v>
      </c>
      <c r="H50" s="791"/>
      <c r="I50" s="1888" t="s">
        <v>1537</v>
      </c>
      <c r="J50" s="1896">
        <f>SUMPRODUCT((I63:I65=J47)*(J62:L62=J48)*(J63:L65))</f>
        <v>60</v>
      </c>
      <c r="K50" s="1890" t="s">
        <v>1538</v>
      </c>
      <c r="L50" s="1894"/>
      <c r="M50" s="1897"/>
      <c r="O50" s="1895" t="s">
        <v>1043</v>
      </c>
      <c r="P50" s="1886" t="s">
        <v>1539</v>
      </c>
      <c r="Q50" s="1898">
        <f ca="1">J58</f>
        <v>0.47499999999999998</v>
      </c>
      <c r="R50" s="1887"/>
    </row>
    <row r="51" spans="1:18" s="1843" customFormat="1" ht="13.5" thickBot="1">
      <c r="A51" s="1197"/>
      <c r="B51" s="1199"/>
      <c r="C51" s="1200"/>
      <c r="D51" s="1173"/>
      <c r="E51" s="1201" t="s">
        <v>1407</v>
      </c>
      <c r="F51" s="346">
        <f ca="1">F8</f>
        <v>365</v>
      </c>
      <c r="I51" s="1899" t="s">
        <v>1540</v>
      </c>
      <c r="J51" s="1900">
        <f>IF(J49="",J50,J49+J50-YEAR('数据-取费表'!B2))</f>
        <v>60</v>
      </c>
      <c r="K51" s="1901" t="s">
        <v>1541</v>
      </c>
      <c r="L51" s="1902">
        <f ca="1">ROUND(-PV(INDIRECT("'数据-取费表'!h"&amp;$G$1),L48,(C39-C13*C76),0),0)</f>
        <v>-238734</v>
      </c>
      <c r="M51" s="1903"/>
      <c r="O51" s="1895" t="s">
        <v>1044</v>
      </c>
      <c r="P51" s="1886" t="s">
        <v>1542</v>
      </c>
      <c r="Q51" s="1898">
        <f>J52</f>
        <v>0</v>
      </c>
      <c r="R51" s="1887"/>
    </row>
    <row r="52" spans="1:18" s="1843" customFormat="1" ht="13.5" thickBot="1">
      <c r="A52" s="1197"/>
      <c r="B52" s="1199"/>
      <c r="C52" s="1200"/>
      <c r="D52" s="1173"/>
      <c r="E52" s="1201" t="s">
        <v>1408</v>
      </c>
      <c r="F52" s="1276">
        <v>0.1</v>
      </c>
      <c r="I52" s="1904" t="s">
        <v>1543</v>
      </c>
      <c r="J52" s="1905"/>
      <c r="K52" s="1904" t="s">
        <v>1544</v>
      </c>
      <c r="L52" s="1905"/>
      <c r="O52" s="1895" t="s">
        <v>1045</v>
      </c>
      <c r="P52" s="1886" t="s">
        <v>1545</v>
      </c>
      <c r="Q52" s="1887">
        <f ca="1">J53</f>
        <v>31.53</v>
      </c>
      <c r="R52" s="1887" t="s">
        <v>1546</v>
      </c>
    </row>
    <row r="53" spans="1:18" s="1843" customFormat="1" ht="30.75" customHeight="1" thickBot="1">
      <c r="A53" s="1362" t="s">
        <v>1137</v>
      </c>
      <c r="B53" s="367" t="s">
        <v>1409</v>
      </c>
      <c r="C53" s="359">
        <f ca="1">ROUND(IF(F53="押一",C49/12*F11,IF(F53="押二",C49/12*2*F11,IF(F53="押三",C49/12*3*F11,C54*F11))),0)</f>
        <v>180</v>
      </c>
      <c r="D53" s="1825" t="s">
        <v>3043</v>
      </c>
      <c r="E53" s="356" t="s">
        <v>1410</v>
      </c>
      <c r="F53" s="1367" t="s">
        <v>3080</v>
      </c>
      <c r="I53" s="1906" t="s">
        <v>1547</v>
      </c>
      <c r="J53" s="1907">
        <f ca="1">IF(M47="住宅",IF(D1="——",MAX(J51,L48),IF(D1="在建（套用方法）",MAX(J51,L48-'数据-取费表'!B24),MAX(J51,L48-'数据-取费表'!B20))),IF(D1="——",MIN(J51,L48),IF(D1="在建（套用方法）",MIN(J51,L48-'数据-取费表'!B24),IF(D1="土地（套用方法）",MIN(J51,L48-'数据-取费表'!B20)))))</f>
        <v>31.53</v>
      </c>
      <c r="K53" s="3184" t="s">
        <v>1548</v>
      </c>
      <c r="L53" s="3185"/>
      <c r="O53" s="1885" t="s">
        <v>1046</v>
      </c>
      <c r="P53" s="1886" t="s">
        <v>1549</v>
      </c>
      <c r="Q53" s="1887">
        <f ca="1">Q47+Q48</f>
        <v>6205996</v>
      </c>
      <c r="R53" s="1887" t="s">
        <v>1047</v>
      </c>
    </row>
    <row r="54" spans="1:18" s="1843" customFormat="1" ht="13.5" thickBot="1">
      <c r="A54" s="1195"/>
      <c r="B54" s="1942" t="s">
        <v>1603</v>
      </c>
      <c r="C54" s="1179"/>
      <c r="D54" s="1825"/>
      <c r="E54" s="295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53"/>
      <c r="F55" s="1908"/>
      <c r="I55" s="1911" t="s">
        <v>1551</v>
      </c>
      <c r="J55" s="1912">
        <f ca="1">ROUND(IF(J47="钢混",J57/J50,1-(1-2%)*(J50-J57)/J50),3)</f>
        <v>0.47499999999999998</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2306821</v>
      </c>
      <c r="D56" s="1915"/>
      <c r="E56" s="1916"/>
      <c r="F56" s="1908"/>
      <c r="I56" s="1917" t="s">
        <v>1554</v>
      </c>
      <c r="J56" s="1918"/>
      <c r="K56" s="1888" t="s">
        <v>1555</v>
      </c>
      <c r="L56" s="1891" t="str">
        <f ca="1">IF(L48&lt;J51,"——",L48-J51)</f>
        <v>——</v>
      </c>
      <c r="O56" s="1885" t="s">
        <v>1040</v>
      </c>
      <c r="P56" s="1886" t="s">
        <v>1528</v>
      </c>
      <c r="Q56" s="1887">
        <f ca="1">C40+J29</f>
        <v>4836321</v>
      </c>
      <c r="R56" s="1887" t="s">
        <v>1529</v>
      </c>
    </row>
    <row r="57" spans="1:18" s="1843" customFormat="1" ht="24.75" thickBot="1">
      <c r="A57" s="1919"/>
      <c r="B57" s="1170" t="s">
        <v>1478</v>
      </c>
      <c r="C57" s="280">
        <f ca="1">C29</f>
        <v>2883526</v>
      </c>
      <c r="D57" s="1920"/>
      <c r="E57" s="1921"/>
      <c r="F57" s="1922"/>
      <c r="I57" s="1923" t="s">
        <v>1556</v>
      </c>
      <c r="J57" s="1924">
        <f ca="1">IF(OR(M47="住宅",J51&lt;L48,J56="是"),"——",J51-L48)</f>
        <v>28.47</v>
      </c>
      <c r="K57" s="1888" t="s">
        <v>1605</v>
      </c>
      <c r="L57" s="1891" t="str">
        <f ca="1">IF(L48&lt;J51,"——",IF(L55="比较法",L49,IF(L55="基准地价",L50,L51)))</f>
        <v>——</v>
      </c>
      <c r="O57" s="1885" t="s">
        <v>1041</v>
      </c>
      <c r="P57" s="1886" t="s">
        <v>1558</v>
      </c>
      <c r="Q57" s="1887">
        <f ca="1">L60</f>
        <v>0</v>
      </c>
      <c r="R57" s="1887" t="s">
        <v>1559</v>
      </c>
    </row>
    <row r="58" spans="1:18" s="1843" customFormat="1" ht="24.75" thickBot="1">
      <c r="A58" s="358" t="s">
        <v>1030</v>
      </c>
      <c r="B58" s="1178" t="s">
        <v>1424</v>
      </c>
      <c r="C58" s="359">
        <f ca="1">ROUND(C59+C64+C65+C66,0)</f>
        <v>298071</v>
      </c>
      <c r="D58" s="1180" t="s">
        <v>1425</v>
      </c>
      <c r="E58" s="1181"/>
      <c r="F58" s="1182"/>
      <c r="I58" s="1923" t="s">
        <v>1560</v>
      </c>
      <c r="J58" s="1925">
        <f ca="1">IF(J55&lt;0.4,0.4,J55)</f>
        <v>0.47499999999999998</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249918</v>
      </c>
      <c r="D59" s="1183" t="s">
        <v>1430</v>
      </c>
      <c r="E59" s="1184" t="s">
        <v>1431</v>
      </c>
      <c r="F59" s="366" t="str">
        <f ca="1">IF(项目基本情况!B11="企业","",IF(INDIRECT("'数据-取费表'!c"&amp;$G$1)="住宅",5%,IF(F49*F50*F51/12/(1+'数据-取费表'!C42)&gt;20000,12%,7%)))</f>
        <v/>
      </c>
      <c r="I59" s="1923" t="s">
        <v>1563</v>
      </c>
      <c r="J59" s="1924">
        <f ca="1">IF(OR(M47="住宅",J51&lt;L48,J56="是"),"——",ROUND(C29*J58,0))</f>
        <v>1369675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7541</v>
      </c>
      <c r="D60" s="1184" t="s">
        <v>1434</v>
      </c>
      <c r="E60" s="1170" t="s">
        <v>1422</v>
      </c>
      <c r="F60" s="375">
        <f t="shared" ref="F60:F66" si="0">F32</f>
        <v>5.5000000000000007E-2</v>
      </c>
      <c r="I60" s="1926" t="s">
        <v>1565</v>
      </c>
      <c r="J60" s="1927">
        <f ca="1">IF(OR(M47="住宅",J51&lt;L48,J56="是"),"0",ROUND(J59/(1+J52)^J53,0))</f>
        <v>1369675</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IF(项目基本情况!B11="自然人","——",IF(D61="按租金收入计税",ROUND(C48*F61,0),IF(D61="按房产原值计税",ROUND(C57*F61*0.7,0),INDIRECT("'数据-取费表'!Aj"&amp;$G$1))))</f>
        <v>242216</v>
      </c>
      <c r="D61" s="1829" t="s">
        <v>1438</v>
      </c>
      <c r="E61" s="1170" t="s">
        <v>1422</v>
      </c>
      <c r="F61" s="365">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IF(项目基本情况!B11="自然人","——",ROUND(F62*F63,0))</f>
        <v>161</v>
      </c>
      <c r="D62" s="1185" t="s">
        <v>1442</v>
      </c>
      <c r="E62" s="1170" t="s">
        <v>1443</v>
      </c>
      <c r="F62" s="369">
        <f t="shared" si="0"/>
        <v>1.5</v>
      </c>
      <c r="I62" s="1930" t="s">
        <v>1570</v>
      </c>
      <c r="J62" s="1931" t="s">
        <v>1571</v>
      </c>
      <c r="K62" s="1931" t="s">
        <v>1572</v>
      </c>
      <c r="L62" s="1931" t="s">
        <v>1573</v>
      </c>
      <c r="M62" s="1932" t="s">
        <v>1574</v>
      </c>
      <c r="O62" s="1885" t="s">
        <v>1046</v>
      </c>
      <c r="P62" s="1886" t="s">
        <v>1549</v>
      </c>
      <c r="Q62" s="1887">
        <f ca="1">Q56+Q57</f>
        <v>4836321</v>
      </c>
      <c r="R62" s="1887" t="s">
        <v>1047</v>
      </c>
    </row>
    <row r="63" spans="1:18" s="1843" customFormat="1" ht="13.5" thickBot="1">
      <c r="A63" s="370"/>
      <c r="B63" s="1176"/>
      <c r="C63" s="29"/>
      <c r="D63" s="1186"/>
      <c r="E63" s="1170" t="s">
        <v>1447</v>
      </c>
      <c r="F63" s="346">
        <f t="shared" ca="1" si="0"/>
        <v>107</v>
      </c>
      <c r="I63" s="1930" t="s">
        <v>1576</v>
      </c>
      <c r="J63" s="1931">
        <v>70</v>
      </c>
      <c r="K63" s="1931">
        <v>50</v>
      </c>
      <c r="L63" s="1931">
        <v>80</v>
      </c>
      <c r="M63" s="1933">
        <v>0.02</v>
      </c>
      <c r="O63" s="1870" t="s">
        <v>1577</v>
      </c>
      <c r="P63" s="1840"/>
      <c r="Q63" s="1840"/>
      <c r="R63" s="1840"/>
    </row>
    <row r="64" spans="1:18" s="1843" customFormat="1" ht="13.5" thickBot="1">
      <c r="A64" s="1202" t="s">
        <v>1500</v>
      </c>
      <c r="B64" s="1170" t="s">
        <v>1449</v>
      </c>
      <c r="C64" s="24">
        <f ca="1">ROUND(C57*F64,0)</f>
        <v>43253</v>
      </c>
      <c r="D64" s="1184" t="s">
        <v>1482</v>
      </c>
      <c r="E64" s="1170" t="s">
        <v>1422</v>
      </c>
      <c r="F64" s="372">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3460</v>
      </c>
      <c r="D65" s="1184" t="s">
        <v>1454</v>
      </c>
      <c r="E65" s="1170" t="s">
        <v>1422</v>
      </c>
      <c r="F65" s="374">
        <f t="shared" ca="1" si="0"/>
        <v>1.5E-3</v>
      </c>
      <c r="I65" s="1930" t="s">
        <v>1579</v>
      </c>
      <c r="J65" s="1931">
        <v>40</v>
      </c>
      <c r="K65" s="1931">
        <v>30</v>
      </c>
      <c r="L65" s="1931">
        <v>50</v>
      </c>
      <c r="M65" s="1933">
        <v>0.02</v>
      </c>
      <c r="O65" s="1885" t="s">
        <v>1040</v>
      </c>
      <c r="P65" s="1886" t="s">
        <v>1528</v>
      </c>
      <c r="Q65" s="1887">
        <f ca="1">C40+J29</f>
        <v>4836321</v>
      </c>
      <c r="R65" s="1887" t="s">
        <v>1529</v>
      </c>
    </row>
    <row r="66" spans="1:18" s="1843" customFormat="1" ht="16.5" thickBot="1">
      <c r="A66" s="1202" t="s">
        <v>1504</v>
      </c>
      <c r="B66" s="1170" t="s">
        <v>1439</v>
      </c>
      <c r="C66" s="24">
        <f ca="1">ROUND(C48*F66,0)</f>
        <v>1440</v>
      </c>
      <c r="D66" s="1184" t="s">
        <v>1459</v>
      </c>
      <c r="E66" s="1170" t="s">
        <v>1422</v>
      </c>
      <c r="F66" s="355">
        <f t="shared" ca="1" si="0"/>
        <v>0.01</v>
      </c>
      <c r="O66" s="1885" t="s">
        <v>1041</v>
      </c>
      <c r="P66" s="1886" t="s">
        <v>1558</v>
      </c>
      <c r="Q66" s="1887">
        <f ca="1">L60</f>
        <v>0</v>
      </c>
      <c r="R66" s="1887" t="s">
        <v>1581</v>
      </c>
    </row>
    <row r="67" spans="1:18" s="1843" customFormat="1" ht="16.5" thickBot="1">
      <c r="A67" s="1177" t="s">
        <v>1031</v>
      </c>
      <c r="B67" s="1187" t="s">
        <v>1463</v>
      </c>
      <c r="C67" s="359">
        <f ca="1">C48-C58</f>
        <v>-154110</v>
      </c>
      <c r="D67" s="1183" t="s">
        <v>1464</v>
      </c>
      <c r="E67" s="1188"/>
      <c r="F67" s="1189"/>
      <c r="O67" s="1895" t="s">
        <v>1042</v>
      </c>
      <c r="P67" s="1886" t="s">
        <v>1562</v>
      </c>
      <c r="Q67" s="1934">
        <f ca="1">L51</f>
        <v>-238734</v>
      </c>
      <c r="R67" s="1887" t="s">
        <v>1582</v>
      </c>
    </row>
    <row r="68" spans="1:18" s="1843" customFormat="1" ht="16.5" thickBot="1">
      <c r="A68" s="1167" t="s">
        <v>1032</v>
      </c>
      <c r="B68" s="1168" t="s">
        <v>1485</v>
      </c>
      <c r="C68" s="344">
        <f ca="1">ROUND(C67*(1-((1+F70)/(1+F68))^F69)/(F68-F70),0)</f>
        <v>-1918373</v>
      </c>
      <c r="D68" s="1185" t="s">
        <v>1469</v>
      </c>
      <c r="E68" s="1170" t="s">
        <v>1470</v>
      </c>
      <c r="F68" s="355">
        <f ca="1">F40</f>
        <v>3.5000000000000003E-2</v>
      </c>
      <c r="O68" s="1895" t="s">
        <v>1043</v>
      </c>
      <c r="P68" s="1935" t="s">
        <v>1583</v>
      </c>
      <c r="Q68" s="1887">
        <f ca="1">ROUND(Q69-Q70*Q71,0)</f>
        <v>-11814</v>
      </c>
      <c r="R68" s="1887" t="s">
        <v>1051</v>
      </c>
    </row>
    <row r="69" spans="1:18" s="1843" customFormat="1" ht="13.5" thickBot="1">
      <c r="A69" s="1171"/>
      <c r="B69" s="1172"/>
      <c r="C69" s="349"/>
      <c r="D69" s="1190" t="s">
        <v>1473</v>
      </c>
      <c r="E69" s="1170" t="s">
        <v>1474</v>
      </c>
      <c r="F69" s="377">
        <f ca="1">F41</f>
        <v>13.27</v>
      </c>
      <c r="O69" s="1895" t="s">
        <v>1048</v>
      </c>
      <c r="P69" s="1935" t="s">
        <v>1584</v>
      </c>
      <c r="Q69" s="1887">
        <f ca="1">C39</f>
        <v>103527</v>
      </c>
      <c r="R69" s="1887" t="s">
        <v>1529</v>
      </c>
    </row>
    <row r="70" spans="1:18" s="1843" customFormat="1" ht="13.5" thickBot="1">
      <c r="A70" s="1174"/>
      <c r="B70" s="1175"/>
      <c r="C70" s="353"/>
      <c r="D70" s="1186"/>
      <c r="E70" s="1170" t="s">
        <v>1477</v>
      </c>
      <c r="F70" s="1276">
        <v>0.03</v>
      </c>
      <c r="O70" s="1895" t="s">
        <v>1049</v>
      </c>
      <c r="P70" s="1935" t="s">
        <v>1585</v>
      </c>
      <c r="Q70" s="1887">
        <f ca="1">C13</f>
        <v>2306821</v>
      </c>
      <c r="R70" s="1887" t="s">
        <v>1529</v>
      </c>
    </row>
    <row r="71" spans="1:18" s="1843" customFormat="1" ht="13.5" thickBot="1">
      <c r="A71" s="1191" t="s">
        <v>1033</v>
      </c>
      <c r="B71" s="1192" t="s">
        <v>1487</v>
      </c>
      <c r="C71" s="380">
        <f ca="1">ROUND(C68/F71,0)</f>
        <v>-2630</v>
      </c>
      <c r="D71" s="1193" t="s">
        <v>1488</v>
      </c>
      <c r="E71" s="1194" t="s">
        <v>1489</v>
      </c>
      <c r="F71" s="383">
        <f ca="1">F43</f>
        <v>729.48</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4" t="s">
        <v>1506</v>
      </c>
      <c r="C75" s="385">
        <f ca="1">ROUND(C13*C76,0)</f>
        <v>115341</v>
      </c>
      <c r="D75" s="1843"/>
      <c r="E75" s="1843"/>
      <c r="F75" s="1843"/>
      <c r="K75" s="1869"/>
      <c r="L75" s="1843"/>
      <c r="O75" s="1885" t="s">
        <v>1046</v>
      </c>
      <c r="P75" s="1886" t="s">
        <v>1549</v>
      </c>
      <c r="Q75" s="1887">
        <f ca="1">Q65+Q66</f>
        <v>4836321</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-0.1140000000000001</v>
      </c>
    </row>
    <row r="80" spans="1:18">
      <c r="B80" s="384" t="s">
        <v>1511</v>
      </c>
      <c r="C80" s="316">
        <f ca="1">ROUND(C75/C39,3)</f>
        <v>1.1140000000000001</v>
      </c>
    </row>
    <row r="81" spans="2:3">
      <c r="B81" s="312" t="s">
        <v>1512</v>
      </c>
      <c r="C81" s="280"/>
    </row>
    <row r="82" spans="2:3">
      <c r="B82" s="315" t="s">
        <v>1513</v>
      </c>
      <c r="C82" s="317">
        <f ca="1">1-C83</f>
        <v>0.32599999999999996</v>
      </c>
    </row>
    <row r="83" spans="2:3">
      <c r="B83" s="315" t="s">
        <v>1514</v>
      </c>
      <c r="C83" s="316">
        <f ca="1">ROUND(C13/C40,3)</f>
        <v>0.67400000000000004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8" t="s">
        <v>3067</v>
      </c>
      <c r="C1" s="2556" t="s">
        <v>2433</v>
      </c>
      <c r="D1" s="240"/>
      <c r="E1" s="240"/>
      <c r="F1" s="240"/>
      <c r="G1" s="1380">
        <f>MATCH(B1,'数据-取费表'!A6:A16,0)+5</f>
        <v>6</v>
      </c>
      <c r="H1" s="1283" t="str">
        <f>IF(ISERROR(FIND("住宅",B1)),"非住宅","住宅")</f>
        <v>非住宅</v>
      </c>
    </row>
    <row r="2" spans="1:8" s="242" customFormat="1" ht="18" customHeight="1">
      <c r="A2" s="243" t="s">
        <v>2332</v>
      </c>
      <c r="B2" s="244">
        <f ca="1">ROUND(IF(D2="——",C52/10000,C52/10000-E2),0)</f>
        <v>1774</v>
      </c>
      <c r="C2" s="241" t="s">
        <v>2333</v>
      </c>
      <c r="D2" s="2550" t="s">
        <v>3137</v>
      </c>
      <c r="E2" s="1441">
        <f ca="1">SUMIF(INDIRECT("'"&amp;G2&amp;"'"&amp;"!A:A"),"承租人权益价值",INDIRECT("'"&amp;G2&amp;"'"&amp;"!c:c"))</f>
        <v>-565</v>
      </c>
      <c r="F2" s="2551" t="s">
        <v>2333</v>
      </c>
      <c r="G2" s="2552" t="s">
        <v>3076</v>
      </c>
    </row>
    <row r="3" spans="1:8" s="242" customFormat="1" ht="18" customHeight="1" thickBot="1">
      <c r="A3" s="245" t="s">
        <v>2334</v>
      </c>
      <c r="B3" s="246">
        <f ca="1">ROUND(B2*10000/(IF(B1="",'数据-汇总表'!E3,INDIRECT("'数据-取费表'!k"&amp;$G$1))),0)</f>
        <v>25020</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5960829.5599999996</v>
      </c>
      <c r="D5" s="253" t="s">
        <v>2339</v>
      </c>
      <c r="E5" s="254" t="s">
        <v>2340</v>
      </c>
      <c r="F5" s="254" t="s">
        <v>2341</v>
      </c>
      <c r="G5" s="255"/>
    </row>
    <row r="6" spans="1:8" s="256" customFormat="1" ht="13.5" customHeight="1">
      <c r="A6" s="950" t="s">
        <v>2342</v>
      </c>
      <c r="B6" s="257" t="s">
        <v>2343</v>
      </c>
      <c r="C6" s="258">
        <f ca="1">基准地价修正!C29*基准地价修正!D29</f>
        <v>5646794.5599999996</v>
      </c>
      <c r="D6" s="259"/>
      <c r="E6" s="260"/>
      <c r="F6" s="260"/>
      <c r="G6" s="261"/>
    </row>
    <row r="7" spans="1:8" s="256" customFormat="1" ht="13.5" customHeight="1">
      <c r="A7" s="950" t="s">
        <v>2344</v>
      </c>
      <c r="B7" s="257" t="s">
        <v>2345</v>
      </c>
      <c r="C7" s="262">
        <f ca="1">ROUND(C6*F7,0)</f>
        <v>172227</v>
      </c>
      <c r="D7" s="262"/>
      <c r="E7" s="260"/>
      <c r="F7" s="263">
        <f>'数据-取费表'!B48+'数据-取费表'!B49</f>
        <v>3.0499999999999999E-2</v>
      </c>
      <c r="G7" s="261"/>
    </row>
    <row r="8" spans="1:8" s="265" customFormat="1">
      <c r="A8" s="950" t="s">
        <v>2346</v>
      </c>
      <c r="B8" s="257" t="s">
        <v>2347</v>
      </c>
      <c r="C8" s="262">
        <f ca="1">IF(G8="已包含在土地购买价格中",0,C9+C10)</f>
        <v>141808</v>
      </c>
      <c r="D8" s="264"/>
      <c r="E8" s="262"/>
      <c r="F8" s="263"/>
      <c r="G8" s="2553" t="s">
        <v>3062</v>
      </c>
    </row>
    <row r="9" spans="1:8" s="256" customFormat="1" ht="13.5" customHeight="1">
      <c r="A9" s="951" t="s">
        <v>800</v>
      </c>
      <c r="B9" s="266" t="s">
        <v>2348</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2350</v>
      </c>
      <c r="C10" s="267">
        <f>ROUND(D10*E10,0)</f>
        <v>141808</v>
      </c>
      <c r="D10" s="1033">
        <f>'数据-取费表'!K6</f>
        <v>709.04</v>
      </c>
      <c r="E10" s="267">
        <f>'数据-取费表'!B28</f>
        <v>200</v>
      </c>
      <c r="F10" s="263"/>
      <c r="G10" s="268"/>
    </row>
    <row r="11" spans="1:8" s="256" customFormat="1" ht="13.5" hidden="1" customHeight="1">
      <c r="A11" s="269" t="s">
        <v>7</v>
      </c>
      <c r="B11" s="257" t="s">
        <v>2351</v>
      </c>
      <c r="C11" s="253"/>
      <c r="D11" s="1035"/>
      <c r="E11" s="260"/>
      <c r="F11" s="260"/>
      <c r="G11" s="261"/>
    </row>
    <row r="12" spans="1:8" s="256" customFormat="1" ht="13.5" hidden="1" customHeight="1">
      <c r="A12" s="269" t="s">
        <v>8</v>
      </c>
      <c r="B12" s="257" t="s">
        <v>2434</v>
      </c>
      <c r="C12" s="253">
        <v>0</v>
      </c>
      <c r="D12" s="1035"/>
      <c r="E12" s="270"/>
      <c r="F12" s="263">
        <v>3.0499999999999999E-2</v>
      </c>
      <c r="G12" s="261"/>
    </row>
    <row r="13" spans="1:8" s="256" customFormat="1" ht="13.5" hidden="1" customHeight="1">
      <c r="A13" s="269" t="s">
        <v>9</v>
      </c>
      <c r="B13" s="257" t="s">
        <v>2435</v>
      </c>
      <c r="C13" s="253"/>
      <c r="D13" s="1035"/>
      <c r="E13" s="260"/>
      <c r="F13" s="260"/>
      <c r="G13" s="261"/>
    </row>
    <row r="14" spans="1:8" s="256" customFormat="1" ht="13.5" hidden="1" customHeight="1">
      <c r="A14" s="269" t="s">
        <v>10</v>
      </c>
      <c r="B14" s="257" t="s">
        <v>2347</v>
      </c>
      <c r="C14" s="253"/>
      <c r="D14" s="1035"/>
      <c r="E14" s="260"/>
      <c r="F14" s="260"/>
      <c r="G14" s="261" t="s">
        <v>2436</v>
      </c>
    </row>
    <row r="15" spans="1:8" s="256" customFormat="1" ht="13.5" hidden="1" customHeight="1">
      <c r="A15" s="269" t="s">
        <v>11</v>
      </c>
      <c r="B15" s="257" t="s">
        <v>2437</v>
      </c>
      <c r="C15" s="262"/>
      <c r="D15" s="1035"/>
      <c r="E15" s="260"/>
      <c r="F15" s="260"/>
      <c r="G15" s="261" t="s">
        <v>2438</v>
      </c>
    </row>
    <row r="16" spans="1:8" s="256" customFormat="1" ht="13.5" hidden="1" customHeight="1">
      <c r="A16" s="269" t="s">
        <v>12</v>
      </c>
      <c r="B16" s="257" t="s">
        <v>2347</v>
      </c>
      <c r="C16" s="262"/>
      <c r="D16" s="1035"/>
      <c r="E16" s="260"/>
      <c r="F16" s="260"/>
      <c r="G16" s="261"/>
    </row>
    <row r="17" spans="1:7" s="256" customFormat="1" ht="13.5" hidden="1" customHeight="1">
      <c r="A17" s="269" t="s">
        <v>13</v>
      </c>
      <c r="B17" s="257" t="s">
        <v>2439</v>
      </c>
      <c r="C17" s="271"/>
      <c r="D17" s="1036"/>
      <c r="E17" s="271"/>
      <c r="F17" s="271"/>
      <c r="G17" s="261" t="s">
        <v>2438</v>
      </c>
    </row>
    <row r="18" spans="1:7" s="256" customFormat="1" ht="13.5" hidden="1" customHeight="1">
      <c r="A18" s="269" t="s">
        <v>14</v>
      </c>
      <c r="B18" s="257" t="s">
        <v>2440</v>
      </c>
      <c r="C18" s="262">
        <v>0</v>
      </c>
      <c r="D18" s="1035"/>
      <c r="E18" s="260"/>
      <c r="F18" s="263">
        <v>3.0499999999999999E-2</v>
      </c>
      <c r="G18" s="261" t="s">
        <v>2441</v>
      </c>
    </row>
    <row r="19" spans="1:7" s="265" customFormat="1" ht="13.5" customHeight="1">
      <c r="A19" s="297" t="s">
        <v>2442</v>
      </c>
      <c r="B19" s="252" t="s">
        <v>2443</v>
      </c>
      <c r="C19" s="253" t="str">
        <f>IF(G19="已包含在土地取得成本中","0",ROUND(D19*E19,0))</f>
        <v>0</v>
      </c>
      <c r="D19" s="1037">
        <f ca="1">D9+D10</f>
        <v>709.04</v>
      </c>
      <c r="E19" s="253">
        <f>'数据-取费表'!B31</f>
        <v>200</v>
      </c>
      <c r="F19" s="273"/>
      <c r="G19" s="2553" t="s">
        <v>3063</v>
      </c>
    </row>
    <row r="20" spans="1:7" s="256" customFormat="1" ht="13.5" customHeight="1">
      <c r="A20" s="297" t="s">
        <v>2444</v>
      </c>
      <c r="B20" s="252" t="s">
        <v>2445</v>
      </c>
      <c r="C20" s="274">
        <f ca="1">ROUND((C5+C19)*F20,0)</f>
        <v>119217</v>
      </c>
      <c r="D20" s="274"/>
      <c r="E20" s="274"/>
      <c r="F20" s="275">
        <f>'数据-取费表'!B37</f>
        <v>0.02</v>
      </c>
      <c r="G20" s="276" t="s">
        <v>2446</v>
      </c>
    </row>
    <row r="21" spans="1:7" s="256" customFormat="1" ht="13.5" customHeight="1">
      <c r="A21" s="297" t="s">
        <v>2447</v>
      </c>
      <c r="B21" s="252" t="s">
        <v>2448</v>
      </c>
      <c r="C21" s="277">
        <f>F21</f>
        <v>0.02</v>
      </c>
      <c r="D21" s="278" t="s">
        <v>2449</v>
      </c>
      <c r="E21" s="274"/>
      <c r="F21" s="275">
        <f>'数据-取费表'!B38</f>
        <v>0.02</v>
      </c>
      <c r="G21" s="276" t="s">
        <v>2450</v>
      </c>
    </row>
    <row r="22" spans="1:7" s="256" customFormat="1" ht="13.5" customHeight="1">
      <c r="A22" s="297" t="s">
        <v>2451</v>
      </c>
      <c r="B22" s="252" t="s">
        <v>2452</v>
      </c>
      <c r="C22" s="1381">
        <f ca="1">ROUND(SUM(C23:C25),0)</f>
        <v>585391</v>
      </c>
      <c r="D22" s="277">
        <f ca="1">C26</f>
        <v>1E-3</v>
      </c>
      <c r="E22" s="278" t="s">
        <v>2449</v>
      </c>
      <c r="F22" s="279">
        <f ca="1">'数据-取费表'!B40</f>
        <v>4.7500000000000001E-2</v>
      </c>
      <c r="G22" s="276" t="str">
        <f>IF('数据-取费表'!B22&lt;=1,"单利计息","复利计息")</f>
        <v>复利计息</v>
      </c>
    </row>
    <row r="23" spans="1:7" s="256" customFormat="1" ht="13.5" customHeight="1">
      <c r="A23" s="952" t="s">
        <v>2342</v>
      </c>
      <c r="B23" s="257" t="s">
        <v>2453</v>
      </c>
      <c r="C23" s="1382">
        <f ca="1">ROUND(IF('数据-取费表'!B22&lt;=1,C5*F22*'数据-取费表'!B22,C5*(POWER((1+F22),'数据-取费表'!B22)-1)),0)</f>
        <v>579728</v>
      </c>
      <c r="D23" s="280"/>
      <c r="E23" s="280"/>
      <c r="F23" s="281"/>
      <c r="G23" s="282" t="s">
        <v>2454</v>
      </c>
    </row>
    <row r="24" spans="1:7" s="256" customFormat="1" ht="13.5" customHeight="1">
      <c r="A24" s="952" t="s">
        <v>2344</v>
      </c>
      <c r="B24" s="257" t="s">
        <v>2455</v>
      </c>
      <c r="C24" s="1382">
        <f ca="1">ROUND(IF('数据-取费表'!B22&lt;=1,C19*F22*('数据-取费表'!B19/2+'数据-取费表'!B20),C19*(POWER((1+F22),('数据-取费表'!B19/2+'数据-取费表'!B20))-1)),0)</f>
        <v>0</v>
      </c>
      <c r="D24" s="280"/>
      <c r="E24" s="280"/>
      <c r="F24" s="281"/>
      <c r="G24" s="282" t="s">
        <v>2456</v>
      </c>
    </row>
    <row r="25" spans="1:7" s="256" customFormat="1" ht="24">
      <c r="A25" s="952" t="s">
        <v>2346</v>
      </c>
      <c r="B25" s="257" t="s">
        <v>2457</v>
      </c>
      <c r="C25" s="1382">
        <f ca="1">ROUND(IF('数据-取费表'!B22&lt;=1,C20*F22*'数据-取费表'!B22/2,C20*(POWER((1+F22),'数据-取费表'!B22/2)-1)),0)</f>
        <v>5663</v>
      </c>
      <c r="D25" s="280"/>
      <c r="E25" s="283"/>
      <c r="F25" s="281"/>
      <c r="G25" s="284" t="s">
        <v>2458</v>
      </c>
    </row>
    <row r="26" spans="1:7" s="256" customFormat="1">
      <c r="A26" s="952" t="s">
        <v>795</v>
      </c>
      <c r="B26" s="257" t="s">
        <v>2381</v>
      </c>
      <c r="C26" s="280">
        <f ca="1">ROUND(IF('数据-取费表'!B22&lt;=1,F21*F22*'数据-取费表'!B22/2,F21*(POWER((1+F22),'数据-取费表'!B22/2)-1)),4)</f>
        <v>1E-3</v>
      </c>
      <c r="D26" s="280"/>
      <c r="E26" s="283"/>
      <c r="F26" s="281"/>
      <c r="G26" s="285"/>
    </row>
    <row r="27" spans="1:7" s="256" customFormat="1" ht="24.75">
      <c r="A27" s="297" t="s">
        <v>2382</v>
      </c>
      <c r="B27" s="286" t="s">
        <v>2383</v>
      </c>
      <c r="C27" s="287">
        <f ca="1">C28</f>
        <v>1824014</v>
      </c>
      <c r="D27" s="277">
        <f ca="1">C29</f>
        <v>6.0000000000000001E-3</v>
      </c>
      <c r="E27" s="278" t="s">
        <v>2384</v>
      </c>
      <c r="F27" s="288">
        <f ca="1">IF(B1="",'数据-取费表'!Q16,INDIRECT("'数据-取费表'!q"&amp;$G$1))</f>
        <v>0.3</v>
      </c>
      <c r="G27" s="289" t="s">
        <v>2385</v>
      </c>
    </row>
    <row r="28" spans="1:7" s="256" customFormat="1" ht="13.5" customHeight="1">
      <c r="A28" s="952" t="s">
        <v>791</v>
      </c>
      <c r="B28" s="290" t="s">
        <v>2386</v>
      </c>
      <c r="C28" s="291">
        <f ca="1">ROUND((C5+C19+C20)*F27,0)</f>
        <v>1824014</v>
      </c>
      <c r="D28" s="277"/>
      <c r="E28" s="278"/>
      <c r="F28" s="288"/>
      <c r="G28" s="289"/>
    </row>
    <row r="29" spans="1:7" s="256" customFormat="1" ht="13.5" customHeight="1">
      <c r="A29" s="952" t="s">
        <v>792</v>
      </c>
      <c r="B29" s="290" t="s">
        <v>2387</v>
      </c>
      <c r="C29" s="280">
        <f ca="1">ROUND(C21*F27,4)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9221651</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2400881</v>
      </c>
      <c r="D33" s="274"/>
      <c r="E33" s="254"/>
      <c r="F33" s="283"/>
      <c r="G33" s="276"/>
    </row>
    <row r="34" spans="1:7" s="300" customFormat="1" ht="13.5" customHeight="1">
      <c r="A34" s="952" t="s">
        <v>791</v>
      </c>
      <c r="B34" s="257" t="s">
        <v>2395</v>
      </c>
      <c r="C34" s="262">
        <f ca="1">ROUND(IF(B1="",SUMPRODUCT('数据-取费表'!K6:K14,'数据-取费表'!L6:L14),INDIRECT("'数据-取费表'!l"&amp;$G$1)*INDIRECT("'数据-取费表'!k"&amp;$G$1)+'数据-取费表'!L14*INDIRECT("'数据-取费表'!S"&amp;$G$1)),0)</f>
        <v>2141301</v>
      </c>
      <c r="D34" s="259"/>
      <c r="E34" s="262"/>
      <c r="F34" s="299"/>
      <c r="G34" s="261"/>
    </row>
    <row r="35" spans="1:7" ht="13.5" customHeight="1">
      <c r="A35" s="952" t="s">
        <v>796</v>
      </c>
      <c r="B35" s="257" t="s">
        <v>2397</v>
      </c>
      <c r="C35" s="262">
        <f ca="1">ROUND(C34*F35,0)</f>
        <v>85652</v>
      </c>
      <c r="D35" s="262"/>
      <c r="E35" s="262"/>
      <c r="F35" s="301">
        <f>'数据-取费表'!B33</f>
        <v>0.04</v>
      </c>
      <c r="G35" s="261" t="s">
        <v>2398</v>
      </c>
    </row>
    <row r="36" spans="1:7" ht="24">
      <c r="A36" s="952" t="s">
        <v>797</v>
      </c>
      <c r="B36" s="257" t="s">
        <v>2399</v>
      </c>
      <c r="C36" s="262">
        <f ca="1">ROUND(IF(B1="",SUM('数据-取费表'!AP6:AP13)*F36,IF(INDIRECT("'数据-取费表'!c"&amp;$G$1)="住宅",INDIRECT("'数据-取费表'!k"&amp;$G$1)*INDIRECT("'数据-取费表'!l"&amp;$G$1)*F36,0)),0)</f>
        <v>0</v>
      </c>
      <c r="D36" s="262"/>
      <c r="E36" s="262"/>
      <c r="F36" s="301">
        <f>'数据-取费表'!B34</f>
        <v>0</v>
      </c>
      <c r="G36" s="302" t="s">
        <v>2400</v>
      </c>
    </row>
    <row r="37" spans="1:7" s="300" customFormat="1" ht="13.5" customHeight="1">
      <c r="A37" s="952" t="s">
        <v>798</v>
      </c>
      <c r="B37" s="257" t="s">
        <v>2401</v>
      </c>
      <c r="C37" s="291">
        <f ca="1">ROUND(E37*D37,0)</f>
        <v>141808</v>
      </c>
      <c r="D37" s="259">
        <f ca="1">D19</f>
        <v>709.04</v>
      </c>
      <c r="E37" s="291">
        <f>'数据-取费表'!B35</f>
        <v>200</v>
      </c>
      <c r="F37" s="301"/>
      <c r="G37" s="303"/>
    </row>
    <row r="38" spans="1:7" ht="13.5" customHeight="1">
      <c r="A38" s="952" t="s">
        <v>799</v>
      </c>
      <c r="B38" s="257" t="s">
        <v>2403</v>
      </c>
      <c r="C38" s="262">
        <f ca="1">ROUND(C34*F38,0)</f>
        <v>32120</v>
      </c>
      <c r="D38" s="262"/>
      <c r="E38" s="262"/>
      <c r="F38" s="301">
        <f>'数据-取费表'!B36</f>
        <v>1.4999999999999999E-2</v>
      </c>
      <c r="G38" s="261" t="s">
        <v>2398</v>
      </c>
    </row>
    <row r="39" spans="1:7" s="256" customFormat="1" ht="13.5" customHeight="1">
      <c r="A39" s="297" t="s">
        <v>2404</v>
      </c>
      <c r="B39" s="252" t="s">
        <v>2405</v>
      </c>
      <c r="C39" s="274">
        <f ca="1">ROUND(C33*F20,0)</f>
        <v>48018</v>
      </c>
      <c r="D39" s="274"/>
      <c r="E39" s="274"/>
      <c r="F39" s="275"/>
      <c r="G39" s="276" t="s">
        <v>2406</v>
      </c>
    </row>
    <row r="40" spans="1:7" s="256" customFormat="1" ht="13.5" customHeight="1">
      <c r="A40" s="297" t="s">
        <v>2407</v>
      </c>
      <c r="B40" s="252" t="s">
        <v>2408</v>
      </c>
      <c r="C40" s="1729">
        <f>F21</f>
        <v>0.02</v>
      </c>
      <c r="D40" s="278" t="s">
        <v>2409</v>
      </c>
      <c r="E40" s="274"/>
      <c r="F40" s="275"/>
      <c r="G40" s="276" t="s">
        <v>2410</v>
      </c>
    </row>
    <row r="41" spans="1:7" s="256" customFormat="1" ht="13.5" customHeight="1">
      <c r="A41" s="297" t="s">
        <v>2411</v>
      </c>
      <c r="B41" s="252" t="s">
        <v>2412</v>
      </c>
      <c r="C41" s="274">
        <f ca="1">ROUND(SUM(C42:C43),0)</f>
        <v>116323</v>
      </c>
      <c r="D41" s="277">
        <f ca="1">C44</f>
        <v>1E-3</v>
      </c>
      <c r="E41" s="278" t="s">
        <v>2409</v>
      </c>
      <c r="F41" s="279"/>
      <c r="G41" s="276" t="str">
        <f>IF('数据-取费表'!B22&lt;=1,"单利计息","复利计息")</f>
        <v>复利计息</v>
      </c>
    </row>
    <row r="42" spans="1:7" ht="13.5" customHeight="1">
      <c r="A42" s="952" t="s">
        <v>791</v>
      </c>
      <c r="B42" s="257" t="s">
        <v>2413</v>
      </c>
      <c r="C42" s="280">
        <f ca="1">ROUND(IF('数据-取费表'!B22&lt;=1,C33*F22*'数据-取费表'!B20/2,C33*(POWER((1+F22),'数据-取费表'!B20/2)-1)),0)</f>
        <v>114042</v>
      </c>
      <c r="D42" s="280"/>
      <c r="E42" s="280"/>
      <c r="F42" s="281"/>
      <c r="G42" s="3181" t="s">
        <v>2461</v>
      </c>
    </row>
    <row r="43" spans="1:7" ht="13.5" customHeight="1">
      <c r="A43" s="952" t="s">
        <v>792</v>
      </c>
      <c r="B43" s="257" t="s">
        <v>2415</v>
      </c>
      <c r="C43" s="280">
        <f ca="1">ROUND(IF('数据-取费表'!B22&lt;=1,C39*F22*'数据-取费表'!B20/2,C39*(POWER((1+F22),'数据-取费表'!B20/2)-1)),0)</f>
        <v>2281</v>
      </c>
      <c r="D43" s="280"/>
      <c r="E43" s="280"/>
      <c r="F43" s="281"/>
      <c r="G43" s="3182"/>
    </row>
    <row r="44" spans="1:7" ht="13.5" customHeight="1">
      <c r="A44" s="952" t="s">
        <v>793</v>
      </c>
      <c r="B44" s="257" t="s">
        <v>2416</v>
      </c>
      <c r="C44" s="280">
        <f ca="1">ROUND(IF('数据-取费表'!B22&lt;=1,C40*F22*'数据-取费表'!B20/2,C40*(POWER((1+F22),'数据-取费表'!B20/2)-1)),4)</f>
        <v>1E-3</v>
      </c>
      <c r="D44" s="280"/>
      <c r="E44" s="280"/>
      <c r="F44" s="281"/>
      <c r="G44" s="3183"/>
    </row>
    <row r="45" spans="1:7" s="256" customFormat="1" ht="13.5" customHeight="1">
      <c r="A45" s="297" t="s">
        <v>2417</v>
      </c>
      <c r="B45" s="286" t="s">
        <v>2383</v>
      </c>
      <c r="C45" s="287">
        <f ca="1">C46</f>
        <v>734670</v>
      </c>
      <c r="D45" s="277">
        <f ca="1">C47</f>
        <v>6.0000000000000001E-3</v>
      </c>
      <c r="E45" s="278" t="s">
        <v>2409</v>
      </c>
      <c r="F45" s="288"/>
      <c r="G45" s="289" t="s">
        <v>2418</v>
      </c>
    </row>
    <row r="46" spans="1:7" s="256" customFormat="1" ht="13.5" customHeight="1">
      <c r="A46" s="952" t="s">
        <v>791</v>
      </c>
      <c r="B46" s="290" t="s">
        <v>2419</v>
      </c>
      <c r="C46" s="291">
        <f ca="1">ROUND((C33+C39)*F27,0)</f>
        <v>734670</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304">
        <f>ROUND(F30/(1+'数据-取费表'!C42),4)</f>
        <v>5.2400000000000002E-2</v>
      </c>
      <c r="D48" s="278" t="s">
        <v>2409</v>
      </c>
      <c r="E48" s="274"/>
      <c r="F48" s="279"/>
      <c r="G48" s="276" t="s">
        <v>2422</v>
      </c>
    </row>
    <row r="49" spans="1:7" ht="16.5" customHeight="1">
      <c r="A49" s="297" t="s">
        <v>2388</v>
      </c>
      <c r="B49" s="252" t="s">
        <v>2462</v>
      </c>
      <c r="C49" s="274">
        <f ca="1">ROUND((C33+C39+C41+C45)/(1-C40-D41-D45-C48),0)</f>
        <v>3584501</v>
      </c>
      <c r="D49" s="274"/>
      <c r="E49" s="274"/>
      <c r="F49" s="306"/>
      <c r="G49" s="276" t="s">
        <v>2424</v>
      </c>
    </row>
    <row r="50" spans="1:7" s="300" customFormat="1">
      <c r="A50" s="297" t="s">
        <v>2425</v>
      </c>
      <c r="B50" s="252" t="s">
        <v>2426</v>
      </c>
      <c r="C50" s="274"/>
      <c r="D50" s="274"/>
      <c r="E50" s="274"/>
      <c r="F50" s="306">
        <f>IF('数据-取费表'!B24=0,'数据-取费表'!N16,1)</f>
        <v>0.8</v>
      </c>
      <c r="G50" s="289"/>
    </row>
    <row r="51" spans="1:7" ht="16.5" customHeight="1">
      <c r="A51" s="297" t="s">
        <v>2428</v>
      </c>
      <c r="B51" s="252" t="s">
        <v>2463</v>
      </c>
      <c r="C51" s="274">
        <f ca="1">ROUND(C49*F50,0)</f>
        <v>2867601</v>
      </c>
      <c r="D51" s="274"/>
      <c r="E51" s="274"/>
      <c r="F51" s="306"/>
      <c r="G51" s="276" t="s">
        <v>2430</v>
      </c>
    </row>
    <row r="52" spans="1:7" s="250" customFormat="1" ht="16.5" thickBot="1">
      <c r="A52" s="307" t="s">
        <v>2431</v>
      </c>
      <c r="B52" s="308"/>
      <c r="C52" s="309">
        <f ca="1">C31+C51</f>
        <v>12089252</v>
      </c>
      <c r="D52" s="308"/>
      <c r="E52" s="308"/>
      <c r="F52" s="308"/>
      <c r="G52" s="310"/>
    </row>
    <row r="55" spans="1:7" ht="15">
      <c r="B55" s="312" t="s">
        <v>2432</v>
      </c>
      <c r="C55" s="313"/>
    </row>
    <row r="56" spans="1:7">
      <c r="B56" s="315" t="s">
        <v>1513</v>
      </c>
      <c r="C56" s="317">
        <f ca="1">1-C57</f>
        <v>0.76300000000000001</v>
      </c>
    </row>
    <row r="57" spans="1:7">
      <c r="B57" s="315" t="s">
        <v>1514</v>
      </c>
      <c r="C57" s="316">
        <f ca="1">ROUND(C51/C52,3)</f>
        <v>0.23699999999999999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H57"/>
  <sheetViews>
    <sheetView workbookViewId="0">
      <selection activeCell="H6" sqref="H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8" t="s">
        <v>3055</v>
      </c>
      <c r="C1" s="2556" t="s">
        <v>2433</v>
      </c>
      <c r="D1" s="240"/>
      <c r="E1" s="240"/>
      <c r="F1" s="240"/>
      <c r="G1" s="1380">
        <f>MATCH(B1,'数据-取费表'!A6:A16,0)+5</f>
        <v>9</v>
      </c>
      <c r="H1" s="1283" t="str">
        <f>IF(ISERROR(FIND("住宅",B1)),"非住宅","住宅")</f>
        <v>非住宅</v>
      </c>
    </row>
    <row r="2" spans="1:8" s="242" customFormat="1" ht="18" customHeight="1">
      <c r="A2" s="243" t="s">
        <v>1394</v>
      </c>
      <c r="B2" s="244">
        <f ca="1">ROUND(IF(D2="——",C52/10000,C52/10000-E2),0)</f>
        <v>1078</v>
      </c>
      <c r="C2" s="241" t="s">
        <v>2333</v>
      </c>
      <c r="D2" s="2550" t="s">
        <v>3137</v>
      </c>
      <c r="E2" s="1441">
        <f ca="1">SUMIF(INDIRECT("'"&amp;G2&amp;"'"&amp;"!A:A"),"承租人权益价值",INDIRECT("'"&amp;G2&amp;"'"&amp;"!c:c"))</f>
        <v>-534</v>
      </c>
      <c r="F2" s="2551" t="s">
        <v>2333</v>
      </c>
      <c r="G2" s="2552" t="s">
        <v>3109</v>
      </c>
    </row>
    <row r="3" spans="1:8" s="242" customFormat="1" ht="18" customHeight="1" thickBot="1">
      <c r="A3" s="245" t="s">
        <v>1395</v>
      </c>
      <c r="B3" s="246">
        <f ca="1">ROUND(B2*10000/(IF(B1="",'数据-汇总表'!E3,INDIRECT("'数据-取费表'!k"&amp;$G$1))),0)</f>
        <v>14778</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2025219</v>
      </c>
      <c r="D5" s="253" t="s">
        <v>2339</v>
      </c>
      <c r="E5" s="254" t="s">
        <v>2340</v>
      </c>
      <c r="F5" s="254" t="s">
        <v>2341</v>
      </c>
      <c r="G5" s="255"/>
    </row>
    <row r="6" spans="1:8" s="256" customFormat="1" ht="13.5" customHeight="1">
      <c r="A6" s="950" t="s">
        <v>2342</v>
      </c>
      <c r="B6" s="257" t="s">
        <v>2343</v>
      </c>
      <c r="C6" s="258">
        <f ca="1">'基准地价修正 (地下)'!C37*'基准地价修正 (地下)'!D37</f>
        <v>1823700</v>
      </c>
      <c r="D6" s="259"/>
      <c r="E6" s="260"/>
      <c r="F6" s="260"/>
      <c r="G6" s="261"/>
    </row>
    <row r="7" spans="1:8" s="256" customFormat="1" ht="13.5" customHeight="1">
      <c r="A7" s="950" t="s">
        <v>2344</v>
      </c>
      <c r="B7" s="257" t="s">
        <v>2345</v>
      </c>
      <c r="C7" s="262">
        <f ca="1">ROUND(C6*F7,0)</f>
        <v>55623</v>
      </c>
      <c r="D7" s="262"/>
      <c r="E7" s="260"/>
      <c r="F7" s="263">
        <f>'数据-取费表'!B48+'数据-取费表'!B49</f>
        <v>3.0499999999999999E-2</v>
      </c>
      <c r="G7" s="261"/>
    </row>
    <row r="8" spans="1:8" s="265" customFormat="1">
      <c r="A8" s="950" t="s">
        <v>2346</v>
      </c>
      <c r="B8" s="257" t="s">
        <v>2347</v>
      </c>
      <c r="C8" s="262">
        <f ca="1">IF(G8="已包含在土地购买价格中",0,C9+C10)</f>
        <v>145896</v>
      </c>
      <c r="D8" s="264"/>
      <c r="E8" s="262"/>
      <c r="F8" s="263"/>
      <c r="G8" s="2553" t="s">
        <v>3062</v>
      </c>
    </row>
    <row r="9" spans="1:8" s="256" customFormat="1" ht="13.5" customHeight="1">
      <c r="A9" s="951" t="s">
        <v>800</v>
      </c>
      <c r="B9" s="266" t="s">
        <v>2348</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2350</v>
      </c>
      <c r="C10" s="267">
        <f ca="1">ROUND(D10*E10,0)</f>
        <v>145896</v>
      </c>
      <c r="D10" s="1033">
        <f ca="1">IF(B1="",'数据-汇总表'!E6,IF(INDIRECT("'数据-取费表'!c"&amp;$G$1)="住宅",INDIRECT("'数据-取费表'!s"&amp;$G$1),INDIRECT("'数据-取费表'!k"&amp;$G$1)+INDIRECT("'数据-取费表'!s"&amp;$G$1)))</f>
        <v>729.48</v>
      </c>
      <c r="E10" s="267">
        <f>'数据-取费表'!B28</f>
        <v>200</v>
      </c>
      <c r="F10" s="263"/>
      <c r="G10" s="268"/>
    </row>
    <row r="11" spans="1:8" s="256" customFormat="1" ht="13.5" hidden="1" customHeight="1">
      <c r="A11" s="269" t="s">
        <v>7</v>
      </c>
      <c r="B11" s="257" t="s">
        <v>2351</v>
      </c>
      <c r="C11" s="253"/>
      <c r="D11" s="1035"/>
      <c r="E11" s="260"/>
      <c r="F11" s="260"/>
      <c r="G11" s="261"/>
    </row>
    <row r="12" spans="1:8" s="256" customFormat="1" ht="13.5" hidden="1" customHeight="1">
      <c r="A12" s="269" t="s">
        <v>8</v>
      </c>
      <c r="B12" s="257" t="s">
        <v>2352</v>
      </c>
      <c r="C12" s="253">
        <v>0</v>
      </c>
      <c r="D12" s="1035"/>
      <c r="E12" s="270"/>
      <c r="F12" s="263">
        <v>3.0499999999999999E-2</v>
      </c>
      <c r="G12" s="261"/>
    </row>
    <row r="13" spans="1:8" s="256" customFormat="1" ht="13.5" hidden="1" customHeight="1">
      <c r="A13" s="269" t="s">
        <v>9</v>
      </c>
      <c r="B13" s="257" t="s">
        <v>2353</v>
      </c>
      <c r="C13" s="253"/>
      <c r="D13" s="1035"/>
      <c r="E13" s="260"/>
      <c r="F13" s="260"/>
      <c r="G13" s="261"/>
    </row>
    <row r="14" spans="1:8" s="256" customFormat="1" ht="13.5" hidden="1" customHeight="1">
      <c r="A14" s="269" t="s">
        <v>10</v>
      </c>
      <c r="B14" s="257" t="s">
        <v>2347</v>
      </c>
      <c r="C14" s="253"/>
      <c r="D14" s="1035"/>
      <c r="E14" s="260"/>
      <c r="F14" s="260"/>
      <c r="G14" s="261" t="s">
        <v>2355</v>
      </c>
    </row>
    <row r="15" spans="1:8" s="256" customFormat="1" ht="13.5" hidden="1" customHeight="1">
      <c r="A15" s="269" t="s">
        <v>11</v>
      </c>
      <c r="B15" s="257" t="s">
        <v>2356</v>
      </c>
      <c r="C15" s="262"/>
      <c r="D15" s="1035"/>
      <c r="E15" s="260"/>
      <c r="F15" s="260"/>
      <c r="G15" s="261" t="s">
        <v>2357</v>
      </c>
    </row>
    <row r="16" spans="1:8" s="256" customFormat="1" ht="13.5" hidden="1" customHeight="1">
      <c r="A16" s="269" t="s">
        <v>12</v>
      </c>
      <c r="B16" s="257" t="s">
        <v>2347</v>
      </c>
      <c r="C16" s="262"/>
      <c r="D16" s="1035"/>
      <c r="E16" s="260"/>
      <c r="F16" s="260"/>
      <c r="G16" s="261"/>
    </row>
    <row r="17" spans="1:7" s="256" customFormat="1" ht="13.5" hidden="1" customHeight="1">
      <c r="A17" s="269" t="s">
        <v>13</v>
      </c>
      <c r="B17" s="257" t="s">
        <v>2358</v>
      </c>
      <c r="C17" s="271"/>
      <c r="D17" s="1036"/>
      <c r="E17" s="271"/>
      <c r="F17" s="271"/>
      <c r="G17" s="261" t="s">
        <v>2357</v>
      </c>
    </row>
    <row r="18" spans="1:7" s="256" customFormat="1" ht="13.5" hidden="1" customHeight="1">
      <c r="A18" s="269" t="s">
        <v>14</v>
      </c>
      <c r="B18" s="257" t="s">
        <v>2359</v>
      </c>
      <c r="C18" s="262">
        <v>0</v>
      </c>
      <c r="D18" s="1035"/>
      <c r="E18" s="260"/>
      <c r="F18" s="263">
        <v>3.0499999999999999E-2</v>
      </c>
      <c r="G18" s="261" t="s">
        <v>2360</v>
      </c>
    </row>
    <row r="19" spans="1:7" s="265" customFormat="1" ht="13.5" customHeight="1">
      <c r="A19" s="297" t="s">
        <v>2361</v>
      </c>
      <c r="B19" s="252" t="s">
        <v>2362</v>
      </c>
      <c r="C19" s="253" t="str">
        <f>IF(G19="已包含在土地取得成本中","0",ROUND(D19*E19,0))</f>
        <v>0</v>
      </c>
      <c r="D19" s="1037">
        <f ca="1">D9+D10</f>
        <v>729.48</v>
      </c>
      <c r="E19" s="253">
        <f>'数据-取费表'!B31</f>
        <v>200</v>
      </c>
      <c r="F19" s="273"/>
      <c r="G19" s="2553" t="s">
        <v>3063</v>
      </c>
    </row>
    <row r="20" spans="1:7" s="256" customFormat="1" ht="13.5" customHeight="1">
      <c r="A20" s="297" t="s">
        <v>2363</v>
      </c>
      <c r="B20" s="252" t="s">
        <v>2364</v>
      </c>
      <c r="C20" s="274">
        <f ca="1">ROUND((C5+C19)*F20,0)</f>
        <v>40504</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81">
        <f ca="1">ROUND(SUM(C23:C25),0)</f>
        <v>198889</v>
      </c>
      <c r="D22" s="277">
        <f ca="1">C26</f>
        <v>1E-3</v>
      </c>
      <c r="E22" s="278" t="s">
        <v>2368</v>
      </c>
      <c r="F22" s="279">
        <f ca="1">'数据-取费表'!B40</f>
        <v>4.7500000000000001E-2</v>
      </c>
      <c r="G22" s="276" t="str">
        <f>IF('数据-取费表'!B22&lt;=1,"单利计息","复利计息")</f>
        <v>复利计息</v>
      </c>
    </row>
    <row r="23" spans="1:7" s="256" customFormat="1" ht="13.5" customHeight="1">
      <c r="A23" s="952" t="s">
        <v>2342</v>
      </c>
      <c r="B23" s="257" t="s">
        <v>2373</v>
      </c>
      <c r="C23" s="1382">
        <f ca="1">ROUND(IF('数据-取费表'!B22&lt;=1,C5*F22*'数据-取费表'!B22,C5*(POWER((1+F22),'数据-取费表'!B22)-1)),0)</f>
        <v>196965</v>
      </c>
      <c r="D23" s="280"/>
      <c r="E23" s="280"/>
      <c r="F23" s="281"/>
      <c r="G23" s="282" t="s">
        <v>2374</v>
      </c>
    </row>
    <row r="24" spans="1:7" s="256" customFormat="1" ht="13.5" customHeight="1">
      <c r="A24" s="952" t="s">
        <v>2344</v>
      </c>
      <c r="B24" s="257" t="s">
        <v>2376</v>
      </c>
      <c r="C24" s="1382">
        <f ca="1">ROUND(IF('数据-取费表'!B22&lt;=1,C19*F22*('数据-取费表'!B19/2+'数据-取费表'!B20),C19*(POWER((1+F22),('数据-取费表'!B19/2+'数据-取费表'!B20))-1)),0)</f>
        <v>0</v>
      </c>
      <c r="D24" s="280"/>
      <c r="E24" s="280"/>
      <c r="F24" s="281"/>
      <c r="G24" s="282" t="s">
        <v>2377</v>
      </c>
    </row>
    <row r="25" spans="1:7" s="256" customFormat="1" ht="24">
      <c r="A25" s="952" t="s">
        <v>2346</v>
      </c>
      <c r="B25" s="257" t="s">
        <v>2379</v>
      </c>
      <c r="C25" s="1382">
        <f ca="1">ROUND(IF('数据-取费表'!B22&lt;=1,C20*F22*'数据-取费表'!B22/2,C20*(POWER((1+F22),'数据-取费表'!B22/2)-1)),0)</f>
        <v>1924</v>
      </c>
      <c r="D25" s="280"/>
      <c r="E25" s="283"/>
      <c r="F25" s="281"/>
      <c r="G25" s="284" t="s">
        <v>2380</v>
      </c>
    </row>
    <row r="26" spans="1:7" s="256" customFormat="1">
      <c r="A26" s="952" t="s">
        <v>795</v>
      </c>
      <c r="B26" s="257" t="s">
        <v>2381</v>
      </c>
      <c r="C26" s="280">
        <f ca="1">ROUND(IF('数据-取费表'!B22&lt;=1,F21*F22*'数据-取费表'!B22/2,F21*(POWER((1+F22),'数据-取费表'!B22/2)-1)),4)</f>
        <v>1E-3</v>
      </c>
      <c r="D26" s="280"/>
      <c r="E26" s="283"/>
      <c r="F26" s="281"/>
      <c r="G26" s="285"/>
    </row>
    <row r="27" spans="1:7" s="256" customFormat="1" ht="24.75">
      <c r="A27" s="297" t="s">
        <v>2382</v>
      </c>
      <c r="B27" s="286" t="s">
        <v>2383</v>
      </c>
      <c r="C27" s="287">
        <f ca="1">C28</f>
        <v>619717</v>
      </c>
      <c r="D27" s="277">
        <f ca="1">C29</f>
        <v>6.0000000000000001E-3</v>
      </c>
      <c r="E27" s="278" t="s">
        <v>2368</v>
      </c>
      <c r="F27" s="288">
        <f ca="1">IF(B1="",'数据-取费表'!Q16,INDIRECT("'数据-取费表'!q"&amp;$G$1))</f>
        <v>0.3</v>
      </c>
      <c r="G27" s="289" t="s">
        <v>2385</v>
      </c>
    </row>
    <row r="28" spans="1:7" s="256" customFormat="1" ht="13.5" customHeight="1">
      <c r="A28" s="952" t="s">
        <v>791</v>
      </c>
      <c r="B28" s="290" t="s">
        <v>2386</v>
      </c>
      <c r="C28" s="291">
        <f ca="1">ROUND((C5+C19+C20)*F27,0)</f>
        <v>619717</v>
      </c>
      <c r="D28" s="277"/>
      <c r="E28" s="278"/>
      <c r="F28" s="288"/>
      <c r="G28" s="289"/>
    </row>
    <row r="29" spans="1:7" s="256" customFormat="1" ht="13.5" customHeight="1">
      <c r="A29" s="952" t="s">
        <v>792</v>
      </c>
      <c r="B29" s="290" t="s">
        <v>2387</v>
      </c>
      <c r="C29" s="280">
        <f ca="1">ROUND(C21*F27,4)</f>
        <v>6.0000000000000001E-3</v>
      </c>
      <c r="D29" s="277"/>
      <c r="E29" s="278"/>
      <c r="F29" s="288"/>
      <c r="G29" s="289"/>
    </row>
    <row r="30" spans="1:7" s="256" customFormat="1" ht="13.5" customHeight="1">
      <c r="A30" s="297" t="s">
        <v>2388</v>
      </c>
      <c r="B30" s="252" t="s">
        <v>2389</v>
      </c>
      <c r="C30" s="277">
        <f>ROUND(F30/(1+'数据-取费表'!C42),4)</f>
        <v>5.2400000000000002E-2</v>
      </c>
      <c r="D30" s="278" t="s">
        <v>2368</v>
      </c>
      <c r="E30" s="283"/>
      <c r="F30" s="279">
        <f>'数据-取费表'!B41</f>
        <v>5.5000000000000007E-2</v>
      </c>
      <c r="G30" s="276" t="s">
        <v>2390</v>
      </c>
    </row>
    <row r="31" spans="1:7" ht="16.5" customHeight="1">
      <c r="A31" s="251">
        <v>1</v>
      </c>
      <c r="B31" s="252" t="s">
        <v>2391</v>
      </c>
      <c r="C31" s="253">
        <f ca="1">ROUND((C5+C19+C20+C22+C27)/(1-C21-D22-D27-C30),0)</f>
        <v>3133097</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1931372</v>
      </c>
      <c r="D33" s="274"/>
      <c r="E33" s="254"/>
      <c r="F33" s="283"/>
      <c r="G33" s="276"/>
    </row>
    <row r="34" spans="1:7" s="300" customFormat="1" ht="13.5" customHeight="1">
      <c r="A34" s="952" t="s">
        <v>791</v>
      </c>
      <c r="B34" s="257" t="s">
        <v>2395</v>
      </c>
      <c r="C34" s="262">
        <f ca="1">ROUND(IF(B1="",SUMPRODUCT('数据-取费表'!K6:K14,'数据-取费表'!L6:L14),INDIRECT("'数据-取费表'!l"&amp;$G$1)*INDIRECT("'数据-取费表'!k"&amp;$G$1)+'数据-取费表'!L14*INDIRECT("'数据-取费表'!S"&amp;$G$1)),0)</f>
        <v>1692394</v>
      </c>
      <c r="D34" s="259"/>
      <c r="E34" s="262"/>
      <c r="F34" s="299"/>
      <c r="G34" s="261"/>
    </row>
    <row r="35" spans="1:7" ht="13.5" customHeight="1">
      <c r="A35" s="952" t="s">
        <v>796</v>
      </c>
      <c r="B35" s="257" t="s">
        <v>2397</v>
      </c>
      <c r="C35" s="262">
        <f ca="1">ROUND(C34*F35,0)</f>
        <v>67696</v>
      </c>
      <c r="D35" s="262"/>
      <c r="E35" s="262"/>
      <c r="F35" s="301">
        <f>'数据-取费表'!B33</f>
        <v>0.04</v>
      </c>
      <c r="G35" s="261" t="s">
        <v>2398</v>
      </c>
    </row>
    <row r="36" spans="1:7" ht="24">
      <c r="A36" s="952" t="s">
        <v>797</v>
      </c>
      <c r="B36" s="257" t="s">
        <v>2399</v>
      </c>
      <c r="C36" s="262">
        <f ca="1">ROUND(IF(B1="",SUM('数据-取费表'!AP6:AP13)*F36,IF(INDIRECT("'数据-取费表'!c"&amp;$G$1)="住宅",INDIRECT("'数据-取费表'!k"&amp;$G$1)*INDIRECT("'数据-取费表'!l"&amp;$G$1)*F36,0)),0)</f>
        <v>0</v>
      </c>
      <c r="D36" s="262"/>
      <c r="E36" s="262"/>
      <c r="F36" s="301">
        <f>'数据-取费表'!B34</f>
        <v>0</v>
      </c>
      <c r="G36" s="302" t="s">
        <v>2400</v>
      </c>
    </row>
    <row r="37" spans="1:7" s="300" customFormat="1" ht="13.5" customHeight="1">
      <c r="A37" s="952" t="s">
        <v>798</v>
      </c>
      <c r="B37" s="257" t="s">
        <v>2401</v>
      </c>
      <c r="C37" s="291">
        <f ca="1">ROUND(E37*D37,0)</f>
        <v>145896</v>
      </c>
      <c r="D37" s="259">
        <f ca="1">D19</f>
        <v>729.48</v>
      </c>
      <c r="E37" s="291">
        <f>'数据-取费表'!B35</f>
        <v>200</v>
      </c>
      <c r="F37" s="301"/>
      <c r="G37" s="303"/>
    </row>
    <row r="38" spans="1:7" ht="13.5" customHeight="1">
      <c r="A38" s="952" t="s">
        <v>799</v>
      </c>
      <c r="B38" s="257" t="s">
        <v>2403</v>
      </c>
      <c r="C38" s="262">
        <f ca="1">ROUND(C34*F38,0)</f>
        <v>25386</v>
      </c>
      <c r="D38" s="262"/>
      <c r="E38" s="262"/>
      <c r="F38" s="301">
        <f>'数据-取费表'!B36</f>
        <v>1.4999999999999999E-2</v>
      </c>
      <c r="G38" s="261" t="s">
        <v>2398</v>
      </c>
    </row>
    <row r="39" spans="1:7" s="256" customFormat="1" ht="13.5" customHeight="1">
      <c r="A39" s="297" t="s">
        <v>2361</v>
      </c>
      <c r="B39" s="252" t="s">
        <v>2364</v>
      </c>
      <c r="C39" s="274">
        <f ca="1">ROUND(C33*F20,0)</f>
        <v>38627</v>
      </c>
      <c r="D39" s="274"/>
      <c r="E39" s="274"/>
      <c r="F39" s="275"/>
      <c r="G39" s="276" t="s">
        <v>2406</v>
      </c>
    </row>
    <row r="40" spans="1:7" s="256" customFormat="1" ht="13.5" customHeight="1">
      <c r="A40" s="297" t="s">
        <v>2363</v>
      </c>
      <c r="B40" s="252" t="s">
        <v>2367</v>
      </c>
      <c r="C40" s="1729">
        <f>F21</f>
        <v>0.02</v>
      </c>
      <c r="D40" s="278" t="s">
        <v>2409</v>
      </c>
      <c r="E40" s="274"/>
      <c r="F40" s="275"/>
      <c r="G40" s="276" t="s">
        <v>2410</v>
      </c>
    </row>
    <row r="41" spans="1:7" s="256" customFormat="1" ht="13.5" customHeight="1">
      <c r="A41" s="297" t="s">
        <v>2366</v>
      </c>
      <c r="B41" s="252" t="s">
        <v>2371</v>
      </c>
      <c r="C41" s="274">
        <f ca="1">ROUND(SUM(C42:C43),0)</f>
        <v>93575</v>
      </c>
      <c r="D41" s="277">
        <f ca="1">C44</f>
        <v>1E-3</v>
      </c>
      <c r="E41" s="278" t="s">
        <v>2409</v>
      </c>
      <c r="F41" s="279"/>
      <c r="G41" s="276" t="str">
        <f>IF('数据-取费表'!B22&lt;=1,"单利计息","复利计息")</f>
        <v>复利计息</v>
      </c>
    </row>
    <row r="42" spans="1:7" ht="13.5" customHeight="1">
      <c r="A42" s="952" t="s">
        <v>791</v>
      </c>
      <c r="B42" s="257" t="s">
        <v>2373</v>
      </c>
      <c r="C42" s="280">
        <f ca="1">ROUND(IF('数据-取费表'!B22&lt;=1,C33*F22*'数据-取费表'!B20/2,C33*(POWER((1+F22),'数据-取费表'!B20/2)-1)),0)</f>
        <v>91740</v>
      </c>
      <c r="D42" s="280"/>
      <c r="E42" s="280"/>
      <c r="F42" s="281"/>
      <c r="G42" s="3181" t="s">
        <v>2461</v>
      </c>
    </row>
    <row r="43" spans="1:7" ht="13.5" customHeight="1">
      <c r="A43" s="952" t="s">
        <v>792</v>
      </c>
      <c r="B43" s="257" t="s">
        <v>2376</v>
      </c>
      <c r="C43" s="280">
        <f ca="1">ROUND(IF('数据-取费表'!B22&lt;=1,C39*F22*'数据-取费表'!B20/2,C39*(POWER((1+F22),'数据-取费表'!B20/2)-1)),0)</f>
        <v>1835</v>
      </c>
      <c r="D43" s="280"/>
      <c r="E43" s="280"/>
      <c r="F43" s="281"/>
      <c r="G43" s="3182"/>
    </row>
    <row r="44" spans="1:7" ht="13.5" customHeight="1">
      <c r="A44" s="952" t="s">
        <v>793</v>
      </c>
      <c r="B44" s="257" t="s">
        <v>2379</v>
      </c>
      <c r="C44" s="280">
        <f ca="1">ROUND(IF('数据-取费表'!B22&lt;=1,C40*F22*'数据-取费表'!B20/2,C40*(POWER((1+F22),'数据-取费表'!B20/2)-1)),4)</f>
        <v>1E-3</v>
      </c>
      <c r="D44" s="280"/>
      <c r="E44" s="280"/>
      <c r="F44" s="281"/>
      <c r="G44" s="3183"/>
    </row>
    <row r="45" spans="1:7" s="256" customFormat="1" ht="13.5" customHeight="1">
      <c r="A45" s="297" t="s">
        <v>2370</v>
      </c>
      <c r="B45" s="286" t="s">
        <v>2383</v>
      </c>
      <c r="C45" s="287">
        <f ca="1">C46</f>
        <v>591000</v>
      </c>
      <c r="D45" s="277">
        <f ca="1">C47</f>
        <v>6.0000000000000001E-3</v>
      </c>
      <c r="E45" s="278" t="s">
        <v>2409</v>
      </c>
      <c r="F45" s="288"/>
      <c r="G45" s="289" t="s">
        <v>2418</v>
      </c>
    </row>
    <row r="46" spans="1:7" s="256" customFormat="1" ht="13.5" customHeight="1">
      <c r="A46" s="952" t="s">
        <v>791</v>
      </c>
      <c r="B46" s="290" t="s">
        <v>2419</v>
      </c>
      <c r="C46" s="291">
        <f ca="1">ROUND((C33+C39)*F27,0)</f>
        <v>591000</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304">
        <f>ROUND(F30/(1+'数据-取费表'!C42),4)</f>
        <v>5.2400000000000002E-2</v>
      </c>
      <c r="D48" s="278" t="s">
        <v>2409</v>
      </c>
      <c r="E48" s="274"/>
      <c r="F48" s="279"/>
      <c r="G48" s="276" t="s">
        <v>2422</v>
      </c>
    </row>
    <row r="49" spans="1:7" ht="16.5" customHeight="1">
      <c r="A49" s="297" t="s">
        <v>2388</v>
      </c>
      <c r="B49" s="252" t="s">
        <v>2462</v>
      </c>
      <c r="C49" s="274">
        <f ca="1">ROUND((C33+C39+C41+C45)/(1-C40-D41-D45-C48),0)</f>
        <v>2883526</v>
      </c>
      <c r="D49" s="274"/>
      <c r="E49" s="274"/>
      <c r="F49" s="306"/>
      <c r="G49" s="276" t="s">
        <v>2424</v>
      </c>
    </row>
    <row r="50" spans="1:7" s="300" customFormat="1">
      <c r="A50" s="297" t="s">
        <v>2425</v>
      </c>
      <c r="B50" s="252" t="s">
        <v>2426</v>
      </c>
      <c r="C50" s="274"/>
      <c r="D50" s="274"/>
      <c r="E50" s="274"/>
      <c r="F50" s="306">
        <f>IF('数据-取费表'!B24=0,'数据-取费表'!N16,1)</f>
        <v>0.8</v>
      </c>
      <c r="G50" s="289"/>
    </row>
    <row r="51" spans="1:7" ht="16.5" customHeight="1">
      <c r="A51" s="297" t="s">
        <v>2428</v>
      </c>
      <c r="B51" s="252" t="s">
        <v>2463</v>
      </c>
      <c r="C51" s="274">
        <f ca="1">ROUND(C49*F50,0)</f>
        <v>2306821</v>
      </c>
      <c r="D51" s="274"/>
      <c r="E51" s="274"/>
      <c r="F51" s="306"/>
      <c r="G51" s="276" t="s">
        <v>2430</v>
      </c>
    </row>
    <row r="52" spans="1:7" s="250" customFormat="1" ht="16.5" thickBot="1">
      <c r="A52" s="307" t="s">
        <v>2431</v>
      </c>
      <c r="B52" s="308"/>
      <c r="C52" s="309">
        <f ca="1">C31+C51</f>
        <v>5439918</v>
      </c>
      <c r="D52" s="308"/>
      <c r="E52" s="308"/>
      <c r="F52" s="308"/>
      <c r="G52" s="310"/>
    </row>
    <row r="55" spans="1:7" ht="15">
      <c r="B55" s="312" t="s">
        <v>2432</v>
      </c>
      <c r="C55" s="313"/>
    </row>
    <row r="56" spans="1:7">
      <c r="B56" s="315" t="s">
        <v>1513</v>
      </c>
      <c r="C56" s="317">
        <f ca="1">1-C57</f>
        <v>0.57600000000000007</v>
      </c>
    </row>
    <row r="57" spans="1:7">
      <c r="B57" s="315" t="s">
        <v>1514</v>
      </c>
      <c r="C57" s="316">
        <f ca="1">ROUND(C51/C52,3)</f>
        <v>0.42399999999999999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C37" sqref="C3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8" t="s">
        <v>2809</v>
      </c>
      <c r="B1" s="239"/>
      <c r="C1" s="243" t="s">
        <v>2810</v>
      </c>
      <c r="D1" s="386">
        <f>SUM(D29:D30,D33:D39)</f>
        <v>709.04</v>
      </c>
      <c r="E1" s="2720"/>
      <c r="F1" s="2720"/>
      <c r="G1" s="2720"/>
      <c r="H1" s="2720"/>
      <c r="I1" s="2720"/>
      <c r="J1" s="2720"/>
      <c r="K1" s="1371"/>
      <c r="L1" s="2721" t="s">
        <v>2811</v>
      </c>
      <c r="M1" s="1081">
        <f>SUMPRODUCT((区片价!B5:B9=I2)*(区片价!C3:F3=E2)*(区片价!C5:F9))</f>
        <v>0</v>
      </c>
      <c r="N1" s="1084">
        <f>SUMPRODUCT((因素修正幅度!B5:B9=I2)*(因素修正幅度!C3:F3=E2)*(因素修正幅度!C5:F9))</f>
        <v>0</v>
      </c>
      <c r="O1" s="2722"/>
      <c r="P1" s="2722"/>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3" t="s">
        <v>2817</v>
      </c>
      <c r="B2" s="246">
        <f ca="1">C26</f>
        <v>565</v>
      </c>
      <c r="C2" s="2724" t="s">
        <v>2818</v>
      </c>
      <c r="D2" s="2725" t="s">
        <v>2819</v>
      </c>
      <c r="E2" s="2726" t="s">
        <v>27</v>
      </c>
      <c r="F2" s="2725" t="s">
        <v>2820</v>
      </c>
      <c r="G2" s="2727" t="str">
        <f>IF(E2="商业",项目基本情况!B37,IF(E2="办公",项目基本情况!C37,IF(E2="住宅",项目基本情况!D37,项目基本情况!E37)))</f>
        <v>七级</v>
      </c>
      <c r="H2" s="2725" t="s">
        <v>2821</v>
      </c>
      <c r="I2" s="2727" t="str">
        <f>IF(E2="商业",项目基本情况!B38,IF(E2="办公",项目基本情况!C38,IF(E2="住宅",项目基本情况!D38,项目基本情况!E38)))</f>
        <v>Ⅶ-兴1</v>
      </c>
      <c r="J2" s="2728"/>
      <c r="K2" s="1371"/>
      <c r="L2" s="2729" t="s">
        <v>2822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18632</v>
      </c>
      <c r="U2" s="1604"/>
      <c r="V2" s="1603">
        <f ca="1">ROUND(T2*U2/10000,0)</f>
        <v>0</v>
      </c>
      <c r="W2" s="1607"/>
      <c r="X2" s="1607"/>
      <c r="Y2" s="1607"/>
      <c r="Z2" s="1607"/>
      <c r="AA2" s="1607"/>
      <c r="AB2" s="1607"/>
      <c r="AC2" s="1608"/>
      <c r="AD2" s="1609"/>
      <c r="AE2" s="1609"/>
      <c r="AF2" s="1609"/>
      <c r="AG2" s="1609"/>
      <c r="AH2" s="1609"/>
      <c r="AI2" s="1609"/>
      <c r="AJ2" s="1610"/>
    </row>
    <row r="3" spans="1:36" ht="25.5">
      <c r="A3" s="245" t="s">
        <v>2823</v>
      </c>
      <c r="B3" s="246">
        <f ca="1">ROUND(B2*10000/D1,0)</f>
        <v>7969</v>
      </c>
      <c r="C3" s="2724" t="s">
        <v>2824</v>
      </c>
      <c r="D3" s="2725" t="s">
        <v>2825</v>
      </c>
      <c r="E3" s="2730" t="s">
        <v>3077</v>
      </c>
      <c r="F3" s="2731" t="s">
        <v>2826</v>
      </c>
      <c r="G3" s="914">
        <f>IF(F3="宗地容积率",'数据-汇总表'!I4,IF(F3="估价对象容积率",'数据-汇总表'!I6,'数据-汇总表'!I7))</f>
        <v>5.82</v>
      </c>
      <c r="H3" s="196" t="s">
        <v>2827</v>
      </c>
      <c r="I3" s="945">
        <v>1</v>
      </c>
      <c r="J3" s="2728" t="s">
        <v>2828</v>
      </c>
      <c r="K3" s="1371"/>
      <c r="L3" s="2729"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13374</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84"/>
      <c r="B4" s="3285"/>
      <c r="C4" s="3285"/>
      <c r="D4" s="3286"/>
      <c r="E4" s="3286"/>
      <c r="F4" s="3286"/>
      <c r="G4" s="3286"/>
      <c r="H4" s="3286"/>
      <c r="I4" s="3286"/>
      <c r="J4" s="3287"/>
      <c r="K4" s="1371"/>
      <c r="L4" s="2729"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10790</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2831</v>
      </c>
      <c r="C5" s="915">
        <f>ROUND(IF(E2="商业",IF(F16="增加",C6*C7+C16,C6*C7-C16),IF(E2="住宅",IF(F16="增加",C6*C12+C16,C6*C12-C16),IF(F16="增加",C6+C16,C6-C16))),0)</f>
        <v>8570</v>
      </c>
      <c r="D5" s="1788">
        <f>ROUND(IF(E2="商业",IF(F16="增加",C6+C16,C6-C16)),0)</f>
        <v>0</v>
      </c>
      <c r="E5" s="2734"/>
      <c r="F5" s="2734"/>
      <c r="G5" s="2735"/>
      <c r="H5" s="2735"/>
      <c r="I5" s="2735"/>
      <c r="J5" s="2736"/>
      <c r="K5" s="2737"/>
      <c r="L5" s="2729"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8657</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2833</v>
      </c>
      <c r="B6" s="2743" t="s">
        <v>2834</v>
      </c>
      <c r="C6" s="916">
        <f>SUMIF(L1:L12,G2,M1:M12)</f>
        <v>8570</v>
      </c>
      <c r="D6" s="2744" t="s">
        <v>2835</v>
      </c>
      <c r="E6" s="2745"/>
      <c r="F6" s="2745"/>
      <c r="G6" s="2746"/>
      <c r="H6" s="2746"/>
      <c r="I6" s="2746"/>
      <c r="J6" s="2747"/>
      <c r="K6" s="1843"/>
      <c r="L6" s="2729"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7372</v>
      </c>
      <c r="U6" s="1604"/>
      <c r="V6" s="1603">
        <f t="shared" ca="1" si="1"/>
        <v>0</v>
      </c>
      <c r="W6" s="1607"/>
      <c r="X6" s="1607"/>
      <c r="Y6" s="1607"/>
      <c r="Z6" s="1607"/>
      <c r="AA6" s="1607"/>
      <c r="AB6" s="1607"/>
      <c r="AC6" s="2738"/>
      <c r="AD6" s="2739"/>
      <c r="AE6" s="2739"/>
      <c r="AF6" s="2739"/>
      <c r="AG6" s="2739"/>
      <c r="AH6" s="2739"/>
      <c r="AI6" s="2739"/>
      <c r="AJ6" s="2740"/>
    </row>
    <row r="7" spans="1:36" ht="24">
      <c r="A7" s="3288" t="str">
        <f>IF(E2="商业",IF(C8="不临58条商业街","",2),"")</f>
        <v/>
      </c>
      <c r="B7" s="2748" t="s">
        <v>2837</v>
      </c>
      <c r="C7" s="917">
        <f>IF(C8="不临58条商业街",1,ROUND(1+(1.6*E8+1.2*E9+0.8*E10+0.4*E11)*C9,4))</f>
        <v>1</v>
      </c>
      <c r="D7" s="2749" t="s">
        <v>2838</v>
      </c>
      <c r="E7" s="946"/>
      <c r="F7" s="2750"/>
      <c r="G7" s="2751"/>
      <c r="H7" s="2751"/>
      <c r="I7" s="2751"/>
      <c r="J7" s="2752"/>
      <c r="K7" s="1843"/>
      <c r="L7" s="2729" t="s">
        <v>2839</v>
      </c>
      <c r="M7" s="1082">
        <f>SUMPRODUCT((区片价!B158:B205=I2)*(区片价!C3:F3=E2)*(区片价!C158:F205))</f>
        <v>8570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6483</v>
      </c>
      <c r="U7" s="1604"/>
      <c r="V7" s="1603">
        <f t="shared" ca="1" si="1"/>
        <v>0</v>
      </c>
      <c r="W7" s="1817" t="s">
        <v>2840</v>
      </c>
      <c r="X7" s="1605" t="str">
        <f>G2</f>
        <v>七级</v>
      </c>
      <c r="Y7" s="1605" t="s">
        <v>2841</v>
      </c>
      <c r="Z7" s="1606">
        <f>G3</f>
        <v>5.82</v>
      </c>
      <c r="AA7" s="1607"/>
      <c r="AB7" s="1607"/>
      <c r="AC7" s="1608"/>
      <c r="AD7" s="1609"/>
      <c r="AE7" s="1609"/>
      <c r="AF7" s="1609"/>
      <c r="AG7" s="1609"/>
      <c r="AH7" s="1609"/>
      <c r="AI7" s="1609"/>
      <c r="AJ7" s="1610"/>
    </row>
    <row r="8" spans="1:36" ht="25.5">
      <c r="A8" s="3289"/>
      <c r="B8" s="196" t="s">
        <v>2842</v>
      </c>
      <c r="C8" s="2753" t="s">
        <v>3058</v>
      </c>
      <c r="D8" s="918" t="s">
        <v>139</v>
      </c>
      <c r="E8" s="919" t="e">
        <f>ROUND(C11/E7,4)</f>
        <v>#DIV/0!</v>
      </c>
      <c r="F8" s="2754" t="s">
        <v>2843</v>
      </c>
      <c r="G8" s="2755"/>
      <c r="H8" s="2755"/>
      <c r="I8" s="2755"/>
      <c r="J8" s="2756"/>
      <c r="K8" s="1371"/>
      <c r="L8" s="2729"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81" t="s">
        <v>2845</v>
      </c>
      <c r="X8" s="3282"/>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89"/>
      <c r="B9" s="196" t="s">
        <v>2858</v>
      </c>
      <c r="C9" s="920">
        <f>SUMIF(修正!C59:C119,C8,修正!E59:E119)</f>
        <v>0</v>
      </c>
      <c r="D9" s="198" t="s">
        <v>140</v>
      </c>
      <c r="E9" s="198" t="e">
        <f>ROUND(C11/E7,4)</f>
        <v>#DIV/0!</v>
      </c>
      <c r="F9" s="2754" t="s">
        <v>2859</v>
      </c>
      <c r="G9" s="2755"/>
      <c r="H9" s="2755"/>
      <c r="I9" s="2755"/>
      <c r="J9" s="2756"/>
      <c r="K9" s="1371"/>
      <c r="L9" s="2729"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83"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9"/>
      <c r="B10" s="196" t="s">
        <v>2863</v>
      </c>
      <c r="C10" s="198">
        <f>SUMIF(修正!C59:C119,C8,修正!F59:F119)</f>
        <v>0</v>
      </c>
      <c r="D10" s="198" t="s">
        <v>141</v>
      </c>
      <c r="E10" s="198" t="e">
        <f>ROUND(C11/E7,4)</f>
        <v>#DIV/0!</v>
      </c>
      <c r="F10" s="2754" t="s">
        <v>2864</v>
      </c>
      <c r="G10" s="2755"/>
      <c r="H10" s="2755"/>
      <c r="I10" s="2755"/>
      <c r="J10" s="2756"/>
      <c r="K10" s="1371"/>
      <c r="L10" s="2729"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8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9"/>
      <c r="B11" s="2757" t="s">
        <v>2866</v>
      </c>
      <c r="C11" s="921">
        <f>C10/4</f>
        <v>0</v>
      </c>
      <c r="D11" s="921" t="s">
        <v>142</v>
      </c>
      <c r="E11" s="921" t="e">
        <f>ROUND(C11/E7,4)</f>
        <v>#DIV/0!</v>
      </c>
      <c r="F11" s="2758" t="s">
        <v>2867</v>
      </c>
      <c r="G11" s="2759"/>
      <c r="H11" s="2759"/>
      <c r="I11" s="2759"/>
      <c r="J11" s="2760"/>
      <c r="K11" s="1371"/>
      <c r="L11" s="2729"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83" t="s">
        <v>2869</v>
      </c>
      <c r="X11" s="1615" t="s">
        <v>2870</v>
      </c>
      <c r="Y11" s="1616">
        <f>$G$3</f>
        <v>5.82</v>
      </c>
      <c r="Z11" s="1616">
        <f t="shared" ref="Z11:AJ11" si="3">$G$3</f>
        <v>5.82</v>
      </c>
      <c r="AA11" s="1616">
        <f t="shared" si="3"/>
        <v>5.82</v>
      </c>
      <c r="AB11" s="1616">
        <f t="shared" si="3"/>
        <v>5.82</v>
      </c>
      <c r="AC11" s="1616">
        <f t="shared" si="3"/>
        <v>5.82</v>
      </c>
      <c r="AD11" s="1616">
        <f t="shared" si="3"/>
        <v>5.82</v>
      </c>
      <c r="AE11" s="1616">
        <f t="shared" si="3"/>
        <v>5.82</v>
      </c>
      <c r="AF11" s="1616">
        <f t="shared" si="3"/>
        <v>5.82</v>
      </c>
      <c r="AG11" s="1616">
        <f t="shared" si="3"/>
        <v>5.82</v>
      </c>
      <c r="AH11" s="1616">
        <f t="shared" si="3"/>
        <v>5.82</v>
      </c>
      <c r="AI11" s="1616">
        <f t="shared" si="3"/>
        <v>5.82</v>
      </c>
      <c r="AJ11" s="1616">
        <f t="shared" si="3"/>
        <v>5.82</v>
      </c>
    </row>
    <row r="12" spans="1:36" ht="25.5" thickBot="1">
      <c r="A12" s="3288" t="s">
        <v>2871</v>
      </c>
      <c r="B12" s="2761" t="s">
        <v>2872</v>
      </c>
      <c r="C12" s="917">
        <f>ROUND(C15*D15*E15*F15*G15*H15*I15*J15,4)</f>
        <v>1</v>
      </c>
      <c r="D12" s="2762" t="s">
        <v>2873</v>
      </c>
      <c r="E12" s="2763"/>
      <c r="F12" s="2763"/>
      <c r="G12" s="2764"/>
      <c r="H12" s="2764"/>
      <c r="I12" s="2764"/>
      <c r="J12" s="2765"/>
      <c r="K12" s="1371"/>
      <c r="L12" s="2766"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83"/>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0"/>
      <c r="B13" s="2767" t="s">
        <v>2876</v>
      </c>
      <c r="C13" s="2768" t="s">
        <v>2877</v>
      </c>
      <c r="D13" s="1809" t="s">
        <v>2878</v>
      </c>
      <c r="E13" s="1809" t="s">
        <v>2879</v>
      </c>
      <c r="F13" s="30" t="s">
        <v>2880</v>
      </c>
      <c r="G13" s="2769" t="s">
        <v>2881</v>
      </c>
      <c r="H13" s="2769" t="s">
        <v>2881</v>
      </c>
      <c r="I13" s="2769" t="s">
        <v>2881</v>
      </c>
      <c r="J13" s="2770" t="s">
        <v>2881</v>
      </c>
      <c r="K13" s="1371"/>
      <c r="L13" s="1371"/>
      <c r="M13" s="1371"/>
      <c r="N13" s="1371"/>
      <c r="O13" s="1371"/>
      <c r="P13" s="1371"/>
      <c r="Q13" s="1371"/>
      <c r="R13" s="1603">
        <v>12</v>
      </c>
      <c r="S13" s="1604"/>
      <c r="T13" s="1603">
        <f t="shared" ca="1" si="0"/>
        <v>0</v>
      </c>
      <c r="U13" s="1604"/>
      <c r="V13" s="1603">
        <f t="shared" ca="1" si="1"/>
        <v>0</v>
      </c>
      <c r="W13" s="3283"/>
      <c r="X13" s="1617"/>
      <c r="Y13" s="1614">
        <f>(-0.163*(Y12^2)-0.59*Y12+7617)*(10^(-4))/Y11</f>
        <v>0.13087628865979381</v>
      </c>
      <c r="Z13" s="1614">
        <f t="shared" ref="Z13:AJ13" si="5">(-0.163*(Z12^2)-0.59*Z12+7617)*(10^(-4))/Z11</f>
        <v>0.13087628865979381</v>
      </c>
      <c r="AA13" s="1614">
        <f t="shared" si="5"/>
        <v>0.13087628865979381</v>
      </c>
      <c r="AB13" s="1614">
        <f t="shared" si="5"/>
        <v>0.13087628865979381</v>
      </c>
      <c r="AC13" s="1614">
        <f t="shared" si="5"/>
        <v>0.13087628865979381</v>
      </c>
      <c r="AD13" s="1614">
        <f t="shared" si="5"/>
        <v>0.13087628865979381</v>
      </c>
      <c r="AE13" s="1614">
        <f t="shared" si="5"/>
        <v>0.13087628865979381</v>
      </c>
      <c r="AF13" s="1614">
        <f t="shared" si="5"/>
        <v>0.13087628865979381</v>
      </c>
      <c r="AG13" s="1614">
        <f t="shared" si="5"/>
        <v>0.13087628865979381</v>
      </c>
      <c r="AH13" s="1614">
        <f t="shared" si="5"/>
        <v>0.13087628865979381</v>
      </c>
      <c r="AI13" s="1614">
        <f t="shared" si="5"/>
        <v>0.13087628865979381</v>
      </c>
      <c r="AJ13" s="1614">
        <f t="shared" si="5"/>
        <v>0.13087628865979381</v>
      </c>
    </row>
    <row r="14" spans="1:36" ht="15">
      <c r="A14" s="3290"/>
      <c r="B14" s="2771"/>
      <c r="C14" s="2772"/>
      <c r="D14" s="2773"/>
      <c r="E14" s="2773"/>
      <c r="F14" s="2774"/>
      <c r="G14" s="2775" t="s">
        <v>2882</v>
      </c>
      <c r="H14" s="2776"/>
      <c r="I14" s="2777"/>
      <c r="J14" s="277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91"/>
      <c r="B15" s="2779" t="s">
        <v>2883</v>
      </c>
      <c r="C15" s="227">
        <f>IF(C14="有",1.1,1)</f>
        <v>1</v>
      </c>
      <c r="D15" s="227">
        <f>IF(D14="有",1.1,1)</f>
        <v>1</v>
      </c>
      <c r="E15" s="227">
        <f>IF(E14="有",1.1,1)</f>
        <v>1</v>
      </c>
      <c r="F15" s="227">
        <f>IF(F14="500米范围内",1.2,IF(F14="500-1000米",1.1,1))</f>
        <v>1</v>
      </c>
      <c r="G15" s="947">
        <v>1</v>
      </c>
      <c r="H15" s="947">
        <v>1</v>
      </c>
      <c r="I15" s="947">
        <v>1</v>
      </c>
      <c r="J15" s="948">
        <v>1</v>
      </c>
      <c r="K15" s="1371"/>
      <c r="L15" s="2780" t="s">
        <v>2819</v>
      </c>
      <c r="M15" s="918" t="s">
        <v>2884</v>
      </c>
      <c r="N15" s="918" t="s">
        <v>2885</v>
      </c>
      <c r="O15" s="918" t="s">
        <v>2886</v>
      </c>
      <c r="P15" s="2781"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88" t="s">
        <v>2888</v>
      </c>
      <c r="B16" s="2748" t="s">
        <v>2889</v>
      </c>
      <c r="C16" s="1802">
        <f>ROUND(SUM(G17:J17)/C17,0)</f>
        <v>0</v>
      </c>
      <c r="D16" s="2782" t="s">
        <v>2890</v>
      </c>
      <c r="E16" s="2783" t="s">
        <v>3060</v>
      </c>
      <c r="F16" s="2784" t="s">
        <v>3061</v>
      </c>
      <c r="G16" s="2785"/>
      <c r="H16" s="2785"/>
      <c r="I16" s="2785"/>
      <c r="J16" s="2786"/>
      <c r="K16" s="1371"/>
      <c r="L16" s="2787"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89"/>
      <c r="B17" s="2788" t="s">
        <v>2892</v>
      </c>
      <c r="C17" s="922">
        <f>SUMPRODUCT((修正!A2:A5=E2)*(修正!B1:M1=G2)*(修正!B2:M5))</f>
        <v>2.5</v>
      </c>
      <c r="D17" s="2789"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2895</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2896</v>
      </c>
      <c r="C18" s="924">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25" thickBot="1">
      <c r="A19" s="2792" t="s">
        <v>809</v>
      </c>
      <c r="B19" s="2793" t="s">
        <v>2897</v>
      </c>
      <c r="C19" s="925">
        <f>ROUND(IF(H19="按公示增长率计算",SUMPRODUCT((地价!A3:A24=YEAR(G19)&amp;"-"&amp;ROUNDUP(MONTH(G19)/3,0))*(地价!X2:AB2=E2)*(地价!X3:AB24)),IF(H19="地价指数",M20/M19,(1+I19)^O19)),4)</f>
        <v>1.3237000000000001</v>
      </c>
      <c r="D19" s="2800" t="s">
        <v>2898</v>
      </c>
      <c r="E19" s="926">
        <v>41640</v>
      </c>
      <c r="F19" s="2800" t="s">
        <v>2899</v>
      </c>
      <c r="G19" s="927">
        <f>'数据-取费表'!B2</f>
        <v>43398</v>
      </c>
      <c r="H19" s="2801" t="s">
        <v>3059</v>
      </c>
      <c r="I19" s="928" t="str">
        <f>IF(H19="季度增幅（自定义）",SUMIF(N21:N24,E2,O21:O24),"")</f>
        <v/>
      </c>
      <c r="J19" s="2798"/>
      <c r="K19" s="1378"/>
      <c r="L19" s="2802" t="s">
        <v>2900</v>
      </c>
      <c r="M19" s="1735">
        <f>ROUND(SUMIF(地价!B2:F2,E2,地价!B24:F24),0)</f>
        <v>258</v>
      </c>
      <c r="N19" s="2803" t="s">
        <v>2901</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2902</v>
      </c>
      <c r="C20" s="930">
        <f ca="1">ROUND(POWER(1+G20,J20-I20)*(POWER(1+G20,I20)-1)/(POWER(1+G20,J20)-1),4)</f>
        <v>0.86650000000000005</v>
      </c>
      <c r="D20" s="2809" t="s">
        <v>2903</v>
      </c>
      <c r="E20" s="1769">
        <f ca="1">存贷款利率!D4/100</f>
        <v>4.3499999999999997E-2</v>
      </c>
      <c r="F20" s="2809" t="s">
        <v>2895</v>
      </c>
      <c r="G20" s="935">
        <f ca="1">SUMIF(M15:P15,E2,M17:P17)</f>
        <v>5.1999999999999998E-2</v>
      </c>
      <c r="H20" s="2809" t="s">
        <v>2904</v>
      </c>
      <c r="I20" s="936">
        <f>SUMIF('数据-取费表'!C6:C15,E2,'数据-取费表'!F6:F15)/COUNTIF('数据-取费表'!C6:C15,E2)</f>
        <v>31.53</v>
      </c>
      <c r="J20" s="937">
        <f>IF(E2="住宅",70,IF(E2="商业",40,50))</f>
        <v>50</v>
      </c>
      <c r="K20" s="1378"/>
      <c r="L20" s="2810" t="s">
        <v>2905</v>
      </c>
      <c r="M20" s="1736">
        <f>ROUND(SUMPRODUCT((地价!A4:A24=YEAR(G19)&amp;"-"&amp;ROUNDUP(MONTH(G19)/3,0))*(地价!B2:F2=E2)*(地价!B4:F24)),0)</f>
        <v>341</v>
      </c>
      <c r="N20" s="2811" t="s">
        <v>2906</v>
      </c>
      <c r="O20" s="2812" t="s">
        <v>2907</v>
      </c>
      <c r="P20" s="2813" t="s">
        <v>2908</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3107</v>
      </c>
      <c r="C21" s="938">
        <f>IF(B21="容积率修正",IF(G3&lt;=10,D22,J22),C23)</f>
        <v>0.79630000000000001</v>
      </c>
      <c r="D21" s="2816"/>
      <c r="E21" s="2816"/>
      <c r="F21" s="2816"/>
      <c r="G21" s="2816"/>
      <c r="H21" s="2816"/>
      <c r="I21" s="2816"/>
      <c r="J21" s="2817"/>
      <c r="K21" s="1378"/>
      <c r="N21" s="2818" t="s">
        <v>2909</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2910</v>
      </c>
      <c r="B22" s="2819" t="s">
        <v>2911</v>
      </c>
      <c r="C22" s="1811" t="s">
        <v>2912</v>
      </c>
      <c r="D22" s="1811">
        <f>IF(E22=G22,F22,IF(G3&lt;=10,ROUND(F22+(H22-F22)*(G3-E22)/(G22-E22),4),"——"))</f>
        <v>0.79630000000000001</v>
      </c>
      <c r="E22" s="914">
        <f>ROUNDDOWN(G3,1)</f>
        <v>5.8</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1811" t="s">
        <v>155</v>
      </c>
      <c r="J22" s="939" t="str">
        <f>IF(G3&gt;10,D113,"——")</f>
        <v>——</v>
      </c>
      <c r="K22" s="1378"/>
      <c r="N22" s="2818" t="s">
        <v>2913</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7" t="s">
        <v>2914</v>
      </c>
      <c r="B23" s="2820" t="s">
        <v>2915</v>
      </c>
      <c r="C23" s="1014">
        <f>ROUND(IF(G3&gt;1,IF(I3&lt;7,SUMPRODUCT((B93:B98=I3)*(C92:N92=G2)*(C93:N98)),SUMIF(C92:N92,G2,C100:N100)),IF(I3&lt;7,SUMPRODUCT((B102:B107=I3)*(C92:N92=G2)*(C102:N107)),SUMIF(C92:N92,G2,C109:N109))),4)</f>
        <v>1.8629</v>
      </c>
      <c r="D23" s="2776"/>
      <c r="E23" s="2776"/>
      <c r="F23" s="2821"/>
      <c r="G23" s="2822"/>
      <c r="H23" s="2823"/>
      <c r="I23" s="2824"/>
      <c r="J23" s="2825"/>
      <c r="K23" s="1371"/>
      <c r="N23" s="2818" t="s">
        <v>2916</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2917</v>
      </c>
      <c r="C24" s="925">
        <f>SUMIF(A45:A88,E2,B45:B88)</f>
        <v>1.0175000000000001</v>
      </c>
      <c r="D24" s="2796"/>
      <c r="E24" s="2826"/>
      <c r="F24" s="2826"/>
      <c r="G24" s="2826"/>
      <c r="H24" s="2826"/>
      <c r="I24" s="2826"/>
      <c r="J24" s="2827"/>
      <c r="K24" s="1378"/>
      <c r="N24" s="2828" t="s">
        <v>2918</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2919</v>
      </c>
      <c r="C25" s="931"/>
      <c r="D25" s="2751"/>
      <c r="E25" s="2751"/>
      <c r="F25" s="2830"/>
      <c r="G25" s="2751"/>
      <c r="H25" s="2751"/>
      <c r="I25" s="2751"/>
      <c r="J25" s="2752"/>
      <c r="K25" s="1371"/>
      <c r="N25" s="2831" t="s">
        <v>2920</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2"/>
      <c r="B26" s="2819" t="s">
        <v>2921</v>
      </c>
      <c r="C26" s="204">
        <f ca="1">E29+SUM(E33:E39)</f>
        <v>565</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2922</v>
      </c>
      <c r="C27" s="932">
        <f ca="1">E30+SUM(I33:I39)</f>
        <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2923</v>
      </c>
      <c r="C28" s="2843" t="s">
        <v>2924</v>
      </c>
      <c r="D28" s="2843" t="s">
        <v>2925</v>
      </c>
      <c r="E28" s="2844" t="s">
        <v>2926</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2927</v>
      </c>
      <c r="C29" s="204">
        <f ca="1">ROUND(C5*C18*C19*C20*C21*C24,0)</f>
        <v>7964</v>
      </c>
      <c r="D29" s="2848">
        <f>'数据-汇总表'!F19</f>
        <v>709.04</v>
      </c>
      <c r="E29" s="943">
        <f ca="1">ROUND(C29*D29/10000,0)</f>
        <v>565</v>
      </c>
      <c r="F29" s="2849" t="s">
        <v>2928</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2929</v>
      </c>
      <c r="C30" s="227">
        <f ca="1">ROUND(IF(E2="工业",C29*M39,C29*M38),0)</f>
        <v>1991</v>
      </c>
      <c r="D30" s="2854"/>
      <c r="E30" s="943">
        <f ca="1">ROUND(C30*D30/10000,0)</f>
        <v>0</v>
      </c>
      <c r="F30" s="2855" t="s">
        <v>2930</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2924</v>
      </c>
      <c r="D32" s="496" t="s">
        <v>2925</v>
      </c>
      <c r="E32" s="496" t="s">
        <v>2926</v>
      </c>
      <c r="F32" s="386" t="s">
        <v>2934</v>
      </c>
      <c r="G32" s="2863" t="s">
        <v>2924</v>
      </c>
      <c r="H32" s="2863" t="s">
        <v>2925</v>
      </c>
      <c r="I32" s="2863" t="s">
        <v>2926</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98" t="s">
        <v>2935</v>
      </c>
      <c r="B33" s="2864" t="s">
        <v>2936</v>
      </c>
      <c r="C33" s="204">
        <f ca="1">ROUND(D5*C19*C20*C24*F33,0)</f>
        <v>0</v>
      </c>
      <c r="D33" s="2848"/>
      <c r="E33" s="198">
        <f ca="1">ROUND(C33*D33/10000,0)</f>
        <v>0</v>
      </c>
      <c r="F33" s="198">
        <f>SUMIF(修正!A45:A56,G2,修正!B45:B56)</f>
        <v>0.7</v>
      </c>
      <c r="G33" s="198">
        <f t="shared" ref="G33" ca="1" si="6">ROUND(IF(E2="工业",C33*$M$39,C33*$M$38),0)</f>
        <v>0</v>
      </c>
      <c r="H33" s="198">
        <f>D33</f>
        <v>0</v>
      </c>
      <c r="I33" s="198">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9"/>
      <c r="B34" s="2768" t="s">
        <v>2937</v>
      </c>
      <c r="C34" s="204">
        <f ca="1">ROUND(D5*C19*C20*C24*F34,0)</f>
        <v>0</v>
      </c>
      <c r="D34" s="2848"/>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9"/>
      <c r="B35" s="2768" t="s">
        <v>2938</v>
      </c>
      <c r="C35" s="204">
        <f ca="1">ROUND(D5*C19*C20*C24*F35,0)</f>
        <v>0</v>
      </c>
      <c r="D35" s="2848"/>
      <c r="E35" s="198">
        <f t="shared" ca="1" si="7"/>
        <v>0</v>
      </c>
      <c r="F35" s="198">
        <f>SUMIF(修正!A45:A56,G2,修正!D45:D56)</f>
        <v>0.28000000000000003</v>
      </c>
      <c r="G35" s="198">
        <f ca="1">ROUND(IF(E2="工业",C35*$M$39,C35*$M$38),0)</f>
        <v>0</v>
      </c>
      <c r="H35" s="198">
        <f t="shared" si="8"/>
        <v>0</v>
      </c>
      <c r="I35" s="198">
        <f t="shared" ca="1" si="9"/>
        <v>0</v>
      </c>
      <c r="J35" s="2865"/>
      <c r="K35" s="1371"/>
      <c r="L35" s="1371"/>
      <c r="M35" s="1371"/>
      <c r="N35" s="1371"/>
      <c r="O35" s="1371"/>
      <c r="P35" s="1371"/>
      <c r="Q35" s="1371"/>
      <c r="R35" s="1371"/>
      <c r="S35" s="1371"/>
      <c r="T35" s="1371"/>
      <c r="U35" s="1371"/>
      <c r="V35" s="1371"/>
      <c r="W35" s="1371"/>
      <c r="X35" s="1371"/>
      <c r="Y35" s="1371"/>
      <c r="Z35" s="1372"/>
    </row>
    <row r="36" spans="1:37" ht="13.5" thickBot="1">
      <c r="A36" s="3300"/>
      <c r="B36" s="2768" t="s">
        <v>2939</v>
      </c>
      <c r="C36" s="204">
        <f ca="1">ROUND(D5*C19*C20*C24*F36,0)</f>
        <v>0</v>
      </c>
      <c r="D36" s="2848"/>
      <c r="E36" s="198">
        <f t="shared" ca="1" si="7"/>
        <v>0</v>
      </c>
      <c r="F36" s="198">
        <f>SUMIF(修正!A45:A56,G2,修正!E45:E56)</f>
        <v>0.25</v>
      </c>
      <c r="G36" s="198">
        <f ca="1">ROUND(IF(E2="工业",C36*$M$39,C36*$M$38),0)</f>
        <v>0</v>
      </c>
      <c r="H36" s="198">
        <f t="shared" si="8"/>
        <v>0</v>
      </c>
      <c r="I36" s="198">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2940</v>
      </c>
      <c r="C37" s="198">
        <f ca="1">ROUND(C5*C19*C20*C24*F37,0)</f>
        <v>2500</v>
      </c>
      <c r="D37" s="2848"/>
      <c r="E37" s="198">
        <f t="shared" ca="1" si="7"/>
        <v>0</v>
      </c>
      <c r="F37" s="204">
        <f>SUMIF(修正!A45:A56,G2,修正!F45:F56)</f>
        <v>0.25</v>
      </c>
      <c r="G37" s="198">
        <f ca="1">ROUND(IF(E2="工业",C37*$M$39,C37*$M$38),0)</f>
        <v>625</v>
      </c>
      <c r="H37" s="198">
        <f t="shared" si="8"/>
        <v>0</v>
      </c>
      <c r="I37" s="198">
        <f t="shared" ca="1" si="9"/>
        <v>0</v>
      </c>
      <c r="J37" s="2865"/>
      <c r="K37" s="1371"/>
      <c r="L37" s="2867" t="s">
        <v>2941</v>
      </c>
      <c r="M37" s="2868"/>
      <c r="N37" s="1371"/>
      <c r="O37" s="1371"/>
      <c r="P37" s="1371"/>
      <c r="Q37" s="1371"/>
      <c r="R37" s="1371"/>
      <c r="S37" s="1371"/>
      <c r="T37" s="1371"/>
      <c r="U37" s="1371"/>
      <c r="V37" s="1371"/>
      <c r="W37" s="1371"/>
      <c r="X37" s="1371"/>
      <c r="Y37" s="1371"/>
      <c r="Z37" s="1372"/>
    </row>
    <row r="38" spans="1:37">
      <c r="A38" s="2866"/>
      <c r="B38" s="2768" t="s">
        <v>2942</v>
      </c>
      <c r="C38" s="198">
        <f ca="1">ROUND(C5*C19*C20*C24*F38,0)</f>
        <v>2500</v>
      </c>
      <c r="D38" s="2848"/>
      <c r="E38" s="198">
        <f t="shared" ca="1" si="7"/>
        <v>0</v>
      </c>
      <c r="F38" s="204">
        <f>SUMIF(修正!A45:A56,G2,修正!G45:G56)</f>
        <v>0.25</v>
      </c>
      <c r="G38" s="198">
        <f ca="1">ROUND(IF(E2="工业",C38*$M$39,C38*$M$38),0)</f>
        <v>625</v>
      </c>
      <c r="H38" s="198">
        <f t="shared" si="8"/>
        <v>0</v>
      </c>
      <c r="I38" s="198">
        <f t="shared" ca="1" si="9"/>
        <v>0</v>
      </c>
      <c r="J38" s="2865"/>
      <c r="K38" s="1371"/>
      <c r="L38" s="1888" t="s">
        <v>2943</v>
      </c>
      <c r="M38" s="2869">
        <v>0.25</v>
      </c>
      <c r="N38" s="1371"/>
      <c r="O38" s="1371"/>
      <c r="P38" s="1371"/>
      <c r="Q38" s="1371"/>
      <c r="R38" s="1371"/>
      <c r="S38" s="1371"/>
      <c r="T38" s="1371"/>
      <c r="U38" s="1371"/>
      <c r="V38" s="1371"/>
      <c r="W38" s="1371"/>
      <c r="X38" s="1371"/>
      <c r="Y38" s="1371"/>
      <c r="Z38" s="1372"/>
    </row>
    <row r="39" spans="1:37" ht="13.5" thickBot="1">
      <c r="A39" s="2852"/>
      <c r="B39" s="2870" t="s">
        <v>2944</v>
      </c>
      <c r="C39" s="227">
        <f ca="1">ROUND(C5*C19*C20*C24*F39,0)</f>
        <v>2000</v>
      </c>
      <c r="D39" s="2854"/>
      <c r="E39" s="227">
        <f t="shared" ca="1" si="7"/>
        <v>0</v>
      </c>
      <c r="F39" s="933">
        <f>SUMIF(修正!A45:A56,G2,修正!H45:H56)</f>
        <v>0.2</v>
      </c>
      <c r="G39" s="227">
        <f ca="1">ROUND(IF(E2="工业",C39*$M$39,C39*$M$38),0)</f>
        <v>500</v>
      </c>
      <c r="H39" s="227">
        <f t="shared" si="8"/>
        <v>0</v>
      </c>
      <c r="I39" s="227">
        <f t="shared" ca="1" si="9"/>
        <v>0</v>
      </c>
      <c r="J39" s="2871"/>
      <c r="K39" s="1371"/>
      <c r="L39" s="2872" t="s">
        <v>2887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2945</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2946</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2947</v>
      </c>
      <c r="B47" s="1810" t="s">
        <v>2948</v>
      </c>
      <c r="C47" s="1810" t="s">
        <v>2949</v>
      </c>
      <c r="D47" s="1810" t="s">
        <v>2950</v>
      </c>
      <c r="E47" s="817" t="s">
        <v>2951</v>
      </c>
      <c r="F47" s="2882" t="s">
        <v>2952</v>
      </c>
      <c r="G47" s="1810" t="s">
        <v>754</v>
      </c>
      <c r="H47" s="2883" t="s">
        <v>2953</v>
      </c>
      <c r="I47" s="1810" t="s">
        <v>2954</v>
      </c>
      <c r="J47" s="601" t="s">
        <v>2602</v>
      </c>
      <c r="K47" s="601" t="s">
        <v>2603</v>
      </c>
      <c r="L47" s="601" t="s">
        <v>2604</v>
      </c>
      <c r="M47" s="601" t="s">
        <v>2605</v>
      </c>
      <c r="N47" s="601" t="s">
        <v>2606</v>
      </c>
      <c r="AA47" s="1372"/>
      <c r="AB47" s="1372"/>
      <c r="AC47" s="1372"/>
      <c r="AD47" s="1372"/>
      <c r="AE47" s="1372"/>
      <c r="AF47" s="1372"/>
      <c r="AG47" s="1372"/>
      <c r="AH47" s="1372"/>
      <c r="AI47" s="1372"/>
      <c r="AJ47" s="1372"/>
      <c r="AK47" s="1372"/>
    </row>
    <row r="48" spans="1:37" s="1371" customFormat="1" ht="38.25">
      <c r="A48" s="2881" t="s">
        <v>2955</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2956</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2957</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2958</v>
      </c>
      <c r="B51" s="2886" t="s">
        <v>2959</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2960</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2961</v>
      </c>
      <c r="B53" s="2887" t="s">
        <v>2962</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2963</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2964</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2965</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2966</v>
      </c>
      <c r="B57" s="2878">
        <f>1+E59</f>
        <v>1.0175000000000001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2947</v>
      </c>
      <c r="B58" s="1810"/>
      <c r="C58" s="1810" t="s">
        <v>2949</v>
      </c>
      <c r="D58" s="1810" t="s">
        <v>2950</v>
      </c>
      <c r="E58" s="817" t="s">
        <v>2951</v>
      </c>
      <c r="F58" s="2882" t="s">
        <v>2967</v>
      </c>
      <c r="G58" s="1810" t="s">
        <v>754</v>
      </c>
      <c r="H58" s="2883" t="s">
        <v>2953</v>
      </c>
      <c r="I58" s="1810" t="s">
        <v>2954</v>
      </c>
      <c r="J58" s="601" t="s">
        <v>2602</v>
      </c>
      <c r="K58" s="601" t="s">
        <v>2603</v>
      </c>
      <c r="L58" s="601" t="s">
        <v>2604</v>
      </c>
      <c r="M58" s="601" t="s">
        <v>2605</v>
      </c>
      <c r="N58" s="601" t="s">
        <v>2606</v>
      </c>
      <c r="AA58" s="1372"/>
      <c r="AB58" s="1372"/>
      <c r="AC58" s="1372"/>
      <c r="AD58" s="1372"/>
      <c r="AE58" s="1372"/>
      <c r="AF58" s="1372"/>
      <c r="AG58" s="1372"/>
      <c r="AH58" s="1372"/>
      <c r="AI58" s="1372"/>
      <c r="AJ58" s="1372"/>
      <c r="AK58" s="1372"/>
    </row>
    <row r="59" spans="1:37" s="1371" customFormat="1" ht="38.25">
      <c r="A59" s="2881" t="s">
        <v>2968</v>
      </c>
      <c r="B59" s="2884" t="str">
        <f>估价对象房地状况!C17</f>
        <v>估价对象位于XX商圈，周边办公楼项目较多，入驻率高，办公集聚程度较好</v>
      </c>
      <c r="C59" s="2773" t="s">
        <v>3078</v>
      </c>
      <c r="D59" s="1287">
        <f t="shared" ref="D59:D67" si="15">SUMIF($J$58:$N$58,C59,J59:N59)</f>
        <v>0</v>
      </c>
      <c r="E59" s="819">
        <f>ROUND(SUM(D59:D67),4)</f>
        <v>1.7500000000000002E-2</v>
      </c>
      <c r="F59" s="2504">
        <f>IF(E2="办公",SUMIF(L1:L12,G2,N1:N12),"——")</f>
        <v>0.13</v>
      </c>
      <c r="G59" s="1285">
        <v>1.5599999999999999E-2</v>
      </c>
      <c r="H59" s="1289">
        <f t="shared" ref="H59:H67" si="16">IFERROR(ROUNDDOWN($F$59*I59/2,4),"——")</f>
        <v>1.5599999999999999E-2</v>
      </c>
      <c r="I59" s="818">
        <v>0.24</v>
      </c>
      <c r="J59" s="1286">
        <f t="shared" ref="J59:J67" si="17">K59+$G59</f>
        <v>3.1199999999999999E-2</v>
      </c>
      <c r="K59" s="1286">
        <f t="shared" ref="K59:K67" si="18">$L59+$G59</f>
        <v>1.5599999999999999E-2</v>
      </c>
      <c r="L59" s="1286">
        <v>0</v>
      </c>
      <c r="M59" s="1286">
        <f t="shared" ref="M59:N67" si="19">L59-$G59</f>
        <v>-1.5599999999999999E-2</v>
      </c>
      <c r="N59" s="1286">
        <f t="shared" si="19"/>
        <v>-3.1199999999999999E-2</v>
      </c>
      <c r="AA59" s="1372"/>
      <c r="AB59" s="1372"/>
      <c r="AC59" s="1372"/>
      <c r="AD59" s="1372"/>
      <c r="AE59" s="1372"/>
      <c r="AF59" s="1372"/>
      <c r="AG59" s="1372"/>
      <c r="AH59" s="1372"/>
      <c r="AI59" s="1372"/>
      <c r="AJ59" s="1372"/>
      <c r="AK59" s="1372"/>
    </row>
    <row r="60" spans="1:37" s="1371" customFormat="1" ht="51">
      <c r="A60" s="2881" t="s">
        <v>2956</v>
      </c>
      <c r="B60" s="2885" t="str">
        <f>估价对象房地状况!C18</f>
        <v>估价对象周边道路状况、公共交通通达情况、停车便捷程度，综合评价交通便捷度较好</v>
      </c>
      <c r="C60" s="2773" t="s">
        <v>3078</v>
      </c>
      <c r="D60" s="1287">
        <f t="shared" si="15"/>
        <v>0</v>
      </c>
      <c r="E60" s="820"/>
      <c r="F60" s="2504"/>
      <c r="G60" s="1285">
        <v>1.95E-2</v>
      </c>
      <c r="H60" s="1289">
        <f t="shared" si="16"/>
        <v>1.95E-2</v>
      </c>
      <c r="I60" s="818">
        <v>0.3</v>
      </c>
      <c r="J60" s="1286">
        <f t="shared" si="17"/>
        <v>3.9E-2</v>
      </c>
      <c r="K60" s="1286">
        <f t="shared" si="18"/>
        <v>1.95E-2</v>
      </c>
      <c r="L60" s="1286">
        <v>0</v>
      </c>
      <c r="M60" s="1286">
        <f t="shared" si="19"/>
        <v>-1.95E-2</v>
      </c>
      <c r="N60" s="1286">
        <f t="shared" si="19"/>
        <v>-3.9E-2</v>
      </c>
      <c r="AA60" s="1372"/>
      <c r="AB60" s="1372"/>
      <c r="AC60" s="1372"/>
      <c r="AD60" s="1372"/>
      <c r="AE60" s="1372"/>
      <c r="AF60" s="1372"/>
      <c r="AG60" s="1372"/>
      <c r="AH60" s="1372"/>
      <c r="AI60" s="1372"/>
      <c r="AJ60" s="1372"/>
      <c r="AK60" s="1372"/>
    </row>
    <row r="61" spans="1:37" s="1371" customFormat="1" ht="24">
      <c r="A61" s="2881" t="s">
        <v>2957</v>
      </c>
      <c r="B61" s="2885">
        <f>估价对象房地状况!C19</f>
        <v>0</v>
      </c>
      <c r="C61" s="2773" t="s">
        <v>3078</v>
      </c>
      <c r="D61" s="1287">
        <f t="shared" si="15"/>
        <v>0</v>
      </c>
      <c r="E61" s="820"/>
      <c r="F61" s="2504"/>
      <c r="G61" s="1285">
        <v>5.1999999999999998E-3</v>
      </c>
      <c r="H61" s="1289">
        <f t="shared" si="16"/>
        <v>5.1999999999999998E-3</v>
      </c>
      <c r="I61" s="818">
        <v>0.08</v>
      </c>
      <c r="J61" s="1286">
        <f t="shared" si="17"/>
        <v>1.04E-2</v>
      </c>
      <c r="K61" s="1286">
        <f t="shared" si="18"/>
        <v>5.1999999999999998E-3</v>
      </c>
      <c r="L61" s="1286">
        <v>0</v>
      </c>
      <c r="M61" s="1286">
        <f t="shared" si="19"/>
        <v>-5.1999999999999998E-3</v>
      </c>
      <c r="N61" s="1286">
        <f t="shared" si="19"/>
        <v>-1.04E-2</v>
      </c>
      <c r="AA61" s="1372"/>
      <c r="AB61" s="1372"/>
      <c r="AC61" s="1372"/>
      <c r="AD61" s="1372"/>
      <c r="AE61" s="1372"/>
      <c r="AF61" s="1372"/>
      <c r="AG61" s="1372"/>
      <c r="AH61" s="1372"/>
      <c r="AI61" s="1372"/>
      <c r="AJ61" s="1372"/>
      <c r="AK61" s="1372"/>
    </row>
    <row r="62" spans="1:37" s="1371" customFormat="1" ht="36.75">
      <c r="A62" s="2881" t="s">
        <v>2958</v>
      </c>
      <c r="B62" s="2886" t="s">
        <v>2959</v>
      </c>
      <c r="C62" s="2773" t="s">
        <v>3079</v>
      </c>
      <c r="D62" s="1287">
        <f t="shared" si="15"/>
        <v>2.5999999999999999E-3</v>
      </c>
      <c r="E62" s="820"/>
      <c r="F62" s="2504"/>
      <c r="G62" s="1285">
        <v>2.5999999999999999E-3</v>
      </c>
      <c r="H62" s="1289">
        <f t="shared" si="16"/>
        <v>2.5999999999999999E-3</v>
      </c>
      <c r="I62" s="818">
        <v>0.04</v>
      </c>
      <c r="J62" s="1286">
        <f t="shared" si="17"/>
        <v>5.1999999999999998E-3</v>
      </c>
      <c r="K62" s="1286">
        <f t="shared" si="18"/>
        <v>2.5999999999999999E-3</v>
      </c>
      <c r="L62" s="1286">
        <v>0</v>
      </c>
      <c r="M62" s="1286">
        <f t="shared" si="19"/>
        <v>-2.5999999999999999E-3</v>
      </c>
      <c r="N62" s="1286">
        <f t="shared" si="19"/>
        <v>-5.1999999999999998E-3</v>
      </c>
      <c r="AA62" s="1372"/>
      <c r="AB62" s="1372"/>
      <c r="AC62" s="1372"/>
      <c r="AD62" s="1372"/>
      <c r="AE62" s="1372"/>
      <c r="AF62" s="1372"/>
      <c r="AG62" s="1372"/>
      <c r="AH62" s="1372"/>
      <c r="AI62" s="1372"/>
      <c r="AJ62" s="1372"/>
      <c r="AK62" s="1372"/>
    </row>
    <row r="63" spans="1:37" s="1371" customFormat="1" ht="24">
      <c r="A63" s="2881" t="s">
        <v>2960</v>
      </c>
      <c r="B63" s="2885">
        <f>估价对象房地状况!C24</f>
        <v>0</v>
      </c>
      <c r="C63" s="2773" t="s">
        <v>3078</v>
      </c>
      <c r="D63" s="1287">
        <f t="shared" si="15"/>
        <v>0</v>
      </c>
      <c r="E63" s="820"/>
      <c r="F63" s="2504"/>
      <c r="G63" s="1285">
        <v>3.2000000000000002E-3</v>
      </c>
      <c r="H63" s="1289">
        <f t="shared" si="16"/>
        <v>3.2000000000000002E-3</v>
      </c>
      <c r="I63" s="818">
        <v>0.05</v>
      </c>
      <c r="J63" s="1286">
        <f t="shared" si="17"/>
        <v>6.4000000000000003E-3</v>
      </c>
      <c r="K63" s="1286">
        <f t="shared" si="18"/>
        <v>3.2000000000000002E-3</v>
      </c>
      <c r="L63" s="1286">
        <v>0</v>
      </c>
      <c r="M63" s="1286">
        <f t="shared" si="19"/>
        <v>-3.2000000000000002E-3</v>
      </c>
      <c r="N63" s="1286">
        <f t="shared" si="19"/>
        <v>-6.4000000000000003E-3</v>
      </c>
      <c r="AA63" s="1372"/>
      <c r="AB63" s="1372"/>
      <c r="AC63" s="1372"/>
      <c r="AD63" s="1372"/>
      <c r="AE63" s="1372"/>
      <c r="AF63" s="1372"/>
      <c r="AG63" s="1372"/>
      <c r="AH63" s="1372"/>
      <c r="AI63" s="1372"/>
      <c r="AJ63" s="1372"/>
      <c r="AK63" s="1372"/>
    </row>
    <row r="64" spans="1:37" s="1371" customFormat="1" ht="24">
      <c r="A64" s="2881" t="s">
        <v>2961</v>
      </c>
      <c r="B64" s="2887" t="s">
        <v>2962</v>
      </c>
      <c r="C64" s="2773" t="s">
        <v>3079</v>
      </c>
      <c r="D64" s="1287">
        <f t="shared" si="15"/>
        <v>3.2000000000000002E-3</v>
      </c>
      <c r="E64" s="820"/>
      <c r="F64" s="2504"/>
      <c r="G64" s="1285">
        <v>3.2000000000000002E-3</v>
      </c>
      <c r="H64" s="1289">
        <f t="shared" si="16"/>
        <v>3.2000000000000002E-3</v>
      </c>
      <c r="I64" s="818">
        <v>0.05</v>
      </c>
      <c r="J64" s="1286">
        <f t="shared" si="17"/>
        <v>6.4000000000000003E-3</v>
      </c>
      <c r="K64" s="1286">
        <f t="shared" si="18"/>
        <v>3.2000000000000002E-3</v>
      </c>
      <c r="L64" s="1286">
        <v>0</v>
      </c>
      <c r="M64" s="1286">
        <f t="shared" si="19"/>
        <v>-3.2000000000000002E-3</v>
      </c>
      <c r="N64" s="1286">
        <f t="shared" si="19"/>
        <v>-6.4000000000000003E-3</v>
      </c>
      <c r="AA64" s="1372"/>
      <c r="AB64" s="1372"/>
      <c r="AC64" s="1372"/>
      <c r="AD64" s="1372"/>
      <c r="AE64" s="1372"/>
      <c r="AF64" s="1372"/>
      <c r="AG64" s="1372"/>
      <c r="AH64" s="1372"/>
      <c r="AI64" s="1372"/>
      <c r="AJ64" s="1372"/>
      <c r="AK64" s="1372"/>
    </row>
    <row r="65" spans="1:37" s="1371" customFormat="1" ht="25.5">
      <c r="A65" s="2881" t="s">
        <v>2963</v>
      </c>
      <c r="B65" s="1726" t="str">
        <f>估价对象房地状况!C21</f>
        <v>估价对象所在区域公共配套设施齐备情况</v>
      </c>
      <c r="C65" s="2773" t="s">
        <v>3079</v>
      </c>
      <c r="D65" s="1287">
        <f t="shared" si="15"/>
        <v>3.8999999999999998E-3</v>
      </c>
      <c r="E65" s="820"/>
      <c r="F65" s="2504"/>
      <c r="G65" s="1285">
        <v>3.8999999999999998E-3</v>
      </c>
      <c r="H65" s="1289">
        <f t="shared" si="16"/>
        <v>3.8999999999999998E-3</v>
      </c>
      <c r="I65" s="818">
        <v>0.06</v>
      </c>
      <c r="J65" s="1286">
        <f t="shared" si="17"/>
        <v>7.7999999999999996E-3</v>
      </c>
      <c r="K65" s="1286">
        <f t="shared" si="18"/>
        <v>3.8999999999999998E-3</v>
      </c>
      <c r="L65" s="1286">
        <v>0</v>
      </c>
      <c r="M65" s="1286">
        <f t="shared" si="19"/>
        <v>-3.8999999999999998E-3</v>
      </c>
      <c r="N65" s="1286">
        <f t="shared" si="19"/>
        <v>-7.7999999999999996E-3</v>
      </c>
      <c r="AA65" s="1372"/>
      <c r="AB65" s="1372"/>
      <c r="AC65" s="1372"/>
      <c r="AD65" s="1372"/>
      <c r="AE65" s="1372"/>
      <c r="AF65" s="1372"/>
      <c r="AG65" s="1372"/>
      <c r="AH65" s="1372"/>
      <c r="AI65" s="1372"/>
      <c r="AJ65" s="1372"/>
      <c r="AK65" s="1372"/>
    </row>
    <row r="66" spans="1:37" s="1371" customFormat="1" ht="25.5">
      <c r="A66" s="2881" t="s">
        <v>2964</v>
      </c>
      <c r="B66" s="1726" t="str">
        <f>估价对象房地状况!C22</f>
        <v>估价对象所在区域基础设施水平</v>
      </c>
      <c r="C66" s="2773" t="s">
        <v>3079</v>
      </c>
      <c r="D66" s="1287">
        <f t="shared" si="15"/>
        <v>7.7999999999999996E-3</v>
      </c>
      <c r="E66" s="820"/>
      <c r="F66" s="2504"/>
      <c r="G66" s="1285">
        <v>7.7999999999999996E-3</v>
      </c>
      <c r="H66" s="1289">
        <f t="shared" si="16"/>
        <v>7.7999999999999996E-3</v>
      </c>
      <c r="I66" s="818">
        <v>0.12</v>
      </c>
      <c r="J66" s="1286">
        <f t="shared" si="17"/>
        <v>1.5599999999999999E-2</v>
      </c>
      <c r="K66" s="1286">
        <f t="shared" si="18"/>
        <v>7.7999999999999996E-3</v>
      </c>
      <c r="L66" s="1286">
        <v>0</v>
      </c>
      <c r="M66" s="1286">
        <f t="shared" si="19"/>
        <v>-7.7999999999999996E-3</v>
      </c>
      <c r="N66" s="1286">
        <f t="shared" si="19"/>
        <v>-1.5599999999999999E-2</v>
      </c>
      <c r="AA66" s="1372"/>
      <c r="AB66" s="1372"/>
      <c r="AC66" s="1372"/>
      <c r="AD66" s="1372"/>
      <c r="AE66" s="1372"/>
      <c r="AF66" s="1372"/>
      <c r="AG66" s="1372"/>
      <c r="AH66" s="1372"/>
      <c r="AI66" s="1372"/>
      <c r="AJ66" s="1372"/>
      <c r="AK66" s="1372"/>
    </row>
    <row r="67" spans="1:37" s="1371" customFormat="1" ht="39" thickBot="1">
      <c r="A67" s="2889" t="s">
        <v>2965</v>
      </c>
      <c r="B67" s="2891" t="str">
        <f>估价对象房地状况!C20</f>
        <v>区域自然环境：；人文环境；综合评价环境状况一般</v>
      </c>
      <c r="C67" s="2773" t="s">
        <v>3078</v>
      </c>
      <c r="D67" s="1287">
        <f t="shared" si="15"/>
        <v>0</v>
      </c>
      <c r="E67" s="823"/>
      <c r="F67" s="2504"/>
      <c r="G67" s="1285">
        <v>3.8999999999999998E-3</v>
      </c>
      <c r="H67" s="1289">
        <f t="shared" si="16"/>
        <v>3.8999999999999998E-3</v>
      </c>
      <c r="I67" s="822">
        <v>0.06</v>
      </c>
      <c r="J67" s="1286">
        <f t="shared" si="17"/>
        <v>7.7999999999999996E-3</v>
      </c>
      <c r="K67" s="1286">
        <f t="shared" si="18"/>
        <v>3.8999999999999998E-3</v>
      </c>
      <c r="L67" s="1286">
        <v>0</v>
      </c>
      <c r="M67" s="1286">
        <f t="shared" si="19"/>
        <v>-3.8999999999999998E-3</v>
      </c>
      <c r="N67" s="1286">
        <f t="shared" si="19"/>
        <v>-7.7999999999999996E-3</v>
      </c>
      <c r="AA67" s="1372"/>
      <c r="AB67" s="1372"/>
      <c r="AC67" s="1372"/>
      <c r="AD67" s="1372"/>
      <c r="AE67" s="1372"/>
      <c r="AF67" s="1372"/>
      <c r="AG67" s="1372"/>
      <c r="AH67" s="1372"/>
      <c r="AI67" s="1372"/>
      <c r="AJ67" s="1372"/>
      <c r="AK67" s="1372"/>
    </row>
    <row r="68" spans="1:37" s="1371" customFormat="1" ht="15">
      <c r="A68" s="2877" t="s">
        <v>2969</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2947</v>
      </c>
      <c r="B69" s="1810"/>
      <c r="C69" s="1810" t="s">
        <v>2949</v>
      </c>
      <c r="D69" s="1810" t="s">
        <v>2950</v>
      </c>
      <c r="E69" s="817" t="s">
        <v>2951</v>
      </c>
      <c r="F69" s="2882" t="s">
        <v>2967</v>
      </c>
      <c r="G69" s="1810" t="s">
        <v>754</v>
      </c>
      <c r="H69" s="2883" t="s">
        <v>2953</v>
      </c>
      <c r="I69" s="1810" t="s">
        <v>2954</v>
      </c>
      <c r="J69" s="601" t="s">
        <v>2602</v>
      </c>
      <c r="K69" s="601" t="s">
        <v>2603</v>
      </c>
      <c r="L69" s="601" t="s">
        <v>2604</v>
      </c>
      <c r="M69" s="601" t="s">
        <v>2605</v>
      </c>
      <c r="N69" s="601" t="s">
        <v>2606</v>
      </c>
      <c r="AA69" s="1372"/>
      <c r="AB69" s="1372"/>
      <c r="AC69" s="1372"/>
      <c r="AD69" s="1372"/>
      <c r="AE69" s="1372"/>
      <c r="AF69" s="1372"/>
      <c r="AG69" s="1372"/>
      <c r="AH69" s="1372"/>
      <c r="AI69" s="1372"/>
      <c r="AJ69" s="1372"/>
      <c r="AK69" s="1372"/>
    </row>
    <row r="70" spans="1:37" s="1371" customFormat="1" ht="51">
      <c r="A70" s="2881" t="s">
        <v>2970</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2956</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2957</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2971</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2963</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2964</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2961</v>
      </c>
      <c r="B76" s="2887" t="s">
        <v>2962</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2965</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2972</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2973</v>
      </c>
      <c r="B79" s="2878">
        <f>1+E81</f>
        <v>1</v>
      </c>
      <c r="C79" s="812"/>
      <c r="D79" s="812"/>
      <c r="E79" s="813"/>
      <c r="F79" s="2880"/>
      <c r="G79" s="6"/>
      <c r="H79" s="6"/>
      <c r="I79" s="6"/>
      <c r="J79" s="7"/>
      <c r="K79" s="7"/>
      <c r="L79" s="7"/>
      <c r="M79" s="7"/>
      <c r="N79" s="7"/>
      <c r="Z79" s="2723"/>
      <c r="AA79" s="2799"/>
      <c r="AG79" s="1373"/>
      <c r="AK79" s="2799"/>
    </row>
    <row r="80" spans="1:37" ht="24.75">
      <c r="A80" s="2881" t="s">
        <v>2947</v>
      </c>
      <c r="B80" s="1810"/>
      <c r="C80" s="1810" t="s">
        <v>2949</v>
      </c>
      <c r="D80" s="1810" t="s">
        <v>2950</v>
      </c>
      <c r="E80" s="817" t="s">
        <v>2951</v>
      </c>
      <c r="F80" s="2882" t="s">
        <v>2967</v>
      </c>
      <c r="G80" s="1810" t="s">
        <v>754</v>
      </c>
      <c r="H80" s="2883" t="s">
        <v>2953</v>
      </c>
      <c r="I80" s="1810" t="s">
        <v>2954</v>
      </c>
      <c r="J80" s="601" t="s">
        <v>2602</v>
      </c>
      <c r="K80" s="601" t="s">
        <v>2603</v>
      </c>
      <c r="L80" s="601" t="s">
        <v>2604</v>
      </c>
      <c r="M80" s="601" t="s">
        <v>2605</v>
      </c>
      <c r="N80" s="601" t="s">
        <v>2606</v>
      </c>
      <c r="Z80" s="2723"/>
      <c r="AA80" s="2799"/>
      <c r="AG80" s="1373"/>
      <c r="AK80" s="2799"/>
    </row>
    <row r="81" spans="1:37" ht="38.25">
      <c r="A81" s="2881" t="s">
        <v>2974</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2956</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2957</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2971</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2963</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2964</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2961</v>
      </c>
      <c r="B87" s="2887" t="s">
        <v>2975</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2976</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92" t="s">
        <v>2977</v>
      </c>
      <c r="B90" s="3292"/>
      <c r="C90" s="3292"/>
      <c r="D90" s="3292"/>
      <c r="E90" s="3292"/>
      <c r="F90" s="3292"/>
      <c r="G90" s="3292"/>
      <c r="H90" s="3292"/>
      <c r="I90" s="3292"/>
      <c r="J90" s="3292"/>
      <c r="K90" s="2895"/>
      <c r="L90" s="2895"/>
      <c r="M90" s="2895"/>
      <c r="N90" s="2895"/>
    </row>
    <row r="91" spans="1:37">
      <c r="A91" s="3294" t="s">
        <v>2978</v>
      </c>
      <c r="B91" s="3294" t="s">
        <v>2979</v>
      </c>
      <c r="C91" s="2849" t="s">
        <v>2980</v>
      </c>
      <c r="D91" s="2850"/>
      <c r="E91" s="2850"/>
      <c r="F91" s="2850"/>
      <c r="G91" s="2850"/>
      <c r="H91" s="2850"/>
      <c r="I91" s="2850"/>
      <c r="J91" s="2896"/>
      <c r="K91" s="2897"/>
      <c r="L91" s="2897"/>
      <c r="M91" s="2897"/>
      <c r="N91" s="2897"/>
    </row>
    <row r="92" spans="1:37">
      <c r="A92" s="3294"/>
      <c r="B92" s="3294"/>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95"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6"/>
      <c r="B99" s="2898" t="s">
        <v>2862</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97"/>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95" t="s">
        <v>2982</v>
      </c>
      <c r="B101" s="2902" t="s">
        <v>2983</v>
      </c>
      <c r="C101" s="2903">
        <f>$G$3</f>
        <v>5.82</v>
      </c>
      <c r="D101" s="2903">
        <f t="shared" ref="D101:N101" si="31">$G$3</f>
        <v>5.82</v>
      </c>
      <c r="E101" s="2903">
        <f t="shared" si="31"/>
        <v>5.82</v>
      </c>
      <c r="F101" s="2903">
        <f t="shared" si="31"/>
        <v>5.82</v>
      </c>
      <c r="G101" s="2903">
        <f t="shared" si="31"/>
        <v>5.82</v>
      </c>
      <c r="H101" s="2903">
        <f t="shared" si="31"/>
        <v>5.82</v>
      </c>
      <c r="I101" s="2903">
        <f t="shared" si="31"/>
        <v>5.82</v>
      </c>
      <c r="J101" s="2903">
        <f t="shared" si="31"/>
        <v>5.82</v>
      </c>
      <c r="K101" s="2903">
        <f t="shared" si="31"/>
        <v>5.82</v>
      </c>
      <c r="L101" s="2903">
        <f t="shared" si="31"/>
        <v>5.82</v>
      </c>
      <c r="M101" s="2903">
        <f t="shared" si="31"/>
        <v>5.82</v>
      </c>
      <c r="N101" s="2903">
        <f t="shared" si="31"/>
        <v>5.82</v>
      </c>
    </row>
    <row r="102" spans="1:14">
      <c r="A102" s="3296"/>
      <c r="B102" s="2898">
        <v>1</v>
      </c>
      <c r="C102" s="2899">
        <f>1.9362/C101</f>
        <v>0.33268041237113399</v>
      </c>
      <c r="D102" s="2899">
        <f>1.9362/D101</f>
        <v>0.33268041237113399</v>
      </c>
      <c r="E102" s="2899">
        <f>1.8629/E101</f>
        <v>0.32008591065292097</v>
      </c>
      <c r="F102" s="2899">
        <f>1.8629/F101</f>
        <v>0.32008591065292097</v>
      </c>
      <c r="G102" s="2899">
        <f>1.8629/G101</f>
        <v>0.32008591065292097</v>
      </c>
      <c r="H102" s="2899">
        <f>1.8629/H101</f>
        <v>0.32008591065292097</v>
      </c>
      <c r="I102" s="2899">
        <f>1.8629/I101</f>
        <v>0.32008591065292097</v>
      </c>
      <c r="J102" s="2899">
        <f>1.942/J101</f>
        <v>0.33367697594501716</v>
      </c>
      <c r="K102" s="2899">
        <f>1.942/K101</f>
        <v>0.33367697594501716</v>
      </c>
      <c r="L102" s="2899">
        <f>1.942/L101</f>
        <v>0.33367697594501716</v>
      </c>
      <c r="M102" s="2899">
        <f>1.942/M101</f>
        <v>0.33367697594501716</v>
      </c>
      <c r="N102" s="2899">
        <f>1.942/N101</f>
        <v>0.33367697594501716</v>
      </c>
    </row>
    <row r="103" spans="1:14">
      <c r="A103" s="3296"/>
      <c r="B103" s="2898">
        <v>2</v>
      </c>
      <c r="C103" s="2899">
        <f>1.4198/C101</f>
        <v>0.24395189003436424</v>
      </c>
      <c r="D103" s="2899">
        <f>1.4198/D101</f>
        <v>0.24395189003436424</v>
      </c>
      <c r="E103" s="2899">
        <f>1.3372/E101</f>
        <v>0.22975945017182128</v>
      </c>
      <c r="F103" s="2899">
        <f>1.3372/F101</f>
        <v>0.22975945017182128</v>
      </c>
      <c r="G103" s="2899">
        <f>1.3372/G101</f>
        <v>0.22975945017182128</v>
      </c>
      <c r="H103" s="2899">
        <f>1.3372/H101</f>
        <v>0.22975945017182128</v>
      </c>
      <c r="I103" s="2899">
        <f>1.3372/I101</f>
        <v>0.22975945017182128</v>
      </c>
      <c r="J103" s="2899">
        <f>1.2799/J101</f>
        <v>0.21991408934707904</v>
      </c>
      <c r="K103" s="2899">
        <f>1.2799/K101</f>
        <v>0.21991408934707904</v>
      </c>
      <c r="L103" s="2899">
        <f>1.2799/L101</f>
        <v>0.21991408934707904</v>
      </c>
      <c r="M103" s="2899">
        <f>1.2799/M101</f>
        <v>0.21991408934707904</v>
      </c>
      <c r="N103" s="2899">
        <f>1.2799/N101</f>
        <v>0.21991408934707904</v>
      </c>
    </row>
    <row r="104" spans="1:14">
      <c r="A104" s="3296"/>
      <c r="B104" s="2898">
        <v>3</v>
      </c>
      <c r="C104" s="2899">
        <f>1.1594/C101</f>
        <v>0.19920962199312714</v>
      </c>
      <c r="D104" s="2899">
        <f>1.1594/D101</f>
        <v>0.19920962199312714</v>
      </c>
      <c r="E104" s="2899">
        <f>1.0788/E101</f>
        <v>0.18536082474226803</v>
      </c>
      <c r="F104" s="2899">
        <f>1.0788/F101</f>
        <v>0.18536082474226803</v>
      </c>
      <c r="G104" s="2899">
        <f>1.0788/G101</f>
        <v>0.18536082474226803</v>
      </c>
      <c r="H104" s="2899">
        <f>1.0788/H101</f>
        <v>0.18536082474226803</v>
      </c>
      <c r="I104" s="2899">
        <f>1.0788/I101</f>
        <v>0.18536082474226803</v>
      </c>
      <c r="J104" s="2899">
        <f>1.0072/J101</f>
        <v>0.17305841924398627</v>
      </c>
      <c r="K104" s="2899">
        <f>1.0072/K101</f>
        <v>0.17305841924398627</v>
      </c>
      <c r="L104" s="2899">
        <f>1.0072/L101</f>
        <v>0.17305841924398627</v>
      </c>
      <c r="M104" s="2899">
        <f>1.0072/M101</f>
        <v>0.17305841924398627</v>
      </c>
      <c r="N104" s="2899">
        <f>1.0072/N101</f>
        <v>0.17305841924398627</v>
      </c>
    </row>
    <row r="105" spans="1:14">
      <c r="A105" s="3296"/>
      <c r="B105" s="2898">
        <v>4</v>
      </c>
      <c r="C105" s="2899">
        <f>0.9622/C101</f>
        <v>0.16532646048109967</v>
      </c>
      <c r="D105" s="2899">
        <f>0.9622/D101</f>
        <v>0.16532646048109967</v>
      </c>
      <c r="E105" s="2899">
        <f>0.8656/E101</f>
        <v>0.14872852233676975</v>
      </c>
      <c r="F105" s="2899">
        <f>0.8656/F101</f>
        <v>0.14872852233676975</v>
      </c>
      <c r="G105" s="2899">
        <f>0.8656/G101</f>
        <v>0.14872852233676975</v>
      </c>
      <c r="H105" s="2899">
        <f>0.8656/H101</f>
        <v>0.14872852233676975</v>
      </c>
      <c r="I105" s="2899">
        <f>0.8656/I101</f>
        <v>0.14872852233676975</v>
      </c>
      <c r="J105" s="2899">
        <f>0.7525/J101</f>
        <v>0.12929553264604809</v>
      </c>
      <c r="K105" s="2899">
        <f>0.7525/K101</f>
        <v>0.12929553264604809</v>
      </c>
      <c r="L105" s="2899">
        <f>0.7525/L101</f>
        <v>0.12929553264604809</v>
      </c>
      <c r="M105" s="2899">
        <f>0.7525/M101</f>
        <v>0.12929553264604809</v>
      </c>
      <c r="N105" s="2899">
        <f>0.7525/N101</f>
        <v>0.12929553264604809</v>
      </c>
    </row>
    <row r="106" spans="1:14">
      <c r="A106" s="3296"/>
      <c r="B106" s="2898">
        <v>5</v>
      </c>
      <c r="C106" s="2899">
        <f>0.8417/C101</f>
        <v>0.14462199312714777</v>
      </c>
      <c r="D106" s="2899">
        <f>0.8417/D101</f>
        <v>0.14462199312714777</v>
      </c>
      <c r="E106" s="2899">
        <f>0.7371/E101</f>
        <v>0.12664948453608246</v>
      </c>
      <c r="F106" s="2899">
        <f>0.7371/F101</f>
        <v>0.12664948453608246</v>
      </c>
      <c r="G106" s="2899">
        <f>0.7371/G101</f>
        <v>0.12664948453608246</v>
      </c>
      <c r="H106" s="2899">
        <f>0.7371/H101</f>
        <v>0.12664948453608246</v>
      </c>
      <c r="I106" s="2899">
        <f>0.7371/I101</f>
        <v>0.12664948453608246</v>
      </c>
      <c r="J106" s="2899">
        <f>0.5659/J101</f>
        <v>9.723367697594501E-2</v>
      </c>
      <c r="K106" s="2899">
        <f>0.5659/K101</f>
        <v>9.723367697594501E-2</v>
      </c>
      <c r="L106" s="2899">
        <f>0.5659/L101</f>
        <v>9.723367697594501E-2</v>
      </c>
      <c r="M106" s="2899">
        <f>0.5659/M101</f>
        <v>9.723367697594501E-2</v>
      </c>
      <c r="N106" s="2899">
        <f>0.5659/N101</f>
        <v>9.723367697594501E-2</v>
      </c>
    </row>
    <row r="107" spans="1:14">
      <c r="A107" s="3296"/>
      <c r="B107" s="2898">
        <v>6</v>
      </c>
      <c r="C107" s="2899">
        <f>0.7608/C101</f>
        <v>0.13072164948453607</v>
      </c>
      <c r="D107" s="2899">
        <f>0.7608/D101</f>
        <v>0.13072164948453607</v>
      </c>
      <c r="E107" s="2899">
        <f>0.6482/E101</f>
        <v>0.11137457044673539</v>
      </c>
      <c r="F107" s="2899">
        <f>0.6482/F101</f>
        <v>0.11137457044673539</v>
      </c>
      <c r="G107" s="2899">
        <f>0.6482/G101</f>
        <v>0.11137457044673539</v>
      </c>
      <c r="H107" s="2899">
        <f>0.6482/H101</f>
        <v>0.11137457044673539</v>
      </c>
      <c r="I107" s="2899">
        <f>0.6482/I101</f>
        <v>0.11137457044673539</v>
      </c>
      <c r="J107" s="2899">
        <f>0.4525/J101</f>
        <v>7.7749140893470792E-2</v>
      </c>
      <c r="K107" s="2899">
        <f>0.4525/K101</f>
        <v>7.7749140893470792E-2</v>
      </c>
      <c r="L107" s="2899">
        <f>0.4525/L101</f>
        <v>7.7749140893470792E-2</v>
      </c>
      <c r="M107" s="2899">
        <f>0.4525/M101</f>
        <v>7.7749140893470792E-2</v>
      </c>
      <c r="N107" s="2899">
        <f>0.4525/N101</f>
        <v>7.7749140893470792E-2</v>
      </c>
    </row>
    <row r="108" spans="1:14">
      <c r="A108" s="3296"/>
      <c r="B108" s="3154" t="s">
        <v>2984</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97"/>
      <c r="B109" s="3155"/>
      <c r="C109" s="2901">
        <f>(-0.163*(C108^2)-0.59*C108+7617)*(10^(-4))/C101</f>
        <v>0.13086335051546391</v>
      </c>
      <c r="D109" s="2901">
        <f>(-0.163*(D108^2)-0.59*D108+7617)*(10^(-4))/D101</f>
        <v>0.13086335051546391</v>
      </c>
      <c r="E109" s="2901">
        <f>(-0.161*(E108^2)-7.509*E108+6533)*(10^(-4))/E101</f>
        <v>0.11211907216494846</v>
      </c>
      <c r="F109" s="2901">
        <f>(-0.161*(F108^2)-7.509*F108+6533)*(10^(-4))/F101</f>
        <v>0.11211907216494846</v>
      </c>
      <c r="G109" s="2901">
        <f>(-0.161*(G108^2)-7.509*G108+6533)*(10^(-4))/G101</f>
        <v>0.11211907216494846</v>
      </c>
      <c r="H109" s="2901">
        <f>(-0.161*(H108^2)-7.509*H108+6533)*(10^(-4))/H101</f>
        <v>0.11211907216494846</v>
      </c>
      <c r="I109" s="2901">
        <f>(-0.161*(I108^2)-7.509*I108+6533)*(10^(-4))/I101</f>
        <v>0.11211907216494846</v>
      </c>
      <c r="J109" s="2901">
        <f>(-0.214*(J108^2)-21.991*J108+4665)*(10^(-4))/J101</f>
        <v>7.9773109965635733E-2</v>
      </c>
      <c r="K109" s="2901">
        <f>(-0.214*(K108^2)-21.991*K108+4665)*(10^(-4))/K101</f>
        <v>7.9773109965635733E-2</v>
      </c>
      <c r="L109" s="2901">
        <f>(-0.214*(L108^2)-21.991*L108+4665)*(10^(-4))/L101</f>
        <v>7.9773109965635733E-2</v>
      </c>
      <c r="M109" s="2901">
        <f>(-0.214*(M108^2)-21.991*M108+4665)*(10^(-4))/M101</f>
        <v>7.9773109965635733E-2</v>
      </c>
      <c r="N109" s="2901">
        <f>(-0.214*(N108^2)-21.991*N108+4665)*(10^(-4))/N101</f>
        <v>7.9773109965635733E-2</v>
      </c>
    </row>
    <row r="110" spans="1:14">
      <c r="A110" s="3293" t="s">
        <v>2985</v>
      </c>
      <c r="B110" s="3293"/>
      <c r="C110" s="3293"/>
      <c r="D110" s="3293"/>
      <c r="E110" s="3293"/>
      <c r="F110" s="3293"/>
      <c r="G110" s="3293"/>
      <c r="H110" s="3293"/>
      <c r="I110" s="3293"/>
      <c r="J110" s="3293"/>
      <c r="K110" s="2904"/>
      <c r="L110" s="2904"/>
      <c r="M110" s="2904"/>
      <c r="N110" s="2904"/>
    </row>
    <row r="112" spans="1:14" ht="13.5" thickBot="1"/>
    <row r="113" spans="1:13" ht="25.5" thickBot="1">
      <c r="A113" s="901" t="s">
        <v>2986</v>
      </c>
      <c r="B113" s="1288">
        <f>G3</f>
        <v>5.82</v>
      </c>
      <c r="C113" s="902" t="s">
        <v>2987</v>
      </c>
      <c r="D113" s="903">
        <f>SUMPRODUCT((A115:A118=F113)*(B114:M114=H113)*B115:M118)</f>
        <v>0.78100000000000003</v>
      </c>
      <c r="E113" s="2727" t="s">
        <v>2819</v>
      </c>
      <c r="F113" s="2906" t="str">
        <f>E2</f>
        <v>办公</v>
      </c>
      <c r="G113" s="2727" t="s">
        <v>2820</v>
      </c>
      <c r="H113" s="2906" t="str">
        <f>G2</f>
        <v>七级</v>
      </c>
      <c r="I113" s="2727"/>
      <c r="J113" s="2907"/>
      <c r="K113" s="2907"/>
      <c r="L113" s="2907"/>
      <c r="M113" s="2907"/>
    </row>
    <row r="114" spans="1:13">
      <c r="A114" s="906"/>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1" t="s">
        <v>183</v>
      </c>
      <c r="B18" s="880" t="s">
        <v>560</v>
      </c>
      <c r="C18" s="881" t="s">
        <v>561</v>
      </c>
      <c r="D18" s="882"/>
      <c r="E18" s="880">
        <v>1</v>
      </c>
      <c r="F18" s="883" t="s">
        <v>562</v>
      </c>
      <c r="G18" s="884"/>
      <c r="H18" s="876"/>
      <c r="I18" s="876"/>
    </row>
    <row r="19" spans="1:9" s="885" customFormat="1" ht="19.5" customHeight="1">
      <c r="A19" s="3301"/>
      <c r="B19" s="3301" t="s">
        <v>563</v>
      </c>
      <c r="C19" s="881" t="s">
        <v>564</v>
      </c>
      <c r="D19" s="882"/>
      <c r="E19" s="880">
        <v>0.9</v>
      </c>
      <c r="F19" s="883" t="s">
        <v>565</v>
      </c>
      <c r="G19" s="884"/>
      <c r="H19" s="876"/>
      <c r="I19" s="876"/>
    </row>
    <row r="20" spans="1:9" s="885" customFormat="1" ht="19.5" customHeight="1">
      <c r="A20" s="3301"/>
      <c r="B20" s="3301"/>
      <c r="C20" s="881" t="s">
        <v>566</v>
      </c>
      <c r="D20" s="882"/>
      <c r="E20" s="880">
        <v>1.1000000000000001</v>
      </c>
      <c r="F20" s="883" t="s">
        <v>567</v>
      </c>
      <c r="G20" s="884"/>
      <c r="H20" s="876"/>
      <c r="I20" s="876"/>
    </row>
    <row r="21" spans="1:9" s="885" customFormat="1" ht="19.5" customHeight="1">
      <c r="A21" s="3301"/>
      <c r="B21" s="3301"/>
      <c r="C21" s="881" t="s">
        <v>568</v>
      </c>
      <c r="D21" s="882"/>
      <c r="E21" s="880">
        <v>0.8</v>
      </c>
      <c r="F21" s="883" t="s">
        <v>569</v>
      </c>
      <c r="G21" s="884"/>
      <c r="H21" s="876"/>
      <c r="I21" s="876"/>
    </row>
    <row r="22" spans="1:9" s="885" customFormat="1" ht="19.5" customHeight="1">
      <c r="A22" s="3301"/>
      <c r="B22" s="3301"/>
      <c r="C22" s="881" t="s">
        <v>570</v>
      </c>
      <c r="D22" s="882"/>
      <c r="E22" s="880">
        <v>0.5</v>
      </c>
      <c r="F22" s="883"/>
      <c r="G22" s="884"/>
      <c r="H22" s="876"/>
      <c r="I22" s="876"/>
    </row>
    <row r="23" spans="1:9" s="885" customFormat="1" ht="19.5" customHeight="1">
      <c r="A23" s="3301" t="s">
        <v>184</v>
      </c>
      <c r="B23" s="880" t="s">
        <v>560</v>
      </c>
      <c r="C23" s="881" t="s">
        <v>571</v>
      </c>
      <c r="D23" s="882"/>
      <c r="E23" s="880">
        <v>1</v>
      </c>
      <c r="F23" s="883" t="s">
        <v>572</v>
      </c>
      <c r="G23" s="884"/>
      <c r="H23" s="876"/>
      <c r="I23" s="876"/>
    </row>
    <row r="24" spans="1:9" s="885" customFormat="1" ht="19.5" customHeight="1">
      <c r="A24" s="3301"/>
      <c r="B24" s="3301" t="s">
        <v>563</v>
      </c>
      <c r="C24" s="881" t="s">
        <v>573</v>
      </c>
      <c r="D24" s="882"/>
      <c r="E24" s="880">
        <v>0.5</v>
      </c>
      <c r="F24" s="883"/>
      <c r="G24" s="884"/>
      <c r="H24" s="876"/>
      <c r="I24" s="876"/>
    </row>
    <row r="25" spans="1:9" s="885" customFormat="1" ht="19.5" customHeight="1">
      <c r="A25" s="3301"/>
      <c r="B25" s="3301"/>
      <c r="C25" s="881" t="s">
        <v>574</v>
      </c>
      <c r="D25" s="882"/>
      <c r="E25" s="880">
        <v>1.1000000000000001</v>
      </c>
      <c r="F25" s="883"/>
      <c r="G25" s="884"/>
      <c r="H25" s="876"/>
      <c r="I25" s="876"/>
    </row>
    <row r="26" spans="1:9" s="885" customFormat="1" ht="19.5" customHeight="1">
      <c r="A26" s="3301"/>
      <c r="B26" s="3301"/>
      <c r="C26" s="881" t="s">
        <v>575</v>
      </c>
      <c r="D26" s="882"/>
      <c r="E26" s="880">
        <v>1.1000000000000001</v>
      </c>
      <c r="F26" s="883"/>
      <c r="G26" s="884"/>
      <c r="H26" s="876"/>
      <c r="I26" s="876"/>
    </row>
    <row r="27" spans="1:9" s="885" customFormat="1" ht="19.5" customHeight="1">
      <c r="A27" s="3301"/>
      <c r="B27" s="3301"/>
      <c r="C27" s="881" t="s">
        <v>576</v>
      </c>
      <c r="D27" s="882"/>
      <c r="E27" s="880">
        <v>0.9</v>
      </c>
      <c r="F27" s="883" t="s">
        <v>577</v>
      </c>
      <c r="G27" s="884"/>
      <c r="H27" s="876"/>
      <c r="I27" s="876"/>
    </row>
    <row r="28" spans="1:9" s="885" customFormat="1" ht="19.5" customHeight="1">
      <c r="A28" s="3301"/>
      <c r="B28" s="3301"/>
      <c r="C28" s="881" t="s">
        <v>578</v>
      </c>
      <c r="D28" s="882"/>
      <c r="E28" s="880">
        <v>0.9</v>
      </c>
      <c r="F28" s="883" t="s">
        <v>579</v>
      </c>
      <c r="G28" s="884"/>
      <c r="H28" s="876"/>
      <c r="I28" s="876"/>
    </row>
    <row r="29" spans="1:9" s="885" customFormat="1" ht="19.5" customHeight="1">
      <c r="A29" s="3301"/>
      <c r="B29" s="3301"/>
      <c r="C29" s="881" t="s">
        <v>580</v>
      </c>
      <c r="D29" s="882"/>
      <c r="E29" s="880">
        <v>0.9</v>
      </c>
      <c r="F29" s="883" t="s">
        <v>581</v>
      </c>
      <c r="G29" s="884"/>
      <c r="H29" s="876"/>
      <c r="I29" s="876"/>
    </row>
    <row r="30" spans="1:9" s="885" customFormat="1" ht="19.5" customHeight="1">
      <c r="A30" s="3301"/>
      <c r="B30" s="3301"/>
      <c r="C30" s="881" t="s">
        <v>582</v>
      </c>
      <c r="D30" s="882"/>
      <c r="E30" s="880">
        <v>0.9</v>
      </c>
      <c r="F30" s="883" t="s">
        <v>583</v>
      </c>
      <c r="G30" s="884"/>
      <c r="H30" s="876"/>
      <c r="I30" s="876"/>
    </row>
    <row r="31" spans="1:9" s="885" customFormat="1" ht="19.5" customHeight="1">
      <c r="A31" s="3301"/>
      <c r="B31" s="3301"/>
      <c r="C31" s="881" t="s">
        <v>584</v>
      </c>
      <c r="D31" s="882"/>
      <c r="E31" s="880">
        <v>0.8</v>
      </c>
      <c r="F31" s="883" t="s">
        <v>585</v>
      </c>
      <c r="G31" s="884"/>
      <c r="H31" s="876"/>
      <c r="I31" s="876"/>
    </row>
    <row r="32" spans="1:9" s="885" customFormat="1" ht="19.5" customHeight="1">
      <c r="A32" s="3301"/>
      <c r="B32" s="3301"/>
      <c r="C32" s="881" t="s">
        <v>586</v>
      </c>
      <c r="D32" s="882"/>
      <c r="E32" s="880">
        <v>0.8</v>
      </c>
      <c r="F32" s="883" t="s">
        <v>587</v>
      </c>
      <c r="G32" s="884"/>
      <c r="H32" s="876"/>
      <c r="I32" s="876"/>
    </row>
    <row r="33" spans="1:9" s="885" customFormat="1" ht="19.5" customHeight="1">
      <c r="A33" s="3301" t="s">
        <v>185</v>
      </c>
      <c r="B33" s="880" t="s">
        <v>560</v>
      </c>
      <c r="C33" s="881" t="s">
        <v>588</v>
      </c>
      <c r="D33" s="882"/>
      <c r="E33" s="880">
        <v>1</v>
      </c>
      <c r="F33" s="883" t="s">
        <v>589</v>
      </c>
      <c r="G33" s="884"/>
      <c r="H33" s="876"/>
      <c r="I33" s="876"/>
    </row>
    <row r="34" spans="1:9" s="885" customFormat="1" ht="19.5" customHeight="1">
      <c r="A34" s="3301"/>
      <c r="B34" s="880" t="s">
        <v>563</v>
      </c>
      <c r="C34" s="881" t="s">
        <v>590</v>
      </c>
      <c r="D34" s="882"/>
      <c r="E34" s="880">
        <v>1.5</v>
      </c>
      <c r="F34" s="883" t="s">
        <v>591</v>
      </c>
      <c r="G34" s="884"/>
      <c r="H34" s="876"/>
      <c r="I34" s="876"/>
    </row>
    <row r="35" spans="1:9" s="885" customFormat="1" ht="19.5" customHeight="1">
      <c r="A35" s="3301" t="s">
        <v>186</v>
      </c>
      <c r="B35" s="880" t="s">
        <v>560</v>
      </c>
      <c r="C35" s="881" t="s">
        <v>592</v>
      </c>
      <c r="D35" s="882"/>
      <c r="E35" s="880">
        <v>1</v>
      </c>
      <c r="F35" s="883" t="s">
        <v>593</v>
      </c>
      <c r="G35" s="884"/>
      <c r="H35" s="876"/>
      <c r="I35" s="876"/>
    </row>
    <row r="36" spans="1:9" s="885" customFormat="1" ht="19.5" customHeight="1">
      <c r="A36" s="3301"/>
      <c r="B36" s="3301" t="s">
        <v>563</v>
      </c>
      <c r="C36" s="881" t="s">
        <v>594</v>
      </c>
      <c r="D36" s="882"/>
      <c r="E36" s="880">
        <v>1</v>
      </c>
      <c r="F36" s="883" t="s">
        <v>595</v>
      </c>
      <c r="G36" s="884"/>
      <c r="H36" s="876"/>
      <c r="I36" s="876"/>
    </row>
    <row r="37" spans="1:9" s="885" customFormat="1" ht="19.5" customHeight="1">
      <c r="A37" s="3301"/>
      <c r="B37" s="3301"/>
      <c r="C37" s="881" t="s">
        <v>596</v>
      </c>
      <c r="D37" s="882"/>
      <c r="E37" s="880">
        <v>1.5</v>
      </c>
      <c r="F37" s="883" t="s">
        <v>597</v>
      </c>
      <c r="G37" s="884"/>
      <c r="H37" s="876"/>
      <c r="I37" s="876"/>
    </row>
    <row r="38" spans="1:9" s="885" customFormat="1" ht="19.5" customHeight="1">
      <c r="A38" s="3301"/>
      <c r="B38" s="3301"/>
      <c r="C38" s="881" t="s">
        <v>598</v>
      </c>
      <c r="D38" s="882"/>
      <c r="E38" s="880">
        <v>1</v>
      </c>
      <c r="F38" s="883" t="s">
        <v>599</v>
      </c>
      <c r="G38" s="884"/>
      <c r="H38" s="876"/>
      <c r="I38" s="876"/>
    </row>
    <row r="39" spans="1:9" s="885" customFormat="1" ht="19.5" customHeight="1">
      <c r="A39" s="3301"/>
      <c r="B39" s="330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1" t="s">
        <v>614</v>
      </c>
      <c r="C61" s="816" t="s">
        <v>615</v>
      </c>
      <c r="D61" s="816" t="s">
        <v>616</v>
      </c>
      <c r="E61" s="893">
        <v>0.5</v>
      </c>
      <c r="F61" s="880">
        <v>80</v>
      </c>
    </row>
    <row r="62" spans="1:8" s="876" customFormat="1" ht="24">
      <c r="A62" s="880">
        <v>2</v>
      </c>
      <c r="B62" s="3301"/>
      <c r="C62" s="816" t="s">
        <v>617</v>
      </c>
      <c r="D62" s="816" t="s">
        <v>618</v>
      </c>
      <c r="E62" s="893">
        <v>0.5</v>
      </c>
      <c r="F62" s="880">
        <v>80</v>
      </c>
    </row>
    <row r="63" spans="1:8" s="876" customFormat="1" ht="36">
      <c r="A63" s="880">
        <v>3</v>
      </c>
      <c r="B63" s="3301"/>
      <c r="C63" s="816" t="s">
        <v>619</v>
      </c>
      <c r="D63" s="816" t="s">
        <v>620</v>
      </c>
      <c r="E63" s="893">
        <v>0.5</v>
      </c>
      <c r="F63" s="880">
        <v>80</v>
      </c>
    </row>
    <row r="64" spans="1:8" s="876" customFormat="1" ht="36">
      <c r="A64" s="880">
        <v>4</v>
      </c>
      <c r="B64" s="3301"/>
      <c r="C64" s="816" t="s">
        <v>621</v>
      </c>
      <c r="D64" s="816" t="s">
        <v>622</v>
      </c>
      <c r="E64" s="893">
        <v>0.4</v>
      </c>
      <c r="F64" s="880">
        <v>60</v>
      </c>
    </row>
    <row r="65" spans="1:6" s="876" customFormat="1" ht="36">
      <c r="A65" s="880">
        <v>5</v>
      </c>
      <c r="B65" s="3301"/>
      <c r="C65" s="816" t="s">
        <v>623</v>
      </c>
      <c r="D65" s="816" t="s">
        <v>624</v>
      </c>
      <c r="E65" s="893">
        <v>0.2</v>
      </c>
      <c r="F65" s="880">
        <v>30</v>
      </c>
    </row>
    <row r="66" spans="1:6" s="876" customFormat="1" ht="36">
      <c r="A66" s="880">
        <v>6</v>
      </c>
      <c r="B66" s="3301"/>
      <c r="C66" s="816" t="s">
        <v>625</v>
      </c>
      <c r="D66" s="816" t="s">
        <v>626</v>
      </c>
      <c r="E66" s="893">
        <v>0.3</v>
      </c>
      <c r="F66" s="880">
        <v>50</v>
      </c>
    </row>
    <row r="67" spans="1:6" s="876" customFormat="1" ht="36">
      <c r="A67" s="880">
        <v>7</v>
      </c>
      <c r="B67" s="3301"/>
      <c r="C67" s="816" t="s">
        <v>627</v>
      </c>
      <c r="D67" s="816" t="s">
        <v>628</v>
      </c>
      <c r="E67" s="893">
        <v>0.2</v>
      </c>
      <c r="F67" s="880">
        <v>30</v>
      </c>
    </row>
    <row r="68" spans="1:6" s="876" customFormat="1" ht="36">
      <c r="A68" s="880">
        <v>8</v>
      </c>
      <c r="B68" s="3301"/>
      <c r="C68" s="816" t="s">
        <v>629</v>
      </c>
      <c r="D68" s="816" t="s">
        <v>630</v>
      </c>
      <c r="E68" s="893">
        <v>0.2</v>
      </c>
      <c r="F68" s="880">
        <v>30</v>
      </c>
    </row>
    <row r="69" spans="1:6" s="876" customFormat="1" ht="36">
      <c r="A69" s="880">
        <v>9</v>
      </c>
      <c r="B69" s="3301"/>
      <c r="C69" s="816" t="s">
        <v>631</v>
      </c>
      <c r="D69" s="816" t="s">
        <v>632</v>
      </c>
      <c r="E69" s="893">
        <v>0.2</v>
      </c>
      <c r="F69" s="880">
        <v>30</v>
      </c>
    </row>
    <row r="70" spans="1:6" s="876" customFormat="1" ht="48">
      <c r="A70" s="880">
        <v>10</v>
      </c>
      <c r="B70" s="3301"/>
      <c r="C70" s="816" t="s">
        <v>633</v>
      </c>
      <c r="D70" s="816" t="s">
        <v>634</v>
      </c>
      <c r="E70" s="893">
        <v>0.2</v>
      </c>
      <c r="F70" s="880">
        <v>30</v>
      </c>
    </row>
    <row r="71" spans="1:6" s="876" customFormat="1" ht="48">
      <c r="A71" s="880">
        <v>11</v>
      </c>
      <c r="B71" s="3301"/>
      <c r="C71" s="816" t="s">
        <v>635</v>
      </c>
      <c r="D71" s="816" t="s">
        <v>636</v>
      </c>
      <c r="E71" s="893">
        <v>0.2</v>
      </c>
      <c r="F71" s="880">
        <v>30</v>
      </c>
    </row>
    <row r="72" spans="1:6" s="876" customFormat="1" ht="36">
      <c r="A72" s="880">
        <v>12</v>
      </c>
      <c r="B72" s="3301"/>
      <c r="C72" s="816" t="s">
        <v>637</v>
      </c>
      <c r="D72" s="816" t="s">
        <v>638</v>
      </c>
      <c r="E72" s="893">
        <v>0.5</v>
      </c>
      <c r="F72" s="880">
        <v>80</v>
      </c>
    </row>
    <row r="73" spans="1:6" s="876" customFormat="1" ht="24">
      <c r="A73" s="880">
        <v>13</v>
      </c>
      <c r="B73" s="3301"/>
      <c r="C73" s="816" t="s">
        <v>639</v>
      </c>
      <c r="D73" s="816" t="s">
        <v>640</v>
      </c>
      <c r="E73" s="893">
        <v>0.4</v>
      </c>
      <c r="F73" s="880">
        <v>60</v>
      </c>
    </row>
    <row r="74" spans="1:6" s="876" customFormat="1" ht="24">
      <c r="A74" s="880">
        <v>14</v>
      </c>
      <c r="B74" s="3301"/>
      <c r="C74" s="816" t="s">
        <v>641</v>
      </c>
      <c r="D74" s="816" t="s">
        <v>642</v>
      </c>
      <c r="E74" s="893">
        <v>0.2</v>
      </c>
      <c r="F74" s="880">
        <v>30</v>
      </c>
    </row>
    <row r="75" spans="1:6" s="876" customFormat="1" ht="24">
      <c r="A75" s="880">
        <v>15</v>
      </c>
      <c r="B75" s="3301"/>
      <c r="C75" s="816" t="s">
        <v>643</v>
      </c>
      <c r="D75" s="816" t="s">
        <v>644</v>
      </c>
      <c r="E75" s="893">
        <v>0.2</v>
      </c>
      <c r="F75" s="880">
        <v>30</v>
      </c>
    </row>
    <row r="76" spans="1:6" s="876" customFormat="1" ht="24">
      <c r="A76" s="880">
        <v>16</v>
      </c>
      <c r="B76" s="3301" t="s">
        <v>645</v>
      </c>
      <c r="C76" s="816" t="s">
        <v>646</v>
      </c>
      <c r="D76" s="816" t="s">
        <v>647</v>
      </c>
      <c r="E76" s="893">
        <v>0.5</v>
      </c>
      <c r="F76" s="880">
        <v>80</v>
      </c>
    </row>
    <row r="77" spans="1:6" s="876" customFormat="1" ht="24">
      <c r="A77" s="880">
        <v>17</v>
      </c>
      <c r="B77" s="3301"/>
      <c r="C77" s="816" t="s">
        <v>648</v>
      </c>
      <c r="D77" s="816" t="s">
        <v>649</v>
      </c>
      <c r="E77" s="893">
        <v>0.5</v>
      </c>
      <c r="F77" s="880">
        <v>80</v>
      </c>
    </row>
    <row r="78" spans="1:6" s="876" customFormat="1" ht="24">
      <c r="A78" s="880">
        <v>18</v>
      </c>
      <c r="B78" s="3301"/>
      <c r="C78" s="816" t="s">
        <v>650</v>
      </c>
      <c r="D78" s="816" t="s">
        <v>651</v>
      </c>
      <c r="E78" s="893">
        <v>0.2</v>
      </c>
      <c r="F78" s="880">
        <v>30</v>
      </c>
    </row>
    <row r="79" spans="1:6" s="876" customFormat="1" ht="24">
      <c r="A79" s="880">
        <v>19</v>
      </c>
      <c r="B79" s="3301"/>
      <c r="C79" s="816" t="s">
        <v>652</v>
      </c>
      <c r="D79" s="816" t="s">
        <v>653</v>
      </c>
      <c r="E79" s="893">
        <v>0.5</v>
      </c>
      <c r="F79" s="880">
        <v>80</v>
      </c>
    </row>
    <row r="80" spans="1:6" s="876" customFormat="1" ht="36">
      <c r="A80" s="880">
        <v>20</v>
      </c>
      <c r="B80" s="3301"/>
      <c r="C80" s="816" t="s">
        <v>654</v>
      </c>
      <c r="D80" s="816" t="s">
        <v>655</v>
      </c>
      <c r="E80" s="893">
        <v>0.2</v>
      </c>
      <c r="F80" s="880">
        <v>30</v>
      </c>
    </row>
    <row r="81" spans="1:6" s="876" customFormat="1" ht="36">
      <c r="A81" s="880">
        <v>21</v>
      </c>
      <c r="B81" s="3301"/>
      <c r="C81" s="816" t="s">
        <v>656</v>
      </c>
      <c r="D81" s="816" t="s">
        <v>657</v>
      </c>
      <c r="E81" s="893">
        <v>0.2</v>
      </c>
      <c r="F81" s="880">
        <v>30</v>
      </c>
    </row>
    <row r="82" spans="1:6" s="876" customFormat="1" ht="48">
      <c r="A82" s="880">
        <v>22</v>
      </c>
      <c r="B82" s="3301"/>
      <c r="C82" s="816" t="s">
        <v>658</v>
      </c>
      <c r="D82" s="816" t="s">
        <v>659</v>
      </c>
      <c r="E82" s="893">
        <v>0.2</v>
      </c>
      <c r="F82" s="880">
        <v>30</v>
      </c>
    </row>
    <row r="83" spans="1:6" s="876" customFormat="1" ht="48">
      <c r="A83" s="880">
        <v>23</v>
      </c>
      <c r="B83" s="3301"/>
      <c r="C83" s="816" t="s">
        <v>660</v>
      </c>
      <c r="D83" s="816" t="s">
        <v>661</v>
      </c>
      <c r="E83" s="893">
        <v>0.2</v>
      </c>
      <c r="F83" s="880">
        <v>30</v>
      </c>
    </row>
    <row r="84" spans="1:6" s="876" customFormat="1" ht="36">
      <c r="A84" s="880">
        <v>24</v>
      </c>
      <c r="B84" s="3301"/>
      <c r="C84" s="816" t="s">
        <v>662</v>
      </c>
      <c r="D84" s="816" t="s">
        <v>663</v>
      </c>
      <c r="E84" s="893">
        <v>0.2</v>
      </c>
      <c r="F84" s="880">
        <v>30</v>
      </c>
    </row>
    <row r="85" spans="1:6" s="876" customFormat="1" ht="36">
      <c r="A85" s="880">
        <v>25</v>
      </c>
      <c r="B85" s="3301"/>
      <c r="C85" s="816" t="s">
        <v>664</v>
      </c>
      <c r="D85" s="816" t="s">
        <v>665</v>
      </c>
      <c r="E85" s="893">
        <v>0.5</v>
      </c>
      <c r="F85" s="880">
        <v>80</v>
      </c>
    </row>
    <row r="86" spans="1:6" s="876" customFormat="1" ht="36">
      <c r="A86" s="880">
        <v>26</v>
      </c>
      <c r="B86" s="3301"/>
      <c r="C86" s="816" t="s">
        <v>666</v>
      </c>
      <c r="D86" s="816" t="s">
        <v>667</v>
      </c>
      <c r="E86" s="893">
        <v>0.2</v>
      </c>
      <c r="F86" s="880">
        <v>30</v>
      </c>
    </row>
    <row r="87" spans="1:6" s="876" customFormat="1" ht="36">
      <c r="A87" s="880">
        <v>27</v>
      </c>
      <c r="B87" s="3301"/>
      <c r="C87" s="816" t="s">
        <v>668</v>
      </c>
      <c r="D87" s="816" t="s">
        <v>669</v>
      </c>
      <c r="E87" s="893">
        <v>0.2</v>
      </c>
      <c r="F87" s="880">
        <v>30</v>
      </c>
    </row>
    <row r="88" spans="1:6" s="876" customFormat="1" ht="36">
      <c r="A88" s="880">
        <v>28</v>
      </c>
      <c r="B88" s="3301"/>
      <c r="C88" s="816" t="s">
        <v>670</v>
      </c>
      <c r="D88" s="816" t="s">
        <v>671</v>
      </c>
      <c r="E88" s="893">
        <v>0.2</v>
      </c>
      <c r="F88" s="880">
        <v>30</v>
      </c>
    </row>
    <row r="89" spans="1:6" s="876" customFormat="1" ht="24">
      <c r="A89" s="880">
        <v>29</v>
      </c>
      <c r="B89" s="3301"/>
      <c r="C89" s="816" t="s">
        <v>672</v>
      </c>
      <c r="D89" s="816" t="s">
        <v>673</v>
      </c>
      <c r="E89" s="893">
        <v>0.2</v>
      </c>
      <c r="F89" s="880">
        <v>30</v>
      </c>
    </row>
    <row r="90" spans="1:6" s="876" customFormat="1" ht="24">
      <c r="A90" s="880">
        <v>30</v>
      </c>
      <c r="B90" s="3301"/>
      <c r="C90" s="816" t="s">
        <v>674</v>
      </c>
      <c r="D90" s="816" t="s">
        <v>675</v>
      </c>
      <c r="E90" s="893">
        <v>0.2</v>
      </c>
      <c r="F90" s="880">
        <v>30</v>
      </c>
    </row>
    <row r="91" spans="1:6" s="876" customFormat="1" ht="36">
      <c r="A91" s="880">
        <v>31</v>
      </c>
      <c r="B91" s="3301"/>
      <c r="C91" s="816" t="s">
        <v>676</v>
      </c>
      <c r="D91" s="816" t="s">
        <v>677</v>
      </c>
      <c r="E91" s="893">
        <v>0.2</v>
      </c>
      <c r="F91" s="880">
        <v>30</v>
      </c>
    </row>
    <row r="92" spans="1:6" s="876" customFormat="1" ht="24">
      <c r="A92" s="880">
        <v>32</v>
      </c>
      <c r="B92" s="3301" t="s">
        <v>678</v>
      </c>
      <c r="C92" s="880" t="s">
        <v>679</v>
      </c>
      <c r="D92" s="816" t="s">
        <v>680</v>
      </c>
      <c r="E92" s="893">
        <v>0.2</v>
      </c>
      <c r="F92" s="880">
        <v>30</v>
      </c>
    </row>
    <row r="93" spans="1:6" s="876" customFormat="1" ht="36">
      <c r="A93" s="880">
        <v>33</v>
      </c>
      <c r="B93" s="3301"/>
      <c r="C93" s="880" t="s">
        <v>681</v>
      </c>
      <c r="D93" s="816" t="s">
        <v>682</v>
      </c>
      <c r="E93" s="893">
        <v>0.2</v>
      </c>
      <c r="F93" s="880">
        <v>30</v>
      </c>
    </row>
    <row r="94" spans="1:6" s="876" customFormat="1" ht="48">
      <c r="A94" s="880">
        <v>34</v>
      </c>
      <c r="B94" s="3301"/>
      <c r="C94" s="880" t="s">
        <v>683</v>
      </c>
      <c r="D94" s="816" t="s">
        <v>684</v>
      </c>
      <c r="E94" s="893">
        <v>0.2</v>
      </c>
      <c r="F94" s="880">
        <v>30</v>
      </c>
    </row>
    <row r="95" spans="1:6" s="876" customFormat="1" ht="36">
      <c r="A95" s="880">
        <v>35</v>
      </c>
      <c r="B95" s="3301"/>
      <c r="C95" s="880" t="s">
        <v>685</v>
      </c>
      <c r="D95" s="816" t="s">
        <v>686</v>
      </c>
      <c r="E95" s="893">
        <v>0.2</v>
      </c>
      <c r="F95" s="880">
        <v>30</v>
      </c>
    </row>
    <row r="96" spans="1:6" s="876" customFormat="1" ht="48">
      <c r="A96" s="880">
        <v>36</v>
      </c>
      <c r="B96" s="3301"/>
      <c r="C96" s="816" t="s">
        <v>687</v>
      </c>
      <c r="D96" s="816" t="s">
        <v>688</v>
      </c>
      <c r="E96" s="893">
        <v>0.2</v>
      </c>
      <c r="F96" s="880">
        <v>30</v>
      </c>
    </row>
    <row r="97" spans="1:6" s="876" customFormat="1" ht="36">
      <c r="A97" s="880">
        <v>37</v>
      </c>
      <c r="B97" s="3301"/>
      <c r="C97" s="880" t="s">
        <v>689</v>
      </c>
      <c r="D97" s="816" t="s">
        <v>690</v>
      </c>
      <c r="E97" s="893">
        <v>0.2</v>
      </c>
      <c r="F97" s="880">
        <v>30</v>
      </c>
    </row>
    <row r="98" spans="1:6" s="876" customFormat="1" ht="36">
      <c r="A98" s="880">
        <v>38</v>
      </c>
      <c r="B98" s="3301"/>
      <c r="C98" s="880" t="s">
        <v>691</v>
      </c>
      <c r="D98" s="816" t="s">
        <v>692</v>
      </c>
      <c r="E98" s="893">
        <v>0.2</v>
      </c>
      <c r="F98" s="880">
        <v>30</v>
      </c>
    </row>
    <row r="99" spans="1:6" s="876" customFormat="1" ht="36">
      <c r="A99" s="880">
        <v>39</v>
      </c>
      <c r="B99" s="3301" t="s">
        <v>693</v>
      </c>
      <c r="C99" s="880" t="s">
        <v>694</v>
      </c>
      <c r="D99" s="816" t="s">
        <v>695</v>
      </c>
      <c r="E99" s="893">
        <v>0.3</v>
      </c>
      <c r="F99" s="880">
        <v>50</v>
      </c>
    </row>
    <row r="100" spans="1:6" s="876" customFormat="1" ht="24">
      <c r="A100" s="880">
        <v>40</v>
      </c>
      <c r="B100" s="3301"/>
      <c r="C100" s="880" t="s">
        <v>696</v>
      </c>
      <c r="D100" s="816" t="s">
        <v>697</v>
      </c>
      <c r="E100" s="893">
        <v>0.2</v>
      </c>
      <c r="F100" s="880">
        <v>30</v>
      </c>
    </row>
    <row r="101" spans="1:6" s="876" customFormat="1" ht="36">
      <c r="A101" s="880">
        <v>41</v>
      </c>
      <c r="B101" s="330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1" t="s">
        <v>708</v>
      </c>
      <c r="C105" s="880" t="s">
        <v>709</v>
      </c>
      <c r="D105" s="816" t="s">
        <v>710</v>
      </c>
      <c r="E105" s="893">
        <v>0.2</v>
      </c>
      <c r="F105" s="880">
        <v>30</v>
      </c>
    </row>
    <row r="106" spans="1:6" s="876" customFormat="1" ht="36">
      <c r="A106" s="880">
        <v>46</v>
      </c>
      <c r="B106" s="3301"/>
      <c r="C106" s="880" t="s">
        <v>711</v>
      </c>
      <c r="D106" s="816" t="s">
        <v>712</v>
      </c>
      <c r="E106" s="893">
        <v>0.2</v>
      </c>
      <c r="F106" s="880">
        <v>30</v>
      </c>
    </row>
    <row r="107" spans="1:6" s="876" customFormat="1" ht="36">
      <c r="A107" s="880">
        <v>47</v>
      </c>
      <c r="B107" s="3301" t="s">
        <v>713</v>
      </c>
      <c r="C107" s="880" t="s">
        <v>714</v>
      </c>
      <c r="D107" s="816" t="s">
        <v>715</v>
      </c>
      <c r="E107" s="893">
        <v>0.3</v>
      </c>
      <c r="F107" s="880">
        <v>50</v>
      </c>
    </row>
    <row r="108" spans="1:6" s="876" customFormat="1" ht="36">
      <c r="A108" s="880">
        <v>48</v>
      </c>
      <c r="B108" s="330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1" t="s">
        <v>724</v>
      </c>
      <c r="C111" s="880" t="s">
        <v>725</v>
      </c>
      <c r="D111" s="816" t="s">
        <v>726</v>
      </c>
      <c r="E111" s="893">
        <v>0.2</v>
      </c>
      <c r="F111" s="880">
        <v>30</v>
      </c>
    </row>
    <row r="112" spans="1:6" s="876" customFormat="1" ht="24">
      <c r="A112" s="880">
        <v>52</v>
      </c>
      <c r="B112" s="3301"/>
      <c r="C112" s="880" t="s">
        <v>727</v>
      </c>
      <c r="D112" s="816" t="s">
        <v>728</v>
      </c>
      <c r="E112" s="893">
        <v>0.2</v>
      </c>
      <c r="F112" s="880">
        <v>30</v>
      </c>
    </row>
    <row r="113" spans="1:6" s="876" customFormat="1" ht="24">
      <c r="A113" s="880">
        <v>53</v>
      </c>
      <c r="B113" s="330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1" t="s">
        <v>737</v>
      </c>
      <c r="C116" s="880" t="s">
        <v>738</v>
      </c>
      <c r="D116" s="816" t="s">
        <v>739</v>
      </c>
      <c r="E116" s="893">
        <v>0.2</v>
      </c>
      <c r="F116" s="880">
        <v>30</v>
      </c>
    </row>
    <row r="117" spans="1:6" ht="36">
      <c r="A117" s="880">
        <v>57</v>
      </c>
      <c r="B117" s="330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0.79679999999999995</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估价结果一览表（市场价值不需“结果表-1”）</v>
      </c>
      <c r="B3" s="3001"/>
      <c r="C3" s="3001"/>
      <c r="D3" s="3001"/>
      <c r="E3" s="3001"/>
    </row>
    <row r="4" spans="1:5" ht="19.5" thickBot="1">
      <c r="A4" s="1962"/>
      <c r="B4" s="2999" t="s">
        <v>1630</v>
      </c>
      <c r="C4" s="2999"/>
      <c r="D4" s="2999"/>
      <c r="E4" s="1962"/>
    </row>
    <row r="5" spans="1:5" ht="16.5" thickTop="1">
      <c r="A5" s="1960"/>
      <c r="B5" s="2997" t="s">
        <v>1622</v>
      </c>
      <c r="C5" s="1963" t="s">
        <v>1623</v>
      </c>
      <c r="D5" s="1041">
        <f ca="1">结果表!H101</f>
        <v>1962</v>
      </c>
      <c r="E5" s="1960"/>
    </row>
    <row r="6" spans="1:5" ht="15.75">
      <c r="A6" s="1960"/>
      <c r="B6" s="2997"/>
      <c r="C6" s="1963" t="s">
        <v>1624</v>
      </c>
      <c r="D6" s="1041" t="str">
        <f ca="1">NUMBERSTRING(INT(D5*10000),2)&amp;"元整"</f>
        <v>壹仟玖佰陆拾贰万元整</v>
      </c>
      <c r="E6" s="1960"/>
    </row>
    <row r="7" spans="1:5" ht="15.75">
      <c r="A7" s="1960"/>
      <c r="B7" s="3002"/>
      <c r="C7" s="1964" t="s">
        <v>1625</v>
      </c>
      <c r="D7" s="1042">
        <f ca="1">结果表!H102</f>
        <v>27671</v>
      </c>
      <c r="E7" s="1960"/>
    </row>
    <row r="8" spans="1:5" ht="15.75">
      <c r="A8" s="1960"/>
      <c r="B8" s="3003" t="str">
        <f>结果表!E103</f>
        <v>2.估价师知悉的法定优先受偿款</v>
      </c>
      <c r="C8" s="1965" t="s">
        <v>1626</v>
      </c>
      <c r="D8" s="1042">
        <f>结果表!H103</f>
        <v>0</v>
      </c>
      <c r="E8" s="1960"/>
    </row>
    <row r="9" spans="1:5" ht="15.75">
      <c r="A9" s="1960"/>
      <c r="B9" s="3005"/>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96" t="str">
        <f>结果表!E107</f>
        <v>3.房地产抵押价值</v>
      </c>
      <c r="C13" s="1968" t="s">
        <v>1623</v>
      </c>
      <c r="D13" s="1044">
        <f ca="1">结果表!H107</f>
        <v>1962</v>
      </c>
      <c r="E13" s="1960"/>
    </row>
    <row r="14" spans="1:5" ht="15.75">
      <c r="A14" s="1960"/>
      <c r="B14" s="2997"/>
      <c r="C14" s="1963" t="s">
        <v>1624</v>
      </c>
      <c r="D14" s="1041" t="str">
        <f ca="1">NUMBERSTRING(INT(D13*10000),2)&amp;"元整"</f>
        <v>壹仟玖佰陆拾贰万元整</v>
      </c>
      <c r="E14" s="1960"/>
    </row>
    <row r="15" spans="1:5" ht="15">
      <c r="A15" s="1960"/>
      <c r="B15" s="3002"/>
      <c r="C15" s="1964" t="s">
        <v>1634</v>
      </c>
      <c r="D15" s="1053">
        <f ca="1">结果表!H108</f>
        <v>3937</v>
      </c>
      <c r="E15" s="1960"/>
    </row>
    <row r="16" spans="1:5" ht="15">
      <c r="A16" s="1960"/>
      <c r="B16" s="3003" t="str">
        <f>结果表!E109</f>
        <v>——</v>
      </c>
      <c r="C16" s="1968" t="s">
        <v>1635</v>
      </c>
      <c r="D16" s="1969" t="str">
        <f>结果表!H109</f>
        <v>——</v>
      </c>
      <c r="E16" s="1960"/>
    </row>
    <row r="17" spans="1:5" ht="15.75">
      <c r="A17" s="1960"/>
      <c r="B17" s="3004"/>
      <c r="C17" s="1963" t="s">
        <v>1636</v>
      </c>
      <c r="D17" s="1041" t="e">
        <f>NUMBERSTRING(INT(D16*10000),2)&amp;"元整"</f>
        <v>#VALUE!</v>
      </c>
      <c r="E17" s="1960"/>
    </row>
    <row r="18" spans="1:5" ht="15">
      <c r="A18" s="1960"/>
      <c r="B18" s="3005"/>
      <c r="C18" s="1964" t="s">
        <v>1625</v>
      </c>
      <c r="D18" s="1053" t="str">
        <f>结果表!H110</f>
        <v>——</v>
      </c>
      <c r="E18" s="1960"/>
    </row>
    <row r="19" spans="1:5" ht="15.75">
      <c r="A19" s="1960"/>
      <c r="B19" s="2996" t="str">
        <f>结果表!E111</f>
        <v>——</v>
      </c>
      <c r="C19" s="1968" t="s">
        <v>1623</v>
      </c>
      <c r="D19" s="1042" t="str">
        <f>结果表!H111</f>
        <v>——</v>
      </c>
      <c r="E19" s="1960"/>
    </row>
    <row r="20" spans="1:5" ht="15.75">
      <c r="A20" s="1960"/>
      <c r="B20" s="2997"/>
      <c r="C20" s="1963" t="s">
        <v>1636</v>
      </c>
      <c r="D20" s="1041" t="e">
        <f>NUMBERSTRING(INT(D19*10000),2)&amp;"元整"</f>
        <v>#VALUE!</v>
      </c>
      <c r="E20" s="1960"/>
    </row>
    <row r="21" spans="1:5" ht="15.75" thickBot="1">
      <c r="A21" s="1960"/>
      <c r="B21" s="2998"/>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3008</v>
      </c>
    </row>
    <row r="2" spans="1:5" ht="15.75">
      <c r="A2" s="2913" t="s">
        <v>3000</v>
      </c>
      <c r="B2" s="2914">
        <f ca="1">SUMIF(B6:B13,"&lt;&gt;#ref!",B6:B13)</f>
        <v>565</v>
      </c>
      <c r="C2" s="2913" t="s">
        <v>3001</v>
      </c>
      <c r="D2" s="2913" t="s">
        <v>3002</v>
      </c>
      <c r="E2" s="2914">
        <f ca="1">SUMIF(E6:E13,"&lt;&gt;#ref!",E6:E13)</f>
        <v>709.04</v>
      </c>
    </row>
    <row r="3" spans="1:5" ht="15.75">
      <c r="A3" s="2913" t="s">
        <v>3003</v>
      </c>
      <c r="B3" s="2914">
        <f ca="1">ROUND(B2*10000/E2,0)</f>
        <v>7969</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f ca="1">SUMIF(INDIRECT("'"&amp;A6&amp;"'"&amp;"!A:A"),"总价",INDIRECT("'"&amp;A6&amp;"'"&amp;"!B:B"))</f>
        <v>565</v>
      </c>
      <c r="C6" s="2913" t="s">
        <v>3001</v>
      </c>
      <c r="D6" s="2915"/>
      <c r="E6" s="2578">
        <f ca="1">SUMIF(INDIRECT("'"&amp;A6&amp;"'"&amp;"!C:C"),"建筑面积",INDIRECT("'"&amp;A6&amp;"'"&amp;"!D:D"))</f>
        <v>709.04</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118"/>
  <sheetViews>
    <sheetView zoomScale="80" zoomScaleNormal="80" zoomScaleSheetLayoutView="96" workbookViewId="0">
      <selection activeCell="N30" sqref="N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8" t="s">
        <v>2809</v>
      </c>
      <c r="B1" s="239"/>
      <c r="C1" s="243" t="s">
        <v>2810</v>
      </c>
      <c r="D1" s="386">
        <f>SUM(D29:D30,D33:D39)</f>
        <v>729.48</v>
      </c>
      <c r="E1" s="2720"/>
      <c r="F1" s="2720"/>
      <c r="G1" s="2720"/>
      <c r="H1" s="2720"/>
      <c r="I1" s="2720"/>
      <c r="J1" s="2720"/>
      <c r="K1" s="1371"/>
      <c r="L1" s="2721" t="s">
        <v>2811</v>
      </c>
      <c r="M1" s="1081">
        <f>SUMPRODUCT((区片价!B5:B9=I2)*(区片价!C3:F3=E2)*(区片价!C5:F9))</f>
        <v>0</v>
      </c>
      <c r="N1" s="1084">
        <f>SUMPRODUCT((因素修正幅度!B5:B9=I2)*(因素修正幅度!C3:F3=E2)*(因素修正幅度!C5:F9))</f>
        <v>0</v>
      </c>
      <c r="O1" s="2722"/>
      <c r="P1" s="2722"/>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3" t="s">
        <v>2817</v>
      </c>
      <c r="B2" s="246">
        <f ca="1">C26</f>
        <v>182</v>
      </c>
      <c r="C2" s="2724" t="s">
        <v>2818</v>
      </c>
      <c r="D2" s="2725" t="s">
        <v>2819</v>
      </c>
      <c r="E2" s="2726" t="s">
        <v>27</v>
      </c>
      <c r="F2" s="2725" t="s">
        <v>2820</v>
      </c>
      <c r="G2" s="2727" t="str">
        <f>IF(E2="商业",项目基本情况!B37,IF(E2="办公",项目基本情况!C37,IF(E2="住宅",项目基本情况!D37,项目基本情况!E37)))</f>
        <v>七级</v>
      </c>
      <c r="H2" s="2725" t="s">
        <v>2821</v>
      </c>
      <c r="I2" s="2727" t="str">
        <f>IF(E2="商业",项目基本情况!B38,IF(E2="办公",项目基本情况!C38,IF(E2="住宅",项目基本情况!D38,项目基本情况!E38)))</f>
        <v>Ⅶ-兴1</v>
      </c>
      <c r="J2" s="2728"/>
      <c r="K2" s="1371"/>
      <c r="L2" s="2729" t="s">
        <v>2822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18632</v>
      </c>
      <c r="U2" s="1604"/>
      <c r="V2" s="1603">
        <f ca="1">ROUND(T2*U2/10000,0)</f>
        <v>0</v>
      </c>
      <c r="W2" s="1607"/>
      <c r="X2" s="1607"/>
      <c r="Y2" s="1607"/>
      <c r="Z2" s="1607"/>
      <c r="AA2" s="1607"/>
      <c r="AB2" s="1607"/>
      <c r="AC2" s="1608"/>
      <c r="AD2" s="1609"/>
      <c r="AE2" s="1609"/>
      <c r="AF2" s="1609"/>
      <c r="AG2" s="1609"/>
      <c r="AH2" s="1609"/>
      <c r="AI2" s="1609"/>
      <c r="AJ2" s="1610"/>
    </row>
    <row r="3" spans="1:36" ht="25.5">
      <c r="A3" s="245" t="s">
        <v>2823</v>
      </c>
      <c r="B3" s="246">
        <f ca="1">ROUND(B2*10000/D1,0)</f>
        <v>2495</v>
      </c>
      <c r="C3" s="2724" t="s">
        <v>2824</v>
      </c>
      <c r="D3" s="2725" t="s">
        <v>2825</v>
      </c>
      <c r="E3" s="2730" t="s">
        <v>3077</v>
      </c>
      <c r="F3" s="2731" t="s">
        <v>2826</v>
      </c>
      <c r="G3" s="914">
        <f>IF(F3="宗地容积率",'数据-汇总表'!I4,IF(F3="估价对象容积率",'数据-汇总表'!I6,'数据-汇总表'!I7))</f>
        <v>5.82</v>
      </c>
      <c r="H3" s="196" t="s">
        <v>2827</v>
      </c>
      <c r="I3" s="945">
        <v>1</v>
      </c>
      <c r="J3" s="2728" t="s">
        <v>2828</v>
      </c>
      <c r="K3" s="1371"/>
      <c r="L3" s="2729"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13374</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84"/>
      <c r="B4" s="3285"/>
      <c r="C4" s="3285"/>
      <c r="D4" s="3286"/>
      <c r="E4" s="3286"/>
      <c r="F4" s="3286"/>
      <c r="G4" s="3286"/>
      <c r="H4" s="3286"/>
      <c r="I4" s="3286"/>
      <c r="J4" s="3287"/>
      <c r="K4" s="1371"/>
      <c r="L4" s="2729"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10790</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2831</v>
      </c>
      <c r="C5" s="915">
        <f>ROUND(IF(E2="商业",IF(F16="增加",C6*C7+C16,C6*C7-C16),IF(E2="住宅",IF(F16="增加",C6*C12+C16,C6*C12-C16),IF(F16="增加",C6+C16,C6-C16))),0)</f>
        <v>8570</v>
      </c>
      <c r="D5" s="1788">
        <f>ROUND(IF(E2="商业",IF(F16="增加",C6+C16,C6-C16)),0)</f>
        <v>0</v>
      </c>
      <c r="E5" s="2734"/>
      <c r="F5" s="2734"/>
      <c r="G5" s="2735"/>
      <c r="H5" s="2735"/>
      <c r="I5" s="2735"/>
      <c r="J5" s="2736"/>
      <c r="K5" s="2737"/>
      <c r="L5" s="2729"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8657</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2833</v>
      </c>
      <c r="B6" s="2743" t="s">
        <v>2834</v>
      </c>
      <c r="C6" s="916">
        <f>SUMIF(L1:L12,G2,M1:M12)</f>
        <v>8570</v>
      </c>
      <c r="D6" s="2744" t="s">
        <v>2835</v>
      </c>
      <c r="E6" s="2745"/>
      <c r="F6" s="2745"/>
      <c r="G6" s="2746"/>
      <c r="H6" s="2746"/>
      <c r="I6" s="2746"/>
      <c r="J6" s="2747"/>
      <c r="K6" s="1843"/>
      <c r="L6" s="2729"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7372</v>
      </c>
      <c r="U6" s="1604"/>
      <c r="V6" s="1603">
        <f t="shared" ca="1" si="1"/>
        <v>0</v>
      </c>
      <c r="W6" s="1607"/>
      <c r="X6" s="1607"/>
      <c r="Y6" s="1607"/>
      <c r="Z6" s="1607"/>
      <c r="AA6" s="1607"/>
      <c r="AB6" s="1607"/>
      <c r="AC6" s="2738"/>
      <c r="AD6" s="2739"/>
      <c r="AE6" s="2739"/>
      <c r="AF6" s="2739"/>
      <c r="AG6" s="2739"/>
      <c r="AH6" s="2739"/>
      <c r="AI6" s="2739"/>
      <c r="AJ6" s="2740"/>
    </row>
    <row r="7" spans="1:36" ht="24">
      <c r="A7" s="3288" t="str">
        <f>IF(E2="商业",IF(C8="不临58条商业街","",2),"")</f>
        <v/>
      </c>
      <c r="B7" s="2748" t="s">
        <v>2837</v>
      </c>
      <c r="C7" s="917">
        <f>IF(C8="不临58条商业街",1,ROUND(1+(1.6*E8+1.2*E9+0.8*E10+0.4*E11)*C9,4))</f>
        <v>1</v>
      </c>
      <c r="D7" s="2749" t="s">
        <v>2838</v>
      </c>
      <c r="E7" s="946"/>
      <c r="F7" s="2750"/>
      <c r="G7" s="2751"/>
      <c r="H7" s="2751"/>
      <c r="I7" s="2751"/>
      <c r="J7" s="2752"/>
      <c r="K7" s="1843"/>
      <c r="L7" s="2729" t="s">
        <v>2839</v>
      </c>
      <c r="M7" s="1082">
        <f>SUMPRODUCT((区片价!B158:B205=I2)*(区片价!C3:F3=E2)*(区片价!C158:F205))</f>
        <v>8570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6483</v>
      </c>
      <c r="U7" s="1604"/>
      <c r="V7" s="1603">
        <f t="shared" ca="1" si="1"/>
        <v>0</v>
      </c>
      <c r="W7" s="2962" t="s">
        <v>2840</v>
      </c>
      <c r="X7" s="1605" t="str">
        <f>G2</f>
        <v>七级</v>
      </c>
      <c r="Y7" s="1605" t="s">
        <v>2841</v>
      </c>
      <c r="Z7" s="1606">
        <f>G3</f>
        <v>5.82</v>
      </c>
      <c r="AA7" s="1607"/>
      <c r="AB7" s="1607"/>
      <c r="AC7" s="1608"/>
      <c r="AD7" s="1609"/>
      <c r="AE7" s="1609"/>
      <c r="AF7" s="1609"/>
      <c r="AG7" s="1609"/>
      <c r="AH7" s="1609"/>
      <c r="AI7" s="1609"/>
      <c r="AJ7" s="1610"/>
    </row>
    <row r="8" spans="1:36" ht="25.5">
      <c r="A8" s="3289"/>
      <c r="B8" s="196" t="s">
        <v>2842</v>
      </c>
      <c r="C8" s="2753" t="s">
        <v>3058</v>
      </c>
      <c r="D8" s="918" t="s">
        <v>139</v>
      </c>
      <c r="E8" s="919" t="e">
        <f>ROUND(C11/E7,4)</f>
        <v>#DIV/0!</v>
      </c>
      <c r="F8" s="2754" t="s">
        <v>2843</v>
      </c>
      <c r="G8" s="2755"/>
      <c r="H8" s="2755"/>
      <c r="I8" s="2755"/>
      <c r="J8" s="2756"/>
      <c r="K8" s="1371"/>
      <c r="L8" s="2729"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81" t="s">
        <v>2845</v>
      </c>
      <c r="X8" s="3282"/>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89"/>
      <c r="B9" s="196" t="s">
        <v>2858</v>
      </c>
      <c r="C9" s="920">
        <f>SUMIF(修正!C59:C119,C8,修正!E59:E119)</f>
        <v>0</v>
      </c>
      <c r="D9" s="198" t="s">
        <v>140</v>
      </c>
      <c r="E9" s="198" t="e">
        <f>ROUND(C11/E7,4)</f>
        <v>#DIV/0!</v>
      </c>
      <c r="F9" s="2754" t="s">
        <v>2859</v>
      </c>
      <c r="G9" s="2755"/>
      <c r="H9" s="2755"/>
      <c r="I9" s="2755"/>
      <c r="J9" s="2756"/>
      <c r="K9" s="1371"/>
      <c r="L9" s="2729"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83"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9"/>
      <c r="B10" s="196" t="s">
        <v>2863</v>
      </c>
      <c r="C10" s="198">
        <f>SUMIF(修正!C59:C119,C8,修正!F59:F119)</f>
        <v>0</v>
      </c>
      <c r="D10" s="198" t="s">
        <v>141</v>
      </c>
      <c r="E10" s="198" t="e">
        <f>ROUND(C11/E7,4)</f>
        <v>#DIV/0!</v>
      </c>
      <c r="F10" s="2754" t="s">
        <v>2864</v>
      </c>
      <c r="G10" s="2755"/>
      <c r="H10" s="2755"/>
      <c r="I10" s="2755"/>
      <c r="J10" s="2756"/>
      <c r="K10" s="1371"/>
      <c r="L10" s="2729"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8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9"/>
      <c r="B11" s="2757" t="s">
        <v>2866</v>
      </c>
      <c r="C11" s="921">
        <f>C10/4</f>
        <v>0</v>
      </c>
      <c r="D11" s="921" t="s">
        <v>142</v>
      </c>
      <c r="E11" s="921" t="e">
        <f>ROUND(C11/E7,4)</f>
        <v>#DIV/0!</v>
      </c>
      <c r="F11" s="2758" t="s">
        <v>2867</v>
      </c>
      <c r="G11" s="2759"/>
      <c r="H11" s="2759"/>
      <c r="I11" s="2759"/>
      <c r="J11" s="2760"/>
      <c r="K11" s="1371"/>
      <c r="L11" s="2729"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83" t="s">
        <v>2869</v>
      </c>
      <c r="X11" s="1615" t="s">
        <v>2841</v>
      </c>
      <c r="Y11" s="1616">
        <f>$G$3</f>
        <v>5.82</v>
      </c>
      <c r="Z11" s="1616">
        <f t="shared" ref="Z11:AJ11" si="3">$G$3</f>
        <v>5.82</v>
      </c>
      <c r="AA11" s="1616">
        <f t="shared" si="3"/>
        <v>5.82</v>
      </c>
      <c r="AB11" s="1616">
        <f t="shared" si="3"/>
        <v>5.82</v>
      </c>
      <c r="AC11" s="1616">
        <f t="shared" si="3"/>
        <v>5.82</v>
      </c>
      <c r="AD11" s="1616">
        <f t="shared" si="3"/>
        <v>5.82</v>
      </c>
      <c r="AE11" s="1616">
        <f t="shared" si="3"/>
        <v>5.82</v>
      </c>
      <c r="AF11" s="1616">
        <f t="shared" si="3"/>
        <v>5.82</v>
      </c>
      <c r="AG11" s="1616">
        <f t="shared" si="3"/>
        <v>5.82</v>
      </c>
      <c r="AH11" s="1616">
        <f t="shared" si="3"/>
        <v>5.82</v>
      </c>
      <c r="AI11" s="1616">
        <f t="shared" si="3"/>
        <v>5.82</v>
      </c>
      <c r="AJ11" s="1616">
        <f t="shared" si="3"/>
        <v>5.82</v>
      </c>
    </row>
    <row r="12" spans="1:36" ht="25.5" thickBot="1">
      <c r="A12" s="3288" t="s">
        <v>2871</v>
      </c>
      <c r="B12" s="2761" t="s">
        <v>2872</v>
      </c>
      <c r="C12" s="917">
        <f>ROUND(C15*D15*E15*F15*G15*H15*I15*J15,4)</f>
        <v>1</v>
      </c>
      <c r="D12" s="2762" t="s">
        <v>2873</v>
      </c>
      <c r="E12" s="2763"/>
      <c r="F12" s="2763"/>
      <c r="G12" s="2764"/>
      <c r="H12" s="2764"/>
      <c r="I12" s="2764"/>
      <c r="J12" s="2765"/>
      <c r="K12" s="1371"/>
      <c r="L12" s="2766"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83"/>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0"/>
      <c r="B13" s="2767" t="s">
        <v>2876</v>
      </c>
      <c r="C13" s="2768" t="s">
        <v>2877</v>
      </c>
      <c r="D13" s="2955" t="s">
        <v>2878</v>
      </c>
      <c r="E13" s="2955" t="s">
        <v>2879</v>
      </c>
      <c r="F13" s="30" t="s">
        <v>2880</v>
      </c>
      <c r="G13" s="2769" t="s">
        <v>2881</v>
      </c>
      <c r="H13" s="2769" t="s">
        <v>2881</v>
      </c>
      <c r="I13" s="2769" t="s">
        <v>2881</v>
      </c>
      <c r="J13" s="2770" t="s">
        <v>2881</v>
      </c>
      <c r="K13" s="1371"/>
      <c r="L13" s="1371"/>
      <c r="M13" s="1371"/>
      <c r="N13" s="1371"/>
      <c r="O13" s="1371"/>
      <c r="P13" s="1371"/>
      <c r="Q13" s="1371"/>
      <c r="R13" s="1603">
        <v>12</v>
      </c>
      <c r="S13" s="1604"/>
      <c r="T13" s="1603">
        <f t="shared" ca="1" si="0"/>
        <v>0</v>
      </c>
      <c r="U13" s="1604"/>
      <c r="V13" s="1603">
        <f t="shared" ca="1" si="1"/>
        <v>0</v>
      </c>
      <c r="W13" s="3283"/>
      <c r="X13" s="1617"/>
      <c r="Y13" s="1614">
        <f>(-0.163*(Y12^2)-0.59*Y12+7617)*(10^(-4))/Y11</f>
        <v>0.13087628865979381</v>
      </c>
      <c r="Z13" s="1614">
        <f t="shared" ref="Z13:AJ13" si="5">(-0.163*(Z12^2)-0.59*Z12+7617)*(10^(-4))/Z11</f>
        <v>0.13087628865979381</v>
      </c>
      <c r="AA13" s="1614">
        <f t="shared" si="5"/>
        <v>0.13087628865979381</v>
      </c>
      <c r="AB13" s="1614">
        <f t="shared" si="5"/>
        <v>0.13087628865979381</v>
      </c>
      <c r="AC13" s="1614">
        <f t="shared" si="5"/>
        <v>0.13087628865979381</v>
      </c>
      <c r="AD13" s="1614">
        <f t="shared" si="5"/>
        <v>0.13087628865979381</v>
      </c>
      <c r="AE13" s="1614">
        <f t="shared" si="5"/>
        <v>0.13087628865979381</v>
      </c>
      <c r="AF13" s="1614">
        <f t="shared" si="5"/>
        <v>0.13087628865979381</v>
      </c>
      <c r="AG13" s="1614">
        <f t="shared" si="5"/>
        <v>0.13087628865979381</v>
      </c>
      <c r="AH13" s="1614">
        <f t="shared" si="5"/>
        <v>0.13087628865979381</v>
      </c>
      <c r="AI13" s="1614">
        <f t="shared" si="5"/>
        <v>0.13087628865979381</v>
      </c>
      <c r="AJ13" s="1614">
        <f t="shared" si="5"/>
        <v>0.13087628865979381</v>
      </c>
    </row>
    <row r="14" spans="1:36" ht="15">
      <c r="A14" s="3290"/>
      <c r="B14" s="2771"/>
      <c r="C14" s="2772"/>
      <c r="D14" s="2773"/>
      <c r="E14" s="2773"/>
      <c r="F14" s="2774"/>
      <c r="G14" s="2775" t="s">
        <v>2882</v>
      </c>
      <c r="H14" s="2776"/>
      <c r="I14" s="2777"/>
      <c r="J14" s="277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91"/>
      <c r="B15" s="2779" t="s">
        <v>2883</v>
      </c>
      <c r="C15" s="227">
        <f>IF(C14="有",1.1,1)</f>
        <v>1</v>
      </c>
      <c r="D15" s="227">
        <f>IF(D14="有",1.1,1)</f>
        <v>1</v>
      </c>
      <c r="E15" s="227">
        <f>IF(E14="有",1.1,1)</f>
        <v>1</v>
      </c>
      <c r="F15" s="227">
        <f>IF(F14="500米范围内",1.2,IF(F14="500-1000米",1.1,1))</f>
        <v>1</v>
      </c>
      <c r="G15" s="947">
        <v>1</v>
      </c>
      <c r="H15" s="947">
        <v>1</v>
      </c>
      <c r="I15" s="947">
        <v>1</v>
      </c>
      <c r="J15" s="948">
        <v>1</v>
      </c>
      <c r="K15" s="1371"/>
      <c r="L15" s="2780" t="s">
        <v>2819</v>
      </c>
      <c r="M15" s="918" t="s">
        <v>2884</v>
      </c>
      <c r="N15" s="918" t="s">
        <v>2885</v>
      </c>
      <c r="O15" s="918" t="s">
        <v>2886</v>
      </c>
      <c r="P15" s="2781"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88" t="s">
        <v>2888</v>
      </c>
      <c r="B16" s="2748" t="s">
        <v>2889</v>
      </c>
      <c r="C16" s="2951">
        <f>ROUND(SUM(G17:J17)/C17,0)</f>
        <v>0</v>
      </c>
      <c r="D16" s="2782" t="s">
        <v>2890</v>
      </c>
      <c r="E16" s="2783" t="s">
        <v>3060</v>
      </c>
      <c r="F16" s="2784" t="s">
        <v>3061</v>
      </c>
      <c r="G16" s="2785"/>
      <c r="H16" s="2785"/>
      <c r="I16" s="2785"/>
      <c r="J16" s="2786"/>
      <c r="K16" s="1371"/>
      <c r="L16" s="2787"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89"/>
      <c r="B17" s="2788" t="s">
        <v>2892</v>
      </c>
      <c r="C17" s="922">
        <f>SUMPRODUCT((修正!A2:A5=E2)*(修正!B1:M1=G2)*(修正!B2:M5))</f>
        <v>2.5</v>
      </c>
      <c r="D17" s="2789"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2895</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2896</v>
      </c>
      <c r="C18" s="924">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25" thickBot="1">
      <c r="A19" s="2792" t="s">
        <v>809</v>
      </c>
      <c r="B19" s="2793" t="s">
        <v>2897</v>
      </c>
      <c r="C19" s="925">
        <f>ROUND(IF(H19="按公示增长率计算",SUMPRODUCT((地价!A3:A24=YEAR(G19)&amp;"-"&amp;ROUNDUP(MONTH(G19)/3,0))*(地价!X2:AB2=E2)*(地价!X3:AB24)),IF(H19="地价指数",M20/M19,(1+I19)^O19)),4)</f>
        <v>1.3237000000000001</v>
      </c>
      <c r="D19" s="2800" t="s">
        <v>2898</v>
      </c>
      <c r="E19" s="926">
        <v>41640</v>
      </c>
      <c r="F19" s="2800" t="s">
        <v>2899</v>
      </c>
      <c r="G19" s="927">
        <f>'数据-取费表'!B2</f>
        <v>43398</v>
      </c>
      <c r="H19" s="2801" t="s">
        <v>3059</v>
      </c>
      <c r="I19" s="928" t="str">
        <f>IF(H19="季度增幅（自定义）",SUMIF(N21:N24,E2,O21:O24),"")</f>
        <v/>
      </c>
      <c r="J19" s="2798"/>
      <c r="K19" s="1378"/>
      <c r="L19" s="2802" t="s">
        <v>2900</v>
      </c>
      <c r="M19" s="1735">
        <f>ROUND(SUMIF(地价!B2:F2,E2,地价!B24:F24),0)</f>
        <v>258</v>
      </c>
      <c r="N19" s="2803" t="s">
        <v>2901</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2902</v>
      </c>
      <c r="C20" s="930">
        <f ca="1">ROUND(POWER(1+G20,J20-I20)*(POWER(1+G20,I20)-1)/(POWER(1+G20,J20)-1),4)</f>
        <v>0.86650000000000005</v>
      </c>
      <c r="D20" s="2809" t="s">
        <v>2903</v>
      </c>
      <c r="E20" s="1769">
        <f ca="1">存贷款利率!D4/100</f>
        <v>4.3499999999999997E-2</v>
      </c>
      <c r="F20" s="2809" t="s">
        <v>2895</v>
      </c>
      <c r="G20" s="935">
        <f ca="1">SUMIF(M15:P15,E2,M17:P17)</f>
        <v>5.1999999999999998E-2</v>
      </c>
      <c r="H20" s="2809" t="s">
        <v>2904</v>
      </c>
      <c r="I20" s="936">
        <f>SUMIF('数据-取费表'!C6:C15,E2,'数据-取费表'!F6:F15)/COUNTIF('数据-取费表'!C6:C15,E2)</f>
        <v>31.53</v>
      </c>
      <c r="J20" s="937">
        <f>IF(E2="住宅",70,IF(E2="商业",40,50))</f>
        <v>50</v>
      </c>
      <c r="K20" s="1378"/>
      <c r="L20" s="2810" t="s">
        <v>2905</v>
      </c>
      <c r="M20" s="1736">
        <f>ROUND(SUMPRODUCT((地价!A4:A24=YEAR(G19)&amp;"-"&amp;ROUNDUP(MONTH(G19)/3,0))*(地价!B2:F2=E2)*(地价!B4:F24)),0)</f>
        <v>341</v>
      </c>
      <c r="N20" s="2811" t="s">
        <v>2906</v>
      </c>
      <c r="O20" s="2812" t="s">
        <v>2907</v>
      </c>
      <c r="P20" s="2813" t="s">
        <v>2908</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3107</v>
      </c>
      <c r="C21" s="2961">
        <f>IF(B21="容积率修正",IF(G3&lt;=10,D22,J22),C23)</f>
        <v>0.79630000000000001</v>
      </c>
      <c r="D21" s="2816"/>
      <c r="E21" s="2816"/>
      <c r="F21" s="2816"/>
      <c r="G21" s="2816"/>
      <c r="H21" s="2816"/>
      <c r="I21" s="2816"/>
      <c r="J21" s="2817"/>
      <c r="K21" s="1378"/>
      <c r="N21" s="2818" t="s">
        <v>2909</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2910</v>
      </c>
      <c r="B22" s="2819" t="s">
        <v>2911</v>
      </c>
      <c r="C22" s="2960" t="s">
        <v>2912</v>
      </c>
      <c r="D22" s="2960">
        <f>IF(E22=G22,F22,IF(G3&lt;=10,ROUND(F22+(H22-F22)*(G3-E22)/(G22-E22),4),"——"))</f>
        <v>0.79630000000000001</v>
      </c>
      <c r="E22" s="914">
        <f>ROUNDDOWN(G3,1)</f>
        <v>5.8</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2960" t="s">
        <v>155</v>
      </c>
      <c r="J22" s="939" t="str">
        <f>IF(G3&gt;10,D113,"——")</f>
        <v>——</v>
      </c>
      <c r="K22" s="1378"/>
      <c r="N22" s="2818" t="s">
        <v>2913</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7" t="s">
        <v>2914</v>
      </c>
      <c r="B23" s="2820" t="s">
        <v>2915</v>
      </c>
      <c r="C23" s="1014">
        <f>ROUND(IF(G3&gt;1,IF(I3&lt;7,SUMPRODUCT((B93:B98=I3)*(C92:N92=G2)*(C93:N98)),SUMIF(C92:N92,G2,C100:N100)),IF(I3&lt;7,SUMPRODUCT((B102:B107=I3)*(C92:N92=G2)*(C102:N107)),SUMIF(C92:N92,G2,C109:N109))),4)</f>
        <v>1.8629</v>
      </c>
      <c r="D23" s="2776"/>
      <c r="E23" s="2776"/>
      <c r="F23" s="2821"/>
      <c r="G23" s="2822"/>
      <c r="H23" s="2823"/>
      <c r="I23" s="2824"/>
      <c r="J23" s="2825"/>
      <c r="K23" s="1371"/>
      <c r="N23" s="2818" t="s">
        <v>2916</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2917</v>
      </c>
      <c r="C24" s="925">
        <f>SUMIF(A45:A88,E2,B45:B88)</f>
        <v>1.0175000000000001</v>
      </c>
      <c r="D24" s="2796"/>
      <c r="E24" s="2826"/>
      <c r="F24" s="2826"/>
      <c r="G24" s="2826"/>
      <c r="H24" s="2826"/>
      <c r="I24" s="2826"/>
      <c r="J24" s="2827"/>
      <c r="K24" s="1378"/>
      <c r="N24" s="2828" t="s">
        <v>2918</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2919</v>
      </c>
      <c r="C25" s="931"/>
      <c r="D25" s="2751"/>
      <c r="E25" s="2751"/>
      <c r="F25" s="2830"/>
      <c r="G25" s="2751"/>
      <c r="H25" s="2751"/>
      <c r="I25" s="2751"/>
      <c r="J25" s="2752"/>
      <c r="K25" s="1371"/>
      <c r="N25" s="2831" t="s">
        <v>2920</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2"/>
      <c r="B26" s="2819" t="s">
        <v>2921</v>
      </c>
      <c r="C26" s="204">
        <f ca="1">E29+SUM(E33:E39)</f>
        <v>182</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2922</v>
      </c>
      <c r="C27" s="932">
        <f ca="1">E30+SUM(I33:I39)</f>
        <v>46</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2923</v>
      </c>
      <c r="C28" s="2843" t="s">
        <v>2924</v>
      </c>
      <c r="D28" s="2843" t="s">
        <v>2925</v>
      </c>
      <c r="E28" s="2844" t="s">
        <v>2926</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2927</v>
      </c>
      <c r="C29" s="204">
        <f ca="1">ROUND(C5*C18*C19*C20*C21*C24,0)</f>
        <v>7964</v>
      </c>
      <c r="D29" s="2848"/>
      <c r="E29" s="2965">
        <f ca="1">ROUND(C29*D29/10000,0)</f>
        <v>0</v>
      </c>
      <c r="F29" s="2849" t="s">
        <v>2928</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2929</v>
      </c>
      <c r="C30" s="227">
        <f ca="1">ROUND(IF(E2="工业",C29*M39,C29*M38),0)</f>
        <v>1991</v>
      </c>
      <c r="D30" s="2854"/>
      <c r="E30" s="2965">
        <f ca="1">ROUND(C30*D30/10000,0)</f>
        <v>0</v>
      </c>
      <c r="F30" s="2855" t="s">
        <v>2930</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2924</v>
      </c>
      <c r="D32" s="496" t="s">
        <v>2925</v>
      </c>
      <c r="E32" s="496" t="s">
        <v>2926</v>
      </c>
      <c r="F32" s="386" t="s">
        <v>2934</v>
      </c>
      <c r="G32" s="2863" t="s">
        <v>2924</v>
      </c>
      <c r="H32" s="2863" t="s">
        <v>2925</v>
      </c>
      <c r="I32" s="2863" t="s">
        <v>2926</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98" t="s">
        <v>2935</v>
      </c>
      <c r="B33" s="2864" t="s">
        <v>2936</v>
      </c>
      <c r="C33" s="204">
        <f ca="1">ROUND(D5*C19*C20*C24*F33,0)</f>
        <v>0</v>
      </c>
      <c r="D33" s="2848"/>
      <c r="E33" s="198">
        <f ca="1">ROUND(C33*D33/10000,0)</f>
        <v>0</v>
      </c>
      <c r="F33" s="198">
        <f>SUMIF(修正!A45:A56,G2,修正!B45:B56)</f>
        <v>0.7</v>
      </c>
      <c r="G33" s="198">
        <f t="shared" ref="G33" ca="1" si="6">ROUND(IF(E2="工业",C33*$M$39,C33*$M$38),0)</f>
        <v>0</v>
      </c>
      <c r="H33" s="198">
        <f>D33</f>
        <v>0</v>
      </c>
      <c r="I33" s="198">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9"/>
      <c r="B34" s="2768" t="s">
        <v>2937</v>
      </c>
      <c r="C34" s="204">
        <f ca="1">ROUND(D5*C19*C20*C24*F34,0)</f>
        <v>0</v>
      </c>
      <c r="D34" s="2848"/>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9"/>
      <c r="B35" s="2768" t="s">
        <v>2938</v>
      </c>
      <c r="C35" s="204">
        <f ca="1">ROUND(D5*C19*C20*C24*F35,0)</f>
        <v>0</v>
      </c>
      <c r="D35" s="2848"/>
      <c r="E35" s="198">
        <f t="shared" ca="1" si="7"/>
        <v>0</v>
      </c>
      <c r="F35" s="198">
        <f>SUMIF(修正!A45:A56,G2,修正!D45:D56)</f>
        <v>0.28000000000000003</v>
      </c>
      <c r="G35" s="198">
        <f ca="1">ROUND(IF(E2="工业",C35*$M$39,C35*$M$38),0)</f>
        <v>0</v>
      </c>
      <c r="H35" s="198">
        <f t="shared" si="8"/>
        <v>0</v>
      </c>
      <c r="I35" s="198">
        <f t="shared" ca="1" si="9"/>
        <v>0</v>
      </c>
      <c r="J35" s="2865"/>
      <c r="K35" s="1371"/>
      <c r="L35" s="1371"/>
      <c r="M35" s="1371"/>
      <c r="N35" s="1371"/>
      <c r="O35" s="1371"/>
      <c r="P35" s="1371"/>
      <c r="Q35" s="1371"/>
      <c r="R35" s="1371"/>
      <c r="S35" s="1371"/>
      <c r="T35" s="1371"/>
      <c r="U35" s="1371"/>
      <c r="V35" s="1371"/>
      <c r="W35" s="1371"/>
      <c r="X35" s="1371"/>
      <c r="Y35" s="1371"/>
      <c r="Z35" s="1372"/>
    </row>
    <row r="36" spans="1:37" ht="13.5" thickBot="1">
      <c r="A36" s="3300"/>
      <c r="B36" s="2768" t="s">
        <v>2939</v>
      </c>
      <c r="C36" s="204">
        <f ca="1">ROUND(D5*C19*C20*C24*F36,0)</f>
        <v>0</v>
      </c>
      <c r="D36" s="2848"/>
      <c r="E36" s="198">
        <f t="shared" ca="1" si="7"/>
        <v>0</v>
      </c>
      <c r="F36" s="198">
        <f>SUMIF(修正!A45:A56,G2,修正!E45:E56)</f>
        <v>0.25</v>
      </c>
      <c r="G36" s="198">
        <f ca="1">ROUND(IF(E2="工业",C36*$M$39,C36*$M$38),0)</f>
        <v>0</v>
      </c>
      <c r="H36" s="198">
        <f t="shared" si="8"/>
        <v>0</v>
      </c>
      <c r="I36" s="198">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2940</v>
      </c>
      <c r="C37" s="198">
        <f ca="1">ROUND(C5*C19*C20*C24*F37,0)</f>
        <v>2500</v>
      </c>
      <c r="D37" s="2848">
        <f>'数据-汇总表'!G22</f>
        <v>729.48</v>
      </c>
      <c r="E37" s="198">
        <f t="shared" ca="1" si="7"/>
        <v>182</v>
      </c>
      <c r="F37" s="204">
        <f>SUMIF(修正!A45:A56,G2,修正!F45:F56)</f>
        <v>0.25</v>
      </c>
      <c r="G37" s="198">
        <f ca="1">ROUND(IF(E2="工业",C37*$M$39,C37*$M$38),0)</f>
        <v>625</v>
      </c>
      <c r="H37" s="198">
        <f t="shared" si="8"/>
        <v>729.48</v>
      </c>
      <c r="I37" s="198">
        <f t="shared" ca="1" si="9"/>
        <v>46</v>
      </c>
      <c r="J37" s="2865"/>
      <c r="K37" s="1371"/>
      <c r="L37" s="2867" t="s">
        <v>2941</v>
      </c>
      <c r="M37" s="2868"/>
      <c r="N37" s="1371"/>
      <c r="O37" s="1371"/>
      <c r="P37" s="1371"/>
      <c r="Q37" s="1371"/>
      <c r="R37" s="1371"/>
      <c r="S37" s="1371"/>
      <c r="T37" s="1371"/>
      <c r="U37" s="1371"/>
      <c r="V37" s="1371"/>
      <c r="W37" s="1371"/>
      <c r="X37" s="1371"/>
      <c r="Y37" s="1371"/>
      <c r="Z37" s="1372"/>
    </row>
    <row r="38" spans="1:37">
      <c r="A38" s="2866"/>
      <c r="B38" s="2768" t="s">
        <v>2942</v>
      </c>
      <c r="C38" s="198">
        <f ca="1">ROUND(C5*C19*C20*C24*F38,0)</f>
        <v>2500</v>
      </c>
      <c r="D38" s="2848"/>
      <c r="E38" s="198">
        <f t="shared" ca="1" si="7"/>
        <v>0</v>
      </c>
      <c r="F38" s="204">
        <f>SUMIF(修正!A45:A56,G2,修正!G45:G56)</f>
        <v>0.25</v>
      </c>
      <c r="G38" s="198">
        <f ca="1">ROUND(IF(E2="工业",C38*$M$39,C38*$M$38),0)</f>
        <v>625</v>
      </c>
      <c r="H38" s="198">
        <f t="shared" si="8"/>
        <v>0</v>
      </c>
      <c r="I38" s="198">
        <f t="shared" ca="1" si="9"/>
        <v>0</v>
      </c>
      <c r="J38" s="2865"/>
      <c r="K38" s="1371"/>
      <c r="L38" s="1888" t="s">
        <v>2943</v>
      </c>
      <c r="M38" s="2869">
        <v>0.25</v>
      </c>
      <c r="N38" s="1371"/>
      <c r="O38" s="1371"/>
      <c r="P38" s="1371"/>
      <c r="Q38" s="1371"/>
      <c r="R38" s="1371"/>
      <c r="S38" s="1371"/>
      <c r="T38" s="1371"/>
      <c r="U38" s="1371"/>
      <c r="V38" s="1371"/>
      <c r="W38" s="1371"/>
      <c r="X38" s="1371"/>
      <c r="Y38" s="1371"/>
      <c r="Z38" s="1372"/>
    </row>
    <row r="39" spans="1:37" ht="13.5" thickBot="1">
      <c r="A39" s="2852"/>
      <c r="B39" s="2870" t="s">
        <v>2944</v>
      </c>
      <c r="C39" s="227">
        <f ca="1">ROUND(C5*C19*C20*C24*F39,0)</f>
        <v>2000</v>
      </c>
      <c r="D39" s="2854"/>
      <c r="E39" s="227">
        <f t="shared" ca="1" si="7"/>
        <v>0</v>
      </c>
      <c r="F39" s="933">
        <f>SUMIF(修正!A45:A56,G2,修正!H45:H56)</f>
        <v>0.2</v>
      </c>
      <c r="G39" s="227">
        <f ca="1">ROUND(IF(E2="工业",C39*$M$39,C39*$M$38),0)</f>
        <v>500</v>
      </c>
      <c r="H39" s="227">
        <f t="shared" si="8"/>
        <v>0</v>
      </c>
      <c r="I39" s="227">
        <f t="shared" ca="1" si="9"/>
        <v>0</v>
      </c>
      <c r="J39" s="2871"/>
      <c r="K39" s="1371"/>
      <c r="L39" s="2872" t="s">
        <v>2887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2945</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2946</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2947</v>
      </c>
      <c r="B47" s="2954" t="s">
        <v>2948</v>
      </c>
      <c r="C47" s="2954" t="s">
        <v>2949</v>
      </c>
      <c r="D47" s="2954" t="s">
        <v>2950</v>
      </c>
      <c r="E47" s="817" t="s">
        <v>2951</v>
      </c>
      <c r="F47" s="2882" t="s">
        <v>2952</v>
      </c>
      <c r="G47" s="2954" t="s">
        <v>754</v>
      </c>
      <c r="H47" s="2883" t="s">
        <v>2953</v>
      </c>
      <c r="I47" s="2954" t="s">
        <v>2954</v>
      </c>
      <c r="J47" s="601" t="s">
        <v>2602</v>
      </c>
      <c r="K47" s="601" t="s">
        <v>2603</v>
      </c>
      <c r="L47" s="601" t="s">
        <v>2604</v>
      </c>
      <c r="M47" s="601" t="s">
        <v>2605</v>
      </c>
      <c r="N47" s="601" t="s">
        <v>2606</v>
      </c>
      <c r="AA47" s="1372"/>
      <c r="AB47" s="1372"/>
      <c r="AC47" s="1372"/>
      <c r="AD47" s="1372"/>
      <c r="AE47" s="1372"/>
      <c r="AF47" s="1372"/>
      <c r="AG47" s="1372"/>
      <c r="AH47" s="1372"/>
      <c r="AI47" s="1372"/>
      <c r="AJ47" s="1372"/>
      <c r="AK47" s="1372"/>
    </row>
    <row r="48" spans="1:37" s="1371" customFormat="1" ht="38.25">
      <c r="A48" s="2881" t="s">
        <v>2955</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2956</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2957</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2958</v>
      </c>
      <c r="B51" s="2886" t="s">
        <v>2959</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2960</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2961</v>
      </c>
      <c r="B53" s="2887" t="s">
        <v>2962</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2963</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2964</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2965</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2966</v>
      </c>
      <c r="B57" s="2878">
        <f>1+E59</f>
        <v>1.0175000000000001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2947</v>
      </c>
      <c r="B58" s="2954"/>
      <c r="C58" s="2954" t="s">
        <v>2949</v>
      </c>
      <c r="D58" s="2954" t="s">
        <v>2950</v>
      </c>
      <c r="E58" s="817" t="s">
        <v>2951</v>
      </c>
      <c r="F58" s="2882" t="s">
        <v>2967</v>
      </c>
      <c r="G58" s="2954" t="s">
        <v>754</v>
      </c>
      <c r="H58" s="2883" t="s">
        <v>2953</v>
      </c>
      <c r="I58" s="2954" t="s">
        <v>2954</v>
      </c>
      <c r="J58" s="601" t="s">
        <v>2602</v>
      </c>
      <c r="K58" s="601" t="s">
        <v>2603</v>
      </c>
      <c r="L58" s="601" t="s">
        <v>2604</v>
      </c>
      <c r="M58" s="601" t="s">
        <v>2605</v>
      </c>
      <c r="N58" s="601" t="s">
        <v>2606</v>
      </c>
      <c r="AA58" s="1372"/>
      <c r="AB58" s="1372"/>
      <c r="AC58" s="1372"/>
      <c r="AD58" s="1372"/>
      <c r="AE58" s="1372"/>
      <c r="AF58" s="1372"/>
      <c r="AG58" s="1372"/>
      <c r="AH58" s="1372"/>
      <c r="AI58" s="1372"/>
      <c r="AJ58" s="1372"/>
      <c r="AK58" s="1372"/>
    </row>
    <row r="59" spans="1:37" s="1371" customFormat="1" ht="38.25">
      <c r="A59" s="2881" t="s">
        <v>2968</v>
      </c>
      <c r="B59" s="2884" t="str">
        <f>估价对象房地状况!C17</f>
        <v>估价对象位于XX商圈，周边办公楼项目较多，入驻率高，办公集聚程度较好</v>
      </c>
      <c r="C59" s="2773" t="s">
        <v>3078</v>
      </c>
      <c r="D59" s="1287">
        <f t="shared" ref="D59:D67" si="15">SUMIF($J$58:$N$58,C59,J59:N59)</f>
        <v>0</v>
      </c>
      <c r="E59" s="819">
        <f>ROUND(SUM(D59:D67),4)</f>
        <v>1.7500000000000002E-2</v>
      </c>
      <c r="F59" s="2504">
        <f>IF(E2="办公",SUMIF(L1:L12,G2,N1:N12),"——")</f>
        <v>0.13</v>
      </c>
      <c r="G59" s="1285">
        <v>1.5599999999999999E-2</v>
      </c>
      <c r="H59" s="1289">
        <f t="shared" ref="H59:H67" si="16">IFERROR(ROUNDDOWN($F$59*I59/2,4),"——")</f>
        <v>1.5599999999999999E-2</v>
      </c>
      <c r="I59" s="818">
        <v>0.24</v>
      </c>
      <c r="J59" s="1286">
        <f t="shared" ref="J59:J67" si="17">K59+$G59</f>
        <v>3.1199999999999999E-2</v>
      </c>
      <c r="K59" s="1286">
        <f t="shared" ref="K59:K67" si="18">$L59+$G59</f>
        <v>1.5599999999999999E-2</v>
      </c>
      <c r="L59" s="1286">
        <v>0</v>
      </c>
      <c r="M59" s="1286">
        <f t="shared" ref="M59:N67" si="19">L59-$G59</f>
        <v>-1.5599999999999999E-2</v>
      </c>
      <c r="N59" s="1286">
        <f t="shared" si="19"/>
        <v>-3.1199999999999999E-2</v>
      </c>
      <c r="AA59" s="1372"/>
      <c r="AB59" s="1372"/>
      <c r="AC59" s="1372"/>
      <c r="AD59" s="1372"/>
      <c r="AE59" s="1372"/>
      <c r="AF59" s="1372"/>
      <c r="AG59" s="1372"/>
      <c r="AH59" s="1372"/>
      <c r="AI59" s="1372"/>
      <c r="AJ59" s="1372"/>
      <c r="AK59" s="1372"/>
    </row>
    <row r="60" spans="1:37" s="1371" customFormat="1" ht="51">
      <c r="A60" s="2881" t="s">
        <v>2956</v>
      </c>
      <c r="B60" s="2885" t="str">
        <f>估价对象房地状况!C18</f>
        <v>估价对象周边道路状况、公共交通通达情况、停车便捷程度，综合评价交通便捷度较好</v>
      </c>
      <c r="C60" s="2773" t="s">
        <v>3078</v>
      </c>
      <c r="D60" s="1287">
        <f t="shared" si="15"/>
        <v>0</v>
      </c>
      <c r="E60" s="820"/>
      <c r="F60" s="2504"/>
      <c r="G60" s="1285">
        <v>1.95E-2</v>
      </c>
      <c r="H60" s="1289">
        <f t="shared" si="16"/>
        <v>1.95E-2</v>
      </c>
      <c r="I60" s="818">
        <v>0.3</v>
      </c>
      <c r="J60" s="1286">
        <f t="shared" si="17"/>
        <v>3.9E-2</v>
      </c>
      <c r="K60" s="1286">
        <f t="shared" si="18"/>
        <v>1.95E-2</v>
      </c>
      <c r="L60" s="1286">
        <v>0</v>
      </c>
      <c r="M60" s="1286">
        <f t="shared" si="19"/>
        <v>-1.95E-2</v>
      </c>
      <c r="N60" s="1286">
        <f t="shared" si="19"/>
        <v>-3.9E-2</v>
      </c>
      <c r="AA60" s="1372"/>
      <c r="AB60" s="1372"/>
      <c r="AC60" s="1372"/>
      <c r="AD60" s="1372"/>
      <c r="AE60" s="1372"/>
      <c r="AF60" s="1372"/>
      <c r="AG60" s="1372"/>
      <c r="AH60" s="1372"/>
      <c r="AI60" s="1372"/>
      <c r="AJ60" s="1372"/>
      <c r="AK60" s="1372"/>
    </row>
    <row r="61" spans="1:37" s="1371" customFormat="1" ht="24">
      <c r="A61" s="2881" t="s">
        <v>2957</v>
      </c>
      <c r="B61" s="2885">
        <f>估价对象房地状况!C19</f>
        <v>0</v>
      </c>
      <c r="C61" s="2773" t="s">
        <v>3078</v>
      </c>
      <c r="D61" s="1287">
        <f t="shared" si="15"/>
        <v>0</v>
      </c>
      <c r="E61" s="820"/>
      <c r="F61" s="2504"/>
      <c r="G61" s="1285">
        <v>5.1999999999999998E-3</v>
      </c>
      <c r="H61" s="1289">
        <f t="shared" si="16"/>
        <v>5.1999999999999998E-3</v>
      </c>
      <c r="I61" s="818">
        <v>0.08</v>
      </c>
      <c r="J61" s="1286">
        <f t="shared" si="17"/>
        <v>1.04E-2</v>
      </c>
      <c r="K61" s="1286">
        <f t="shared" si="18"/>
        <v>5.1999999999999998E-3</v>
      </c>
      <c r="L61" s="1286">
        <v>0</v>
      </c>
      <c r="M61" s="1286">
        <f t="shared" si="19"/>
        <v>-5.1999999999999998E-3</v>
      </c>
      <c r="N61" s="1286">
        <f t="shared" si="19"/>
        <v>-1.04E-2</v>
      </c>
      <c r="AA61" s="1372"/>
      <c r="AB61" s="1372"/>
      <c r="AC61" s="1372"/>
      <c r="AD61" s="1372"/>
      <c r="AE61" s="1372"/>
      <c r="AF61" s="1372"/>
      <c r="AG61" s="1372"/>
      <c r="AH61" s="1372"/>
      <c r="AI61" s="1372"/>
      <c r="AJ61" s="1372"/>
      <c r="AK61" s="1372"/>
    </row>
    <row r="62" spans="1:37" s="1371" customFormat="1" ht="36.75">
      <c r="A62" s="2881" t="s">
        <v>2958</v>
      </c>
      <c r="B62" s="2886" t="s">
        <v>2959</v>
      </c>
      <c r="C62" s="2773" t="s">
        <v>3079</v>
      </c>
      <c r="D62" s="1287">
        <f t="shared" si="15"/>
        <v>2.5999999999999999E-3</v>
      </c>
      <c r="E62" s="820"/>
      <c r="F62" s="2504"/>
      <c r="G62" s="1285">
        <v>2.5999999999999999E-3</v>
      </c>
      <c r="H62" s="1289">
        <f t="shared" si="16"/>
        <v>2.5999999999999999E-3</v>
      </c>
      <c r="I62" s="818">
        <v>0.04</v>
      </c>
      <c r="J62" s="1286">
        <f t="shared" si="17"/>
        <v>5.1999999999999998E-3</v>
      </c>
      <c r="K62" s="1286">
        <f t="shared" si="18"/>
        <v>2.5999999999999999E-3</v>
      </c>
      <c r="L62" s="1286">
        <v>0</v>
      </c>
      <c r="M62" s="1286">
        <f t="shared" si="19"/>
        <v>-2.5999999999999999E-3</v>
      </c>
      <c r="N62" s="1286">
        <f t="shared" si="19"/>
        <v>-5.1999999999999998E-3</v>
      </c>
      <c r="AA62" s="1372"/>
      <c r="AB62" s="1372"/>
      <c r="AC62" s="1372"/>
      <c r="AD62" s="1372"/>
      <c r="AE62" s="1372"/>
      <c r="AF62" s="1372"/>
      <c r="AG62" s="1372"/>
      <c r="AH62" s="1372"/>
      <c r="AI62" s="1372"/>
      <c r="AJ62" s="1372"/>
      <c r="AK62" s="1372"/>
    </row>
    <row r="63" spans="1:37" s="1371" customFormat="1" ht="24">
      <c r="A63" s="2881" t="s">
        <v>2960</v>
      </c>
      <c r="B63" s="2885">
        <f>估价对象房地状况!C24</f>
        <v>0</v>
      </c>
      <c r="C63" s="2773" t="s">
        <v>3078</v>
      </c>
      <c r="D63" s="1287">
        <f t="shared" si="15"/>
        <v>0</v>
      </c>
      <c r="E63" s="820"/>
      <c r="F63" s="2504"/>
      <c r="G63" s="1285">
        <v>3.2000000000000002E-3</v>
      </c>
      <c r="H63" s="1289">
        <f t="shared" si="16"/>
        <v>3.2000000000000002E-3</v>
      </c>
      <c r="I63" s="818">
        <v>0.05</v>
      </c>
      <c r="J63" s="1286">
        <f t="shared" si="17"/>
        <v>6.4000000000000003E-3</v>
      </c>
      <c r="K63" s="1286">
        <f t="shared" si="18"/>
        <v>3.2000000000000002E-3</v>
      </c>
      <c r="L63" s="1286">
        <v>0</v>
      </c>
      <c r="M63" s="1286">
        <f t="shared" si="19"/>
        <v>-3.2000000000000002E-3</v>
      </c>
      <c r="N63" s="1286">
        <f t="shared" si="19"/>
        <v>-6.4000000000000003E-3</v>
      </c>
      <c r="AA63" s="1372"/>
      <c r="AB63" s="1372"/>
      <c r="AC63" s="1372"/>
      <c r="AD63" s="1372"/>
      <c r="AE63" s="1372"/>
      <c r="AF63" s="1372"/>
      <c r="AG63" s="1372"/>
      <c r="AH63" s="1372"/>
      <c r="AI63" s="1372"/>
      <c r="AJ63" s="1372"/>
      <c r="AK63" s="1372"/>
    </row>
    <row r="64" spans="1:37" s="1371" customFormat="1" ht="24">
      <c r="A64" s="2881" t="s">
        <v>2961</v>
      </c>
      <c r="B64" s="2887" t="s">
        <v>2962</v>
      </c>
      <c r="C64" s="2773" t="s">
        <v>3079</v>
      </c>
      <c r="D64" s="1287">
        <f t="shared" si="15"/>
        <v>3.2000000000000002E-3</v>
      </c>
      <c r="E64" s="820"/>
      <c r="F64" s="2504"/>
      <c r="G64" s="1285">
        <v>3.2000000000000002E-3</v>
      </c>
      <c r="H64" s="1289">
        <f t="shared" si="16"/>
        <v>3.2000000000000002E-3</v>
      </c>
      <c r="I64" s="818">
        <v>0.05</v>
      </c>
      <c r="J64" s="1286">
        <f t="shared" si="17"/>
        <v>6.4000000000000003E-3</v>
      </c>
      <c r="K64" s="1286">
        <f t="shared" si="18"/>
        <v>3.2000000000000002E-3</v>
      </c>
      <c r="L64" s="1286">
        <v>0</v>
      </c>
      <c r="M64" s="1286">
        <f t="shared" si="19"/>
        <v>-3.2000000000000002E-3</v>
      </c>
      <c r="N64" s="1286">
        <f t="shared" si="19"/>
        <v>-6.4000000000000003E-3</v>
      </c>
      <c r="AA64" s="1372"/>
      <c r="AB64" s="1372"/>
      <c r="AC64" s="1372"/>
      <c r="AD64" s="1372"/>
      <c r="AE64" s="1372"/>
      <c r="AF64" s="1372"/>
      <c r="AG64" s="1372"/>
      <c r="AH64" s="1372"/>
      <c r="AI64" s="1372"/>
      <c r="AJ64" s="1372"/>
      <c r="AK64" s="1372"/>
    </row>
    <row r="65" spans="1:37" s="1371" customFormat="1" ht="25.5">
      <c r="A65" s="2881" t="s">
        <v>2963</v>
      </c>
      <c r="B65" s="1726" t="str">
        <f>估价对象房地状况!C21</f>
        <v>估价对象所在区域公共配套设施齐备情况</v>
      </c>
      <c r="C65" s="2773" t="s">
        <v>3079</v>
      </c>
      <c r="D65" s="1287">
        <f t="shared" si="15"/>
        <v>3.8999999999999998E-3</v>
      </c>
      <c r="E65" s="820"/>
      <c r="F65" s="2504"/>
      <c r="G65" s="1285">
        <v>3.8999999999999998E-3</v>
      </c>
      <c r="H65" s="1289">
        <f t="shared" si="16"/>
        <v>3.8999999999999998E-3</v>
      </c>
      <c r="I65" s="818">
        <v>0.06</v>
      </c>
      <c r="J65" s="1286">
        <f t="shared" si="17"/>
        <v>7.7999999999999996E-3</v>
      </c>
      <c r="K65" s="1286">
        <f t="shared" si="18"/>
        <v>3.8999999999999998E-3</v>
      </c>
      <c r="L65" s="1286">
        <v>0</v>
      </c>
      <c r="M65" s="1286">
        <f t="shared" si="19"/>
        <v>-3.8999999999999998E-3</v>
      </c>
      <c r="N65" s="1286">
        <f t="shared" si="19"/>
        <v>-7.7999999999999996E-3</v>
      </c>
      <c r="AA65" s="1372"/>
      <c r="AB65" s="1372"/>
      <c r="AC65" s="1372"/>
      <c r="AD65" s="1372"/>
      <c r="AE65" s="1372"/>
      <c r="AF65" s="1372"/>
      <c r="AG65" s="1372"/>
      <c r="AH65" s="1372"/>
      <c r="AI65" s="1372"/>
      <c r="AJ65" s="1372"/>
      <c r="AK65" s="1372"/>
    </row>
    <row r="66" spans="1:37" s="1371" customFormat="1" ht="25.5">
      <c r="A66" s="2881" t="s">
        <v>2964</v>
      </c>
      <c r="B66" s="1726" t="str">
        <f>估价对象房地状况!C22</f>
        <v>估价对象所在区域基础设施水平</v>
      </c>
      <c r="C66" s="2773" t="s">
        <v>3079</v>
      </c>
      <c r="D66" s="1287">
        <f t="shared" si="15"/>
        <v>7.7999999999999996E-3</v>
      </c>
      <c r="E66" s="820"/>
      <c r="F66" s="2504"/>
      <c r="G66" s="1285">
        <v>7.7999999999999996E-3</v>
      </c>
      <c r="H66" s="1289">
        <f t="shared" si="16"/>
        <v>7.7999999999999996E-3</v>
      </c>
      <c r="I66" s="818">
        <v>0.12</v>
      </c>
      <c r="J66" s="1286">
        <f t="shared" si="17"/>
        <v>1.5599999999999999E-2</v>
      </c>
      <c r="K66" s="1286">
        <f t="shared" si="18"/>
        <v>7.7999999999999996E-3</v>
      </c>
      <c r="L66" s="1286">
        <v>0</v>
      </c>
      <c r="M66" s="1286">
        <f t="shared" si="19"/>
        <v>-7.7999999999999996E-3</v>
      </c>
      <c r="N66" s="1286">
        <f t="shared" si="19"/>
        <v>-1.5599999999999999E-2</v>
      </c>
      <c r="AA66" s="1372"/>
      <c r="AB66" s="1372"/>
      <c r="AC66" s="1372"/>
      <c r="AD66" s="1372"/>
      <c r="AE66" s="1372"/>
      <c r="AF66" s="1372"/>
      <c r="AG66" s="1372"/>
      <c r="AH66" s="1372"/>
      <c r="AI66" s="1372"/>
      <c r="AJ66" s="1372"/>
      <c r="AK66" s="1372"/>
    </row>
    <row r="67" spans="1:37" s="1371" customFormat="1" ht="39" thickBot="1">
      <c r="A67" s="2889" t="s">
        <v>2965</v>
      </c>
      <c r="B67" s="2891" t="str">
        <f>估价对象房地状况!C20</f>
        <v>区域自然环境：；人文环境；综合评价环境状况一般</v>
      </c>
      <c r="C67" s="2773" t="s">
        <v>3078</v>
      </c>
      <c r="D67" s="1287">
        <f t="shared" si="15"/>
        <v>0</v>
      </c>
      <c r="E67" s="823"/>
      <c r="F67" s="2504"/>
      <c r="G67" s="1285">
        <v>3.8999999999999998E-3</v>
      </c>
      <c r="H67" s="1289">
        <f t="shared" si="16"/>
        <v>3.8999999999999998E-3</v>
      </c>
      <c r="I67" s="822">
        <v>0.06</v>
      </c>
      <c r="J67" s="1286">
        <f t="shared" si="17"/>
        <v>7.7999999999999996E-3</v>
      </c>
      <c r="K67" s="1286">
        <f t="shared" si="18"/>
        <v>3.8999999999999998E-3</v>
      </c>
      <c r="L67" s="1286">
        <v>0</v>
      </c>
      <c r="M67" s="1286">
        <f t="shared" si="19"/>
        <v>-3.8999999999999998E-3</v>
      </c>
      <c r="N67" s="1286">
        <f t="shared" si="19"/>
        <v>-7.7999999999999996E-3</v>
      </c>
      <c r="AA67" s="1372"/>
      <c r="AB67" s="1372"/>
      <c r="AC67" s="1372"/>
      <c r="AD67" s="1372"/>
      <c r="AE67" s="1372"/>
      <c r="AF67" s="1372"/>
      <c r="AG67" s="1372"/>
      <c r="AH67" s="1372"/>
      <c r="AI67" s="1372"/>
      <c r="AJ67" s="1372"/>
      <c r="AK67" s="1372"/>
    </row>
    <row r="68" spans="1:37" s="1371" customFormat="1" ht="15">
      <c r="A68" s="2877" t="s">
        <v>2969</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2947</v>
      </c>
      <c r="B69" s="2954"/>
      <c r="C69" s="2954" t="s">
        <v>2949</v>
      </c>
      <c r="D69" s="2954" t="s">
        <v>2950</v>
      </c>
      <c r="E69" s="817" t="s">
        <v>2951</v>
      </c>
      <c r="F69" s="2882" t="s">
        <v>2967</v>
      </c>
      <c r="G69" s="2954" t="s">
        <v>754</v>
      </c>
      <c r="H69" s="2883" t="s">
        <v>2953</v>
      </c>
      <c r="I69" s="2954" t="s">
        <v>2954</v>
      </c>
      <c r="J69" s="601" t="s">
        <v>2602</v>
      </c>
      <c r="K69" s="601" t="s">
        <v>2603</v>
      </c>
      <c r="L69" s="601" t="s">
        <v>2604</v>
      </c>
      <c r="M69" s="601" t="s">
        <v>2605</v>
      </c>
      <c r="N69" s="601" t="s">
        <v>2606</v>
      </c>
      <c r="AA69" s="1372"/>
      <c r="AB69" s="1372"/>
      <c r="AC69" s="1372"/>
      <c r="AD69" s="1372"/>
      <c r="AE69" s="1372"/>
      <c r="AF69" s="1372"/>
      <c r="AG69" s="1372"/>
      <c r="AH69" s="1372"/>
      <c r="AI69" s="1372"/>
      <c r="AJ69" s="1372"/>
      <c r="AK69" s="1372"/>
    </row>
    <row r="70" spans="1:37" s="1371" customFormat="1" ht="51">
      <c r="A70" s="2881" t="s">
        <v>2970</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2956</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2957</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2971</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2963</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2964</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2961</v>
      </c>
      <c r="B76" s="2887" t="s">
        <v>2962</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2965</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2972</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2973</v>
      </c>
      <c r="B79" s="2878">
        <f>1+E81</f>
        <v>1</v>
      </c>
      <c r="C79" s="812"/>
      <c r="D79" s="812"/>
      <c r="E79" s="813"/>
      <c r="F79" s="2880"/>
      <c r="G79" s="6"/>
      <c r="H79" s="6"/>
      <c r="I79" s="6"/>
      <c r="J79" s="7"/>
      <c r="K79" s="7"/>
      <c r="L79" s="7"/>
      <c r="M79" s="7"/>
      <c r="N79" s="7"/>
      <c r="Z79" s="2723"/>
      <c r="AA79" s="2799"/>
      <c r="AG79" s="1373"/>
      <c r="AK79" s="2799"/>
    </row>
    <row r="80" spans="1:37" ht="24.75">
      <c r="A80" s="2881" t="s">
        <v>2947</v>
      </c>
      <c r="B80" s="2954"/>
      <c r="C80" s="2954" t="s">
        <v>2949</v>
      </c>
      <c r="D80" s="2954" t="s">
        <v>2950</v>
      </c>
      <c r="E80" s="817" t="s">
        <v>2951</v>
      </c>
      <c r="F80" s="2882" t="s">
        <v>2967</v>
      </c>
      <c r="G80" s="2954" t="s">
        <v>754</v>
      </c>
      <c r="H80" s="2883" t="s">
        <v>2953</v>
      </c>
      <c r="I80" s="2954" t="s">
        <v>2954</v>
      </c>
      <c r="J80" s="601" t="s">
        <v>2602</v>
      </c>
      <c r="K80" s="601" t="s">
        <v>2603</v>
      </c>
      <c r="L80" s="601" t="s">
        <v>2604</v>
      </c>
      <c r="M80" s="601" t="s">
        <v>2605</v>
      </c>
      <c r="N80" s="601" t="s">
        <v>2606</v>
      </c>
      <c r="Z80" s="2723"/>
      <c r="AA80" s="2799"/>
      <c r="AG80" s="1373"/>
      <c r="AK80" s="2799"/>
    </row>
    <row r="81" spans="1:37" ht="38.25">
      <c r="A81" s="2881" t="s">
        <v>2974</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2956</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2957</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2971</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2963</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2964</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2961</v>
      </c>
      <c r="B87" s="2887" t="s">
        <v>2975</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2976</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92" t="s">
        <v>2977</v>
      </c>
      <c r="B90" s="3292"/>
      <c r="C90" s="3292"/>
      <c r="D90" s="3292"/>
      <c r="E90" s="3292"/>
      <c r="F90" s="3292"/>
      <c r="G90" s="3292"/>
      <c r="H90" s="3292"/>
      <c r="I90" s="3292"/>
      <c r="J90" s="3292"/>
      <c r="K90" s="2963"/>
      <c r="L90" s="2963"/>
      <c r="M90" s="2963"/>
      <c r="N90" s="2963"/>
    </row>
    <row r="91" spans="1:37">
      <c r="A91" s="3294" t="s">
        <v>2978</v>
      </c>
      <c r="B91" s="3294" t="s">
        <v>2979</v>
      </c>
      <c r="C91" s="2849" t="s">
        <v>2980</v>
      </c>
      <c r="D91" s="2850"/>
      <c r="E91" s="2850"/>
      <c r="F91" s="2850"/>
      <c r="G91" s="2850"/>
      <c r="H91" s="2850"/>
      <c r="I91" s="2850"/>
      <c r="J91" s="2896"/>
      <c r="K91" s="2897"/>
      <c r="L91" s="2897"/>
      <c r="M91" s="2897"/>
      <c r="N91" s="2897"/>
    </row>
    <row r="92" spans="1:37">
      <c r="A92" s="3294"/>
      <c r="B92" s="3294"/>
      <c r="C92" s="2965" t="s">
        <v>2846</v>
      </c>
      <c r="D92" s="2965" t="s">
        <v>2847</v>
      </c>
      <c r="E92" s="2965" t="s">
        <v>2848</v>
      </c>
      <c r="F92" s="2965" t="s">
        <v>2849</v>
      </c>
      <c r="G92" s="2965" t="s">
        <v>2850</v>
      </c>
      <c r="H92" s="2965" t="s">
        <v>2851</v>
      </c>
      <c r="I92" s="2965" t="s">
        <v>2852</v>
      </c>
      <c r="J92" s="2965" t="s">
        <v>2853</v>
      </c>
      <c r="K92" s="2965" t="s">
        <v>2854</v>
      </c>
      <c r="L92" s="2965" t="s">
        <v>2855</v>
      </c>
      <c r="M92" s="2965" t="s">
        <v>2856</v>
      </c>
      <c r="N92" s="2965" t="s">
        <v>2857</v>
      </c>
    </row>
    <row r="93" spans="1:37">
      <c r="A93" s="3295"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6"/>
      <c r="B99" s="2898" t="s">
        <v>2862</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97"/>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95" t="s">
        <v>2982</v>
      </c>
      <c r="B101" s="2902" t="s">
        <v>2983</v>
      </c>
      <c r="C101" s="2903">
        <f>$G$3</f>
        <v>5.82</v>
      </c>
      <c r="D101" s="2903">
        <f t="shared" ref="D101:N101" si="31">$G$3</f>
        <v>5.82</v>
      </c>
      <c r="E101" s="2903">
        <f t="shared" si="31"/>
        <v>5.82</v>
      </c>
      <c r="F101" s="2903">
        <f t="shared" si="31"/>
        <v>5.82</v>
      </c>
      <c r="G101" s="2903">
        <f t="shared" si="31"/>
        <v>5.82</v>
      </c>
      <c r="H101" s="2903">
        <f t="shared" si="31"/>
        <v>5.82</v>
      </c>
      <c r="I101" s="2903">
        <f t="shared" si="31"/>
        <v>5.82</v>
      </c>
      <c r="J101" s="2903">
        <f t="shared" si="31"/>
        <v>5.82</v>
      </c>
      <c r="K101" s="2903">
        <f t="shared" si="31"/>
        <v>5.82</v>
      </c>
      <c r="L101" s="2903">
        <f t="shared" si="31"/>
        <v>5.82</v>
      </c>
      <c r="M101" s="2903">
        <f t="shared" si="31"/>
        <v>5.82</v>
      </c>
      <c r="N101" s="2903">
        <f t="shared" si="31"/>
        <v>5.82</v>
      </c>
    </row>
    <row r="102" spans="1:14">
      <c r="A102" s="3296"/>
      <c r="B102" s="2898">
        <v>1</v>
      </c>
      <c r="C102" s="2899">
        <f>1.9362/C101</f>
        <v>0.33268041237113399</v>
      </c>
      <c r="D102" s="2899">
        <f>1.9362/D101</f>
        <v>0.33268041237113399</v>
      </c>
      <c r="E102" s="2899">
        <f>1.8629/E101</f>
        <v>0.32008591065292097</v>
      </c>
      <c r="F102" s="2899">
        <f>1.8629/F101</f>
        <v>0.32008591065292097</v>
      </c>
      <c r="G102" s="2899">
        <f>1.8629/G101</f>
        <v>0.32008591065292097</v>
      </c>
      <c r="H102" s="2899">
        <f>1.8629/H101</f>
        <v>0.32008591065292097</v>
      </c>
      <c r="I102" s="2899">
        <f>1.8629/I101</f>
        <v>0.32008591065292097</v>
      </c>
      <c r="J102" s="2899">
        <f>1.942/J101</f>
        <v>0.33367697594501716</v>
      </c>
      <c r="K102" s="2899">
        <f>1.942/K101</f>
        <v>0.33367697594501716</v>
      </c>
      <c r="L102" s="2899">
        <f>1.942/L101</f>
        <v>0.33367697594501716</v>
      </c>
      <c r="M102" s="2899">
        <f>1.942/M101</f>
        <v>0.33367697594501716</v>
      </c>
      <c r="N102" s="2899">
        <f>1.942/N101</f>
        <v>0.33367697594501716</v>
      </c>
    </row>
    <row r="103" spans="1:14">
      <c r="A103" s="3296"/>
      <c r="B103" s="2898">
        <v>2</v>
      </c>
      <c r="C103" s="2899">
        <f>1.4198/C101</f>
        <v>0.24395189003436424</v>
      </c>
      <c r="D103" s="2899">
        <f>1.4198/D101</f>
        <v>0.24395189003436424</v>
      </c>
      <c r="E103" s="2899">
        <f>1.3372/E101</f>
        <v>0.22975945017182128</v>
      </c>
      <c r="F103" s="2899">
        <f>1.3372/F101</f>
        <v>0.22975945017182128</v>
      </c>
      <c r="G103" s="2899">
        <f>1.3372/G101</f>
        <v>0.22975945017182128</v>
      </c>
      <c r="H103" s="2899">
        <f>1.3372/H101</f>
        <v>0.22975945017182128</v>
      </c>
      <c r="I103" s="2899">
        <f>1.3372/I101</f>
        <v>0.22975945017182128</v>
      </c>
      <c r="J103" s="2899">
        <f>1.2799/J101</f>
        <v>0.21991408934707904</v>
      </c>
      <c r="K103" s="2899">
        <f>1.2799/K101</f>
        <v>0.21991408934707904</v>
      </c>
      <c r="L103" s="2899">
        <f>1.2799/L101</f>
        <v>0.21991408934707904</v>
      </c>
      <c r="M103" s="2899">
        <f>1.2799/M101</f>
        <v>0.21991408934707904</v>
      </c>
      <c r="N103" s="2899">
        <f>1.2799/N101</f>
        <v>0.21991408934707904</v>
      </c>
    </row>
    <row r="104" spans="1:14">
      <c r="A104" s="3296"/>
      <c r="B104" s="2898">
        <v>3</v>
      </c>
      <c r="C104" s="2899">
        <f>1.1594/C101</f>
        <v>0.19920962199312714</v>
      </c>
      <c r="D104" s="2899">
        <f>1.1594/D101</f>
        <v>0.19920962199312714</v>
      </c>
      <c r="E104" s="2899">
        <f>1.0788/E101</f>
        <v>0.18536082474226803</v>
      </c>
      <c r="F104" s="2899">
        <f>1.0788/F101</f>
        <v>0.18536082474226803</v>
      </c>
      <c r="G104" s="2899">
        <f>1.0788/G101</f>
        <v>0.18536082474226803</v>
      </c>
      <c r="H104" s="2899">
        <f>1.0788/H101</f>
        <v>0.18536082474226803</v>
      </c>
      <c r="I104" s="2899">
        <f>1.0788/I101</f>
        <v>0.18536082474226803</v>
      </c>
      <c r="J104" s="2899">
        <f>1.0072/J101</f>
        <v>0.17305841924398627</v>
      </c>
      <c r="K104" s="2899">
        <f>1.0072/K101</f>
        <v>0.17305841924398627</v>
      </c>
      <c r="L104" s="2899">
        <f>1.0072/L101</f>
        <v>0.17305841924398627</v>
      </c>
      <c r="M104" s="2899">
        <f>1.0072/M101</f>
        <v>0.17305841924398627</v>
      </c>
      <c r="N104" s="2899">
        <f>1.0072/N101</f>
        <v>0.17305841924398627</v>
      </c>
    </row>
    <row r="105" spans="1:14">
      <c r="A105" s="3296"/>
      <c r="B105" s="2898">
        <v>4</v>
      </c>
      <c r="C105" s="2899">
        <f>0.9622/C101</f>
        <v>0.16532646048109967</v>
      </c>
      <c r="D105" s="2899">
        <f>0.9622/D101</f>
        <v>0.16532646048109967</v>
      </c>
      <c r="E105" s="2899">
        <f>0.8656/E101</f>
        <v>0.14872852233676975</v>
      </c>
      <c r="F105" s="2899">
        <f>0.8656/F101</f>
        <v>0.14872852233676975</v>
      </c>
      <c r="G105" s="2899">
        <f>0.8656/G101</f>
        <v>0.14872852233676975</v>
      </c>
      <c r="H105" s="2899">
        <f>0.8656/H101</f>
        <v>0.14872852233676975</v>
      </c>
      <c r="I105" s="2899">
        <f>0.8656/I101</f>
        <v>0.14872852233676975</v>
      </c>
      <c r="J105" s="2899">
        <f>0.7525/J101</f>
        <v>0.12929553264604809</v>
      </c>
      <c r="K105" s="2899">
        <f>0.7525/K101</f>
        <v>0.12929553264604809</v>
      </c>
      <c r="L105" s="2899">
        <f>0.7525/L101</f>
        <v>0.12929553264604809</v>
      </c>
      <c r="M105" s="2899">
        <f>0.7525/M101</f>
        <v>0.12929553264604809</v>
      </c>
      <c r="N105" s="2899">
        <f>0.7525/N101</f>
        <v>0.12929553264604809</v>
      </c>
    </row>
    <row r="106" spans="1:14">
      <c r="A106" s="3296"/>
      <c r="B106" s="2898">
        <v>5</v>
      </c>
      <c r="C106" s="2899">
        <f>0.8417/C101</f>
        <v>0.14462199312714777</v>
      </c>
      <c r="D106" s="2899">
        <f>0.8417/D101</f>
        <v>0.14462199312714777</v>
      </c>
      <c r="E106" s="2899">
        <f>0.7371/E101</f>
        <v>0.12664948453608246</v>
      </c>
      <c r="F106" s="2899">
        <f>0.7371/F101</f>
        <v>0.12664948453608246</v>
      </c>
      <c r="G106" s="2899">
        <f>0.7371/G101</f>
        <v>0.12664948453608246</v>
      </c>
      <c r="H106" s="2899">
        <f>0.7371/H101</f>
        <v>0.12664948453608246</v>
      </c>
      <c r="I106" s="2899">
        <f>0.7371/I101</f>
        <v>0.12664948453608246</v>
      </c>
      <c r="J106" s="2899">
        <f>0.5659/J101</f>
        <v>9.723367697594501E-2</v>
      </c>
      <c r="K106" s="2899">
        <f>0.5659/K101</f>
        <v>9.723367697594501E-2</v>
      </c>
      <c r="L106" s="2899">
        <f>0.5659/L101</f>
        <v>9.723367697594501E-2</v>
      </c>
      <c r="M106" s="2899">
        <f>0.5659/M101</f>
        <v>9.723367697594501E-2</v>
      </c>
      <c r="N106" s="2899">
        <f>0.5659/N101</f>
        <v>9.723367697594501E-2</v>
      </c>
    </row>
    <row r="107" spans="1:14">
      <c r="A107" s="3296"/>
      <c r="B107" s="2898">
        <v>6</v>
      </c>
      <c r="C107" s="2899">
        <f>0.7608/C101</f>
        <v>0.13072164948453607</v>
      </c>
      <c r="D107" s="2899">
        <f>0.7608/D101</f>
        <v>0.13072164948453607</v>
      </c>
      <c r="E107" s="2899">
        <f>0.6482/E101</f>
        <v>0.11137457044673539</v>
      </c>
      <c r="F107" s="2899">
        <f>0.6482/F101</f>
        <v>0.11137457044673539</v>
      </c>
      <c r="G107" s="2899">
        <f>0.6482/G101</f>
        <v>0.11137457044673539</v>
      </c>
      <c r="H107" s="2899">
        <f>0.6482/H101</f>
        <v>0.11137457044673539</v>
      </c>
      <c r="I107" s="2899">
        <f>0.6482/I101</f>
        <v>0.11137457044673539</v>
      </c>
      <c r="J107" s="2899">
        <f>0.4525/J101</f>
        <v>7.7749140893470792E-2</v>
      </c>
      <c r="K107" s="2899">
        <f>0.4525/K101</f>
        <v>7.7749140893470792E-2</v>
      </c>
      <c r="L107" s="2899">
        <f>0.4525/L101</f>
        <v>7.7749140893470792E-2</v>
      </c>
      <c r="M107" s="2899">
        <f>0.4525/M101</f>
        <v>7.7749140893470792E-2</v>
      </c>
      <c r="N107" s="2899">
        <f>0.4525/N101</f>
        <v>7.7749140893470792E-2</v>
      </c>
    </row>
    <row r="108" spans="1:14">
      <c r="A108" s="3296"/>
      <c r="B108" s="3154" t="s">
        <v>2875</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97"/>
      <c r="B109" s="3155"/>
      <c r="C109" s="2901">
        <f>(-0.163*(C108^2)-0.59*C108+7617)*(10^(-4))/C101</f>
        <v>0.13086335051546391</v>
      </c>
      <c r="D109" s="2901">
        <f>(-0.163*(D108^2)-0.59*D108+7617)*(10^(-4))/D101</f>
        <v>0.13086335051546391</v>
      </c>
      <c r="E109" s="2901">
        <f>(-0.161*(E108^2)-7.509*E108+6533)*(10^(-4))/E101</f>
        <v>0.11211907216494846</v>
      </c>
      <c r="F109" s="2901">
        <f>(-0.161*(F108^2)-7.509*F108+6533)*(10^(-4))/F101</f>
        <v>0.11211907216494846</v>
      </c>
      <c r="G109" s="2901">
        <f>(-0.161*(G108^2)-7.509*G108+6533)*(10^(-4))/G101</f>
        <v>0.11211907216494846</v>
      </c>
      <c r="H109" s="2901">
        <f>(-0.161*(H108^2)-7.509*H108+6533)*(10^(-4))/H101</f>
        <v>0.11211907216494846</v>
      </c>
      <c r="I109" s="2901">
        <f>(-0.161*(I108^2)-7.509*I108+6533)*(10^(-4))/I101</f>
        <v>0.11211907216494846</v>
      </c>
      <c r="J109" s="2901">
        <f>(-0.214*(J108^2)-21.991*J108+4665)*(10^(-4))/J101</f>
        <v>7.9773109965635733E-2</v>
      </c>
      <c r="K109" s="2901">
        <f>(-0.214*(K108^2)-21.991*K108+4665)*(10^(-4))/K101</f>
        <v>7.9773109965635733E-2</v>
      </c>
      <c r="L109" s="2901">
        <f>(-0.214*(L108^2)-21.991*L108+4665)*(10^(-4))/L101</f>
        <v>7.9773109965635733E-2</v>
      </c>
      <c r="M109" s="2901">
        <f>(-0.214*(M108^2)-21.991*M108+4665)*(10^(-4))/M101</f>
        <v>7.9773109965635733E-2</v>
      </c>
      <c r="N109" s="2901">
        <f>(-0.214*(N108^2)-21.991*N108+4665)*(10^(-4))/N101</f>
        <v>7.9773109965635733E-2</v>
      </c>
    </row>
    <row r="110" spans="1:14">
      <c r="A110" s="3293" t="s">
        <v>2985</v>
      </c>
      <c r="B110" s="3293"/>
      <c r="C110" s="3293"/>
      <c r="D110" s="3293"/>
      <c r="E110" s="3293"/>
      <c r="F110" s="3293"/>
      <c r="G110" s="3293"/>
      <c r="H110" s="3293"/>
      <c r="I110" s="3293"/>
      <c r="J110" s="3293"/>
      <c r="K110" s="2964"/>
      <c r="L110" s="2964"/>
      <c r="M110" s="2964"/>
      <c r="N110" s="2964"/>
    </row>
    <row r="112" spans="1:14" ht="13.5" thickBot="1"/>
    <row r="113" spans="1:13" ht="25.5" thickBot="1">
      <c r="A113" s="901" t="s">
        <v>2986</v>
      </c>
      <c r="B113" s="1288">
        <f>G3</f>
        <v>5.82</v>
      </c>
      <c r="C113" s="902" t="s">
        <v>2987</v>
      </c>
      <c r="D113" s="903">
        <f>SUMPRODUCT((A115:A118=F113)*(B114:M114=H113)*B115:M118)</f>
        <v>0.78100000000000003</v>
      </c>
      <c r="E113" s="2727" t="s">
        <v>2819</v>
      </c>
      <c r="F113" s="2906" t="str">
        <f>E2</f>
        <v>办公</v>
      </c>
      <c r="G113" s="2727" t="s">
        <v>2820</v>
      </c>
      <c r="H113" s="2906" t="str">
        <f>G2</f>
        <v>七级</v>
      </c>
      <c r="I113" s="2727"/>
      <c r="J113" s="2907"/>
      <c r="K113" s="2907"/>
      <c r="L113" s="2907"/>
      <c r="M113" s="2907"/>
    </row>
    <row r="114" spans="1:13">
      <c r="A114" s="906"/>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I10" sqref="I10"/>
    </sheetView>
  </sheetViews>
  <sheetFormatPr defaultRowHeight="13.5"/>
  <cols>
    <col min="1" max="1" width="6.5" customWidth="1"/>
    <col min="2" max="2" width="19.5" customWidth="1"/>
    <col min="4" max="4" width="13.5" customWidth="1"/>
    <col min="5" max="6" width="14.375" style="2967" customWidth="1"/>
    <col min="7" max="8" width="10.5" bestFit="1" customWidth="1"/>
  </cols>
  <sheetData>
    <row r="1" spans="1:13">
      <c r="A1" s="2973"/>
      <c r="B1" s="2972" t="s">
        <v>3095</v>
      </c>
      <c r="C1" s="2972" t="s">
        <v>3097</v>
      </c>
      <c r="D1" s="2972" t="s">
        <v>3099</v>
      </c>
      <c r="E1" s="2972" t="s">
        <v>3100</v>
      </c>
      <c r="F1" s="2986"/>
      <c r="G1">
        <v>1</v>
      </c>
      <c r="H1">
        <v>2</v>
      </c>
      <c r="I1">
        <v>3</v>
      </c>
      <c r="J1">
        <v>4</v>
      </c>
      <c r="K1">
        <v>5</v>
      </c>
      <c r="L1">
        <v>6</v>
      </c>
      <c r="M1">
        <v>7</v>
      </c>
    </row>
    <row r="2" spans="1:13">
      <c r="A2" s="2973"/>
      <c r="B2" s="2972" t="s">
        <v>3096</v>
      </c>
      <c r="C2" s="2972"/>
      <c r="D2" s="2972">
        <f>2106074.88</f>
        <v>2106074.88</v>
      </c>
      <c r="E2" s="2973">
        <v>216.4</v>
      </c>
      <c r="F2" s="2987"/>
      <c r="G2" s="2984" t="s">
        <v>3130</v>
      </c>
      <c r="H2" s="2984" t="s">
        <v>3131</v>
      </c>
      <c r="I2" s="2984" t="s">
        <v>3132</v>
      </c>
      <c r="J2" s="2985" t="s">
        <v>3133</v>
      </c>
      <c r="K2" s="2985" t="s">
        <v>3134</v>
      </c>
      <c r="L2" s="2985" t="s">
        <v>3135</v>
      </c>
      <c r="M2" s="2985" t="s">
        <v>3136</v>
      </c>
    </row>
    <row r="3" spans="1:13">
      <c r="A3" s="2969">
        <v>7</v>
      </c>
      <c r="B3" s="2971" t="s">
        <v>3081</v>
      </c>
      <c r="C3" s="2969">
        <f>98/365</f>
        <v>0.26849315068493151</v>
      </c>
      <c r="D3" s="2969">
        <f>ROUND(M3*C3,0)</f>
        <v>648856</v>
      </c>
      <c r="E3" s="2969">
        <f>ROUND(1.03*E2*C3,0)</f>
        <v>60</v>
      </c>
      <c r="F3" s="2988"/>
      <c r="G3">
        <f>D2</f>
        <v>2106074.88</v>
      </c>
      <c r="H3">
        <f>D2</f>
        <v>2106074.88</v>
      </c>
      <c r="I3">
        <f>D2</f>
        <v>2106074.88</v>
      </c>
      <c r="J3">
        <f>I3*1.03</f>
        <v>2169257.1264</v>
      </c>
      <c r="K3">
        <f>J3*1.03</f>
        <v>2234334.8401919999</v>
      </c>
      <c r="L3">
        <f>K3*1.04</f>
        <v>2323708.2337996801</v>
      </c>
      <c r="M3">
        <f>L3*1.04</f>
        <v>2416656.5631516674</v>
      </c>
    </row>
    <row r="4" spans="1:13">
      <c r="A4" s="2969">
        <v>8</v>
      </c>
      <c r="B4" s="2970" t="s">
        <v>3082</v>
      </c>
      <c r="C4" s="2969">
        <v>1</v>
      </c>
      <c r="D4" s="2969">
        <f>ROUND(M3*1.05,0)</f>
        <v>2537489</v>
      </c>
      <c r="E4" s="2969">
        <f>ROUND(1.04*E2,0)</f>
        <v>225</v>
      </c>
      <c r="F4" s="2989">
        <f>1+C20</f>
        <v>1.1829499999999999</v>
      </c>
    </row>
    <row r="5" spans="1:13">
      <c r="A5" s="2969">
        <v>9</v>
      </c>
      <c r="B5" s="2970" t="s">
        <v>3083</v>
      </c>
      <c r="C5" s="2969">
        <v>1</v>
      </c>
      <c r="D5" s="2969">
        <f>ROUND(D4*1.15,0)</f>
        <v>2918112</v>
      </c>
      <c r="E5" s="2969">
        <f>E4</f>
        <v>225</v>
      </c>
      <c r="F5" s="2990">
        <f>F4*F4</f>
        <v>1.3993707025</v>
      </c>
      <c r="G5">
        <f>F5*$D$4</f>
        <v>3550887.7645160225</v>
      </c>
    </row>
    <row r="6" spans="1:13">
      <c r="A6" s="2969">
        <v>10</v>
      </c>
      <c r="B6" s="2970" t="s">
        <v>3084</v>
      </c>
      <c r="C6" s="2969">
        <v>1</v>
      </c>
      <c r="D6" s="2969">
        <f>ROUND(1.18*D5,0)</f>
        <v>3443372</v>
      </c>
      <c r="E6" s="2969">
        <f>ROUND(1.05*E5,0)</f>
        <v>236</v>
      </c>
      <c r="F6" s="2991">
        <f>F5*F4</f>
        <v>1.6553855725223749</v>
      </c>
      <c r="G6">
        <f t="shared" ref="G6:G16" si="0">F6*$D$4</f>
        <v>4200522.6810342288</v>
      </c>
    </row>
    <row r="7" spans="1:13">
      <c r="A7" s="2969">
        <v>11</v>
      </c>
      <c r="B7" s="2970" t="s">
        <v>3085</v>
      </c>
      <c r="C7" s="2969">
        <v>1</v>
      </c>
      <c r="D7" s="2969">
        <f>ROUND(1.18*D6,0)</f>
        <v>4063179</v>
      </c>
      <c r="E7" s="2969">
        <f>ROUND(1.15*E6,0)</f>
        <v>271</v>
      </c>
      <c r="F7" s="2992">
        <f>F6*$F$4</f>
        <v>1.9582383630153433</v>
      </c>
      <c r="G7">
        <f t="shared" si="0"/>
        <v>4969008.3055294408</v>
      </c>
    </row>
    <row r="8" spans="1:13">
      <c r="A8" s="2969">
        <v>12</v>
      </c>
      <c r="B8" s="2970" t="s">
        <v>3086</v>
      </c>
      <c r="C8" s="2969">
        <v>1</v>
      </c>
      <c r="D8" s="2969">
        <f>ROUND(1.2*D7,0)</f>
        <v>4875815</v>
      </c>
      <c r="E8" s="2969">
        <f>ROUND(1.18*E7,0)</f>
        <v>320</v>
      </c>
      <c r="F8" s="2992">
        <f t="shared" ref="F8:F16" si="1">F7*$F$4</f>
        <v>2.3164980715290002</v>
      </c>
      <c r="G8">
        <f t="shared" si="0"/>
        <v>5878088.375026051</v>
      </c>
    </row>
    <row r="9" spans="1:13">
      <c r="A9" s="2969">
        <v>13</v>
      </c>
      <c r="B9" s="2970" t="s">
        <v>3087</v>
      </c>
      <c r="C9" s="2969">
        <v>1</v>
      </c>
      <c r="D9" s="2969">
        <f>ROUND(1.2*D8,0)</f>
        <v>5850978</v>
      </c>
      <c r="E9" s="2969">
        <f>E8</f>
        <v>320</v>
      </c>
      <c r="F9" s="2992">
        <f t="shared" si="1"/>
        <v>2.7403013937152307</v>
      </c>
      <c r="G9">
        <f t="shared" si="0"/>
        <v>6953484.6432370674</v>
      </c>
    </row>
    <row r="10" spans="1:13">
      <c r="A10" s="2969">
        <v>14</v>
      </c>
      <c r="B10" s="2970" t="s">
        <v>3088</v>
      </c>
      <c r="C10" s="2969">
        <v>1</v>
      </c>
      <c r="D10" s="2969">
        <f>ROUND(1.22*D9,0)</f>
        <v>7138193</v>
      </c>
      <c r="E10" s="2969">
        <f>ROUND(1.2*E9,0)</f>
        <v>384</v>
      </c>
      <c r="F10" s="2992">
        <f t="shared" si="1"/>
        <v>3.241639533695432</v>
      </c>
      <c r="G10">
        <f t="shared" si="0"/>
        <v>8225624.6587172877</v>
      </c>
    </row>
    <row r="11" spans="1:13">
      <c r="A11" s="2969">
        <v>15</v>
      </c>
      <c r="B11" s="2970" t="s">
        <v>3089</v>
      </c>
      <c r="C11" s="2969">
        <v>1</v>
      </c>
      <c r="D11" s="2969">
        <f>ROUND(1.22*D10,0)</f>
        <v>8708595</v>
      </c>
      <c r="E11" s="2969">
        <f>E10</f>
        <v>384</v>
      </c>
      <c r="F11" s="2992">
        <f t="shared" si="1"/>
        <v>3.8346974863850112</v>
      </c>
      <c r="G11">
        <f t="shared" si="0"/>
        <v>9730502.6900296155</v>
      </c>
    </row>
    <row r="12" spans="1:13">
      <c r="A12" s="2969">
        <v>16</v>
      </c>
      <c r="B12" s="2970" t="s">
        <v>3090</v>
      </c>
      <c r="C12" s="2969">
        <v>1</v>
      </c>
      <c r="D12" s="2969">
        <f>ROUND(1.25*D11,0)</f>
        <v>10885744</v>
      </c>
      <c r="E12" s="2969">
        <f>ROUND(1.22*E11,0)</f>
        <v>468</v>
      </c>
      <c r="F12" s="2992">
        <f t="shared" si="1"/>
        <v>4.5362553915191484</v>
      </c>
      <c r="G12">
        <f t="shared" si="0"/>
        <v>11510698.157170532</v>
      </c>
    </row>
    <row r="13" spans="1:13">
      <c r="A13" s="2969">
        <v>17</v>
      </c>
      <c r="B13" s="2970" t="s">
        <v>3091</v>
      </c>
      <c r="C13" s="2969">
        <v>1</v>
      </c>
      <c r="D13" s="2969">
        <f t="shared" ref="D13:D16" si="2">ROUND(1.25*D12,0)</f>
        <v>13607180</v>
      </c>
      <c r="E13" s="2969">
        <f>E12</f>
        <v>468</v>
      </c>
      <c r="F13" s="2992">
        <f t="shared" si="1"/>
        <v>5.3661633153975767</v>
      </c>
      <c r="G13">
        <f t="shared" si="0"/>
        <v>13616580.385024881</v>
      </c>
    </row>
    <row r="14" spans="1:13">
      <c r="A14" s="2969">
        <v>18</v>
      </c>
      <c r="B14" s="2970" t="s">
        <v>3092</v>
      </c>
      <c r="C14" s="2969">
        <v>1</v>
      </c>
      <c r="D14" s="2969">
        <f t="shared" si="2"/>
        <v>17008975</v>
      </c>
      <c r="E14" s="2969">
        <f>ROUND(1.25*E13,0)</f>
        <v>585</v>
      </c>
      <c r="F14" s="2992">
        <f t="shared" si="1"/>
        <v>6.3479028939495628</v>
      </c>
      <c r="G14">
        <f t="shared" si="0"/>
        <v>16107733.766465181</v>
      </c>
    </row>
    <row r="15" spans="1:13">
      <c r="A15" s="2969">
        <v>19</v>
      </c>
      <c r="B15" s="2970" t="s">
        <v>3093</v>
      </c>
      <c r="C15" s="2969">
        <v>1</v>
      </c>
      <c r="D15" s="2969">
        <f t="shared" si="2"/>
        <v>21261219</v>
      </c>
      <c r="E15" s="2969">
        <f>E14</f>
        <v>585</v>
      </c>
      <c r="F15" s="2992">
        <f t="shared" si="1"/>
        <v>7.5092517283976346</v>
      </c>
      <c r="G15">
        <f t="shared" si="0"/>
        <v>19054643.659039985</v>
      </c>
    </row>
    <row r="16" spans="1:13">
      <c r="A16" s="2969">
        <v>20</v>
      </c>
      <c r="B16" s="2970" t="s">
        <v>3094</v>
      </c>
      <c r="C16" s="2969">
        <v>1</v>
      </c>
      <c r="D16" s="2969">
        <f t="shared" si="2"/>
        <v>26576524</v>
      </c>
      <c r="E16" s="2969">
        <f>E14</f>
        <v>585</v>
      </c>
      <c r="F16" s="2992">
        <f t="shared" si="1"/>
        <v>8.883069332107981</v>
      </c>
      <c r="G16">
        <f t="shared" si="0"/>
        <v>22540690.716461349</v>
      </c>
    </row>
    <row r="17" spans="1:8">
      <c r="A17" s="2972" t="s">
        <v>3098</v>
      </c>
      <c r="B17" s="2973"/>
      <c r="C17" s="2973">
        <f>SUM(C3:C16)</f>
        <v>13.268493150684932</v>
      </c>
      <c r="D17" s="2973">
        <f>SUM(D3:D16)</f>
        <v>129524231</v>
      </c>
      <c r="E17" s="2973">
        <f>SUM(E3:E16)</f>
        <v>5116</v>
      </c>
      <c r="F17" s="2987"/>
      <c r="G17">
        <f>SUM(G5:G16)</f>
        <v>126338465.80225165</v>
      </c>
      <c r="H17">
        <f>SUM(D5:D16)</f>
        <v>126337886</v>
      </c>
    </row>
    <row r="18" spans="1:8">
      <c r="D18" s="2968">
        <f>ROUND(D17/4178.72*'数据-汇总表'!F19,0)</f>
        <v>21977510</v>
      </c>
    </row>
    <row r="20" spans="1:8">
      <c r="C20" s="2993">
        <v>0.18295</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7" t="s">
        <v>1150</v>
      </c>
      <c r="C1" s="3307"/>
      <c r="D1" s="3307"/>
      <c r="E1" s="3307"/>
      <c r="F1" s="3307"/>
      <c r="G1" s="3306" t="s">
        <v>1151</v>
      </c>
      <c r="H1" s="3306"/>
      <c r="I1" s="3306"/>
      <c r="J1" s="3306"/>
      <c r="K1" s="3306"/>
      <c r="L1" s="3306"/>
      <c r="N1" s="3306" t="s">
        <v>1152</v>
      </c>
      <c r="O1" s="3306"/>
      <c r="P1" s="3306"/>
      <c r="Q1" s="3306"/>
      <c r="R1" s="1447"/>
      <c r="S1" s="3306" t="s">
        <v>1153</v>
      </c>
      <c r="T1" s="3306"/>
      <c r="U1" s="3306"/>
      <c r="V1" s="3306"/>
      <c r="X1" s="3305" t="s">
        <v>1154</v>
      </c>
      <c r="Y1" s="3306"/>
      <c r="Z1" s="3306"/>
      <c r="AA1" s="3306"/>
      <c r="AB1" s="3306"/>
      <c r="AD1" s="3305" t="s">
        <v>1155</v>
      </c>
      <c r="AE1" s="3306"/>
      <c r="AF1" s="3306"/>
      <c r="AG1" s="3306"/>
      <c r="AH1" s="3306"/>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3039</v>
      </c>
      <c r="B3" s="2933"/>
      <c r="C3" s="2933"/>
      <c r="D3" s="2934"/>
      <c r="E3" s="2934"/>
      <c r="F3" s="2933"/>
      <c r="G3" s="2935"/>
      <c r="H3" s="2936"/>
      <c r="I3" s="2937">
        <f>ROUND(AVERAGE($I4:$I24),2)</f>
        <v>2.19</v>
      </c>
      <c r="J3" s="2937">
        <f>ROUND(AVERAGE($J4:$J24),2)</f>
        <v>1.53</v>
      </c>
      <c r="K3" s="2937">
        <f>ROUND(AVERAGE($K4:$K24),2)</f>
        <v>2.41</v>
      </c>
      <c r="L3" s="2937">
        <f>ROUND(AVERAGE($L9:$L24),2)</f>
        <v>1.39</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3104</v>
      </c>
      <c r="B5" s="1792">
        <f t="shared" ref="B5:C6" si="2">B6*(1+N5)</f>
        <v>459.95733971036987</v>
      </c>
      <c r="C5" s="1792">
        <f t="shared" si="2"/>
        <v>341.22221064422405</v>
      </c>
      <c r="D5" s="1792">
        <f t="shared" ref="D5:D6" si="3">C5</f>
        <v>341.22221064422405</v>
      </c>
      <c r="E5" s="1792">
        <f t="shared" ref="E5:F6" si="4">E6*(1+P5)</f>
        <v>657.19161663724799</v>
      </c>
      <c r="F5" s="1792">
        <f t="shared" si="4"/>
        <v>300.87803644464805</v>
      </c>
      <c r="G5" s="2966">
        <v>2018</v>
      </c>
      <c r="H5" s="1731">
        <v>4</v>
      </c>
      <c r="I5" s="2927">
        <v>0</v>
      </c>
      <c r="J5" s="2927">
        <v>0</v>
      </c>
      <c r="K5" s="2927">
        <v>0</v>
      </c>
      <c r="L5" s="2927">
        <v>0</v>
      </c>
      <c r="N5" s="1468">
        <f>I5/100</f>
        <v>0</v>
      </c>
      <c r="O5" s="1468">
        <f t="shared" ref="O5:Q6" si="5">J5/100</f>
        <v>0</v>
      </c>
      <c r="P5" s="1468">
        <f t="shared" si="5"/>
        <v>0</v>
      </c>
      <c r="Q5" s="1468">
        <f t="shared" si="5"/>
        <v>0</v>
      </c>
      <c r="R5" s="1733"/>
      <c r="S5" s="1734"/>
      <c r="T5" s="1733"/>
      <c r="U5" s="1733"/>
      <c r="V5" s="1733"/>
      <c r="W5" s="2931" t="s">
        <v>3105</v>
      </c>
      <c r="X5" s="1727">
        <f>ROUND(SUMPRODUCT(PRODUCT(1+N5:N$23)),4)</f>
        <v>1.4956</v>
      </c>
      <c r="Y5" s="1727">
        <f>ROUND(SUMPRODUCT(PRODUCT(1+O5:O$23)),4)</f>
        <v>1.3237000000000001</v>
      </c>
      <c r="Z5" s="1727">
        <f t="shared" ref="Z5:Z6" si="6">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AF6" si="7">AE5</f>
        <v>1.5299999999999999E-2</v>
      </c>
      <c r="AG5" s="1469">
        <f>ROUND(AVERAGE(K5:K$24)/100,4)</f>
        <v>2.41E-2</v>
      </c>
      <c r="AH5" s="1469">
        <f>ROUND(AVERAGE(L5:L$24)/100,4)</f>
        <v>1.4200000000000001E-2</v>
      </c>
    </row>
    <row r="6" spans="1:34" s="1467" customFormat="1" ht="13.5" thickBot="1">
      <c r="A6" s="1462" t="s">
        <v>3106</v>
      </c>
      <c r="B6" s="1478">
        <f t="shared" si="2"/>
        <v>459.95733971036987</v>
      </c>
      <c r="C6" s="1478">
        <f t="shared" si="2"/>
        <v>341.22221064422405</v>
      </c>
      <c r="D6" s="1478">
        <f t="shared" si="3"/>
        <v>341.22221064422405</v>
      </c>
      <c r="E6" s="1478">
        <f t="shared" si="4"/>
        <v>657.19161663724799</v>
      </c>
      <c r="F6" s="1478">
        <f t="shared" si="4"/>
        <v>300.87803644464805</v>
      </c>
      <c r="G6" s="2942"/>
      <c r="H6" s="1465">
        <v>3</v>
      </c>
      <c r="I6" s="1465">
        <v>1.51</v>
      </c>
      <c r="J6" s="1465">
        <v>1.41</v>
      </c>
      <c r="K6" s="1465">
        <v>1.52</v>
      </c>
      <c r="L6" s="1479">
        <v>1.74</v>
      </c>
      <c r="M6" s="1472"/>
      <c r="N6" s="1473">
        <f>I6/100</f>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 t="shared" si="6"/>
        <v>1.3237000000000001</v>
      </c>
      <c r="AA6" s="1789">
        <f>ROUND(SUMPRODUCT(PRODUCT(1+P6:P$23)),4)</f>
        <v>1.554</v>
      </c>
      <c r="AB6" s="1789">
        <f>ROUND(SUMPRODUCT(PRODUCT(1+Q6:Q$23)),4)</f>
        <v>1.3087</v>
      </c>
      <c r="AC6" s="1791"/>
      <c r="AD6" s="1790">
        <f>ROUND(AVERAGE(I6:I$24)/100,4)</f>
        <v>2.3099999999999999E-2</v>
      </c>
      <c r="AE6" s="1790">
        <f>ROUND(AVERAGE(J6:J$24)/100,4)</f>
        <v>1.61E-2</v>
      </c>
      <c r="AF6" s="1790">
        <f t="shared" si="7"/>
        <v>1.61E-2</v>
      </c>
      <c r="AG6" s="1790">
        <f>ROUND(AVERAGE(K6:K$24)/100,4)</f>
        <v>2.53E-2</v>
      </c>
      <c r="AH6" s="1790">
        <f>ROUND(AVERAGE(L6:L$24)/100,4)</f>
        <v>1.4999999999999999E-2</v>
      </c>
    </row>
    <row r="7" spans="1:34" s="1467" customFormat="1" ht="13.5" thickBot="1">
      <c r="A7" s="1462" t="s">
        <v>3045</v>
      </c>
      <c r="B7" s="1478">
        <f t="shared" ref="B7" si="8">B8*(1+N7)</f>
        <v>453.11529869999993</v>
      </c>
      <c r="C7" s="1478">
        <f t="shared" ref="C7" si="9">C8*(1+O7)</f>
        <v>336.47787264000004</v>
      </c>
      <c r="D7" s="1478">
        <f t="shared" ref="D7" si="10">C7</f>
        <v>336.47787264000004</v>
      </c>
      <c r="E7" s="1478">
        <f t="shared" ref="E7" si="11">E8*(1+P7)</f>
        <v>647.35186823999993</v>
      </c>
      <c r="F7" s="1478">
        <f t="shared" ref="F7" si="12">F8*(1+Q7)</f>
        <v>295.73229452000004</v>
      </c>
      <c r="G7" s="2942"/>
      <c r="H7" s="1465">
        <v>2</v>
      </c>
      <c r="I7" s="1465">
        <v>1.49</v>
      </c>
      <c r="J7" s="1465">
        <v>0.96</v>
      </c>
      <c r="K7" s="1465">
        <v>1.58</v>
      </c>
      <c r="L7" s="1479">
        <v>2.44</v>
      </c>
      <c r="M7" s="1472"/>
      <c r="N7" s="1473">
        <f t="shared" ref="N7" si="13">I7/100</f>
        <v>1.49E-2</v>
      </c>
      <c r="O7" s="1474">
        <f t="shared" ref="O7" si="14">J7/100</f>
        <v>9.5999999999999992E-3</v>
      </c>
      <c r="P7" s="1474">
        <f t="shared" ref="P7" si="15">K7/100</f>
        <v>1.5800000000000002E-2</v>
      </c>
      <c r="Q7" s="1474">
        <f t="shared" ref="Q7" si="16">L7/100</f>
        <v>2.4399999999999998E-2</v>
      </c>
      <c r="R7" s="1475"/>
      <c r="S7" s="1473"/>
      <c r="T7" s="1474"/>
      <c r="U7" s="1474"/>
      <c r="V7" s="1474"/>
      <c r="W7" s="1791"/>
      <c r="X7" s="1789">
        <f>ROUND(SUMPRODUCT(PRODUCT(1+N7:N$23)),4)</f>
        <v>1.4733000000000001</v>
      </c>
      <c r="Y7" s="1789">
        <f>ROUND(SUMPRODUCT(PRODUCT(1+O7:O$23)),4)</f>
        <v>1.3052999999999999</v>
      </c>
      <c r="Z7" s="1789">
        <f t="shared" ref="Z7" si="17">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18">AE7</f>
        <v>1.6199999999999999E-2</v>
      </c>
      <c r="AG7" s="1790">
        <f>ROUND(AVERAGE(K7:K$24)/100,4)</f>
        <v>2.5899999999999999E-2</v>
      </c>
      <c r="AH7" s="1790">
        <f>ROUND(AVERAGE(L7:L$24)/100,4)</f>
        <v>1.49E-2</v>
      </c>
    </row>
    <row r="8" spans="1:34" s="1467" customFormat="1" ht="13.5" thickBot="1">
      <c r="A8" s="1462" t="s">
        <v>3038</v>
      </c>
      <c r="B8" s="1478">
        <f t="shared" ref="B8" si="19">B9*(1+N8)</f>
        <v>446.46299999999997</v>
      </c>
      <c r="C8" s="1478">
        <f t="shared" ref="C8" si="20">C9*(1+O8)</f>
        <v>333.27840000000003</v>
      </c>
      <c r="D8" s="1478">
        <f t="shared" ref="D8" si="21">C8</f>
        <v>333.27840000000003</v>
      </c>
      <c r="E8" s="1478">
        <f t="shared" ref="E8" si="22">E9*(1+P8)</f>
        <v>637.28279999999995</v>
      </c>
      <c r="F8" s="1478">
        <f t="shared" ref="F8" si="23">F9*(1+Q8)</f>
        <v>288.68830000000003</v>
      </c>
      <c r="G8" s="2942"/>
      <c r="H8" s="1465">
        <v>1</v>
      </c>
      <c r="I8" s="1465">
        <v>1.7</v>
      </c>
      <c r="J8" s="1465">
        <v>1.92</v>
      </c>
      <c r="K8" s="1465">
        <v>1.64</v>
      </c>
      <c r="L8" s="1479">
        <v>2.0099999999999998</v>
      </c>
      <c r="M8" s="1472"/>
      <c r="N8" s="1473">
        <f t="shared" ref="N8:N13" si="24">I8/100</f>
        <v>1.7000000000000001E-2</v>
      </c>
      <c r="O8" s="1474">
        <f t="shared" ref="O8" si="25">J8/100</f>
        <v>1.9199999999999998E-2</v>
      </c>
      <c r="P8" s="1474">
        <f t="shared" ref="P8" si="26">K8/100</f>
        <v>1.6399999999999998E-2</v>
      </c>
      <c r="Q8" s="1474">
        <f t="shared" ref="Q8" si="27">L8/100</f>
        <v>2.0099999999999996E-2</v>
      </c>
      <c r="R8" s="1475"/>
      <c r="S8" s="1473">
        <f>B8/B9-1</f>
        <v>1.6999999999999904E-2</v>
      </c>
      <c r="T8" s="1474">
        <f t="shared" ref="T8" si="28">C8/C9-1</f>
        <v>1.9200000000000106E-2</v>
      </c>
      <c r="U8" s="1474">
        <f t="shared" ref="U8" si="29">D8/D9-1</f>
        <v>1.9200000000000106E-2</v>
      </c>
      <c r="V8" s="1474">
        <f t="shared" ref="V8" si="30">E8/E9-1</f>
        <v>1.639999999999997E-2</v>
      </c>
      <c r="W8" s="1791"/>
      <c r="X8" s="1789">
        <f>ROUND(SUMPRODUCT(PRODUCT(1+N8:N$23)),4)</f>
        <v>1.4517</v>
      </c>
      <c r="Y8" s="1789">
        <f>ROUND(SUMPRODUCT(PRODUCT(1+O8:O$23)),4)</f>
        <v>1.2928999999999999</v>
      </c>
      <c r="Z8" s="1789">
        <f t="shared" ref="Z8" si="31">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32">AE8</f>
        <v>1.66E-2</v>
      </c>
      <c r="AG8" s="1790">
        <f>ROUND(AVERAGE(K8:K$24)/100,4)</f>
        <v>2.6499999999999999E-2</v>
      </c>
      <c r="AH8" s="1790">
        <f>ROUND(AVERAGE(L8:L$24)/100,4)</f>
        <v>1.43E-2</v>
      </c>
    </row>
    <row r="9" spans="1:34">
      <c r="A9" s="1462" t="s">
        <v>3035</v>
      </c>
      <c r="B9" s="1470">
        <v>439</v>
      </c>
      <c r="C9" s="1470">
        <v>327</v>
      </c>
      <c r="D9" s="1470">
        <f>C9</f>
        <v>327</v>
      </c>
      <c r="E9" s="1470">
        <v>627</v>
      </c>
      <c r="F9" s="1471">
        <v>283</v>
      </c>
      <c r="G9" s="2929">
        <v>2017</v>
      </c>
      <c r="H9" s="1463">
        <v>4</v>
      </c>
      <c r="I9" s="1463">
        <v>1.71</v>
      </c>
      <c r="J9" s="1463">
        <v>1.78</v>
      </c>
      <c r="K9" s="1463">
        <v>1.71</v>
      </c>
      <c r="L9" s="1464">
        <v>1.43</v>
      </c>
      <c r="N9" s="1473">
        <f t="shared" si="24"/>
        <v>1.7100000000000001E-2</v>
      </c>
      <c r="O9" s="1474">
        <f t="shared" ref="O9" si="33">J9/100</f>
        <v>1.78E-2</v>
      </c>
      <c r="P9" s="1474">
        <f t="shared" ref="P9" si="34">K9/100</f>
        <v>1.7100000000000001E-2</v>
      </c>
      <c r="Q9" s="1474">
        <f t="shared" ref="Q9" si="35">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3036</v>
      </c>
      <c r="B10" s="1478">
        <f t="shared" ref="B10:B11" si="36">B11*(1+N10)</f>
        <v>431.80730811680002</v>
      </c>
      <c r="C10" s="1478">
        <f t="shared" ref="C10:C11" si="37">C11*(1+O10)</f>
        <v>320.57880516480003</v>
      </c>
      <c r="D10" s="1478">
        <f t="shared" ref="D10:D11" si="38">C10</f>
        <v>320.57880516480003</v>
      </c>
      <c r="E10" s="1478">
        <f t="shared" ref="E10:E11" si="39">E11*(1+P10)</f>
        <v>615.96110553196797</v>
      </c>
      <c r="F10" s="1478">
        <f t="shared" ref="F10:F11" si="40">F11*(1+Q10)</f>
        <v>279.46777300108801</v>
      </c>
      <c r="G10" s="2925"/>
      <c r="H10" s="1465">
        <v>3</v>
      </c>
      <c r="I10" s="1465">
        <v>2.98</v>
      </c>
      <c r="J10" s="1465">
        <v>2.11</v>
      </c>
      <c r="K10" s="1465">
        <v>3.24</v>
      </c>
      <c r="L10" s="1479">
        <v>1.72</v>
      </c>
      <c r="M10" s="1472"/>
      <c r="N10" s="1473">
        <f t="shared" si="24"/>
        <v>2.98E-2</v>
      </c>
      <c r="O10" s="1474">
        <f t="shared" ref="O10" si="41">J10/100</f>
        <v>2.1099999999999997E-2</v>
      </c>
      <c r="P10" s="1474">
        <f t="shared" ref="P10" si="42">K10/100</f>
        <v>3.2400000000000005E-2</v>
      </c>
      <c r="Q10" s="1474">
        <f t="shared" ref="Q10" si="43">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36"/>
        <v>419.31181600000002</v>
      </c>
      <c r="C11" s="1478">
        <f t="shared" si="37"/>
        <v>313.95436800000004</v>
      </c>
      <c r="D11" s="1478">
        <f t="shared" si="38"/>
        <v>313.95436800000004</v>
      </c>
      <c r="E11" s="1478">
        <f t="shared" si="39"/>
        <v>596.63028431999999</v>
      </c>
      <c r="F11" s="1478">
        <f t="shared" si="40"/>
        <v>274.74220703999998</v>
      </c>
      <c r="G11" s="2924"/>
      <c r="H11" s="1466">
        <v>2</v>
      </c>
      <c r="I11" s="1466">
        <v>3.4</v>
      </c>
      <c r="J11" s="1466">
        <v>2</v>
      </c>
      <c r="K11" s="1466">
        <v>3.82</v>
      </c>
      <c r="L11" s="1480">
        <v>1.68</v>
      </c>
      <c r="M11" s="1472"/>
      <c r="N11" s="1473">
        <f t="shared" si="24"/>
        <v>3.4000000000000002E-2</v>
      </c>
      <c r="O11" s="1474">
        <f t="shared" ref="O11" si="44">J11/100</f>
        <v>0.02</v>
      </c>
      <c r="P11" s="1474">
        <f t="shared" ref="P11" si="45">K11/100</f>
        <v>3.8199999999999998E-2</v>
      </c>
      <c r="Q11" s="1474">
        <f t="shared" ref="Q11" si="46">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5"/>
      <c r="H12" s="1465">
        <v>1</v>
      </c>
      <c r="I12" s="1465">
        <v>3.45</v>
      </c>
      <c r="J12" s="1465">
        <v>1.92</v>
      </c>
      <c r="K12" s="1465">
        <v>3.92</v>
      </c>
      <c r="L12" s="1479">
        <v>1.58</v>
      </c>
      <c r="M12" s="1472"/>
      <c r="N12" s="1473">
        <f t="shared" si="24"/>
        <v>3.4500000000000003E-2</v>
      </c>
      <c r="O12" s="1474">
        <f t="shared" ref="O12:Q27" si="47">J12/100</f>
        <v>1.9199999999999998E-2</v>
      </c>
      <c r="P12" s="1474">
        <f t="shared" si="47"/>
        <v>3.9199999999999999E-2</v>
      </c>
      <c r="Q12" s="1474">
        <f t="shared" si="47"/>
        <v>1.5800000000000002E-2</v>
      </c>
      <c r="R12" s="1475"/>
      <c r="S12" s="1473">
        <f>B12/B13-1</f>
        <v>3.4499999999999975E-2</v>
      </c>
      <c r="T12" s="1474">
        <f t="shared" ref="T12:V12" si="48">C12/C13-1</f>
        <v>1.9200000000000106E-2</v>
      </c>
      <c r="U12" s="1474">
        <f t="shared" si="48"/>
        <v>1.9200000000000106E-2</v>
      </c>
      <c r="V12" s="1474">
        <f t="shared" si="48"/>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08">
        <v>2016</v>
      </c>
      <c r="H13" s="1463">
        <v>4</v>
      </c>
      <c r="I13" s="1463">
        <v>4.5599999999999996</v>
      </c>
      <c r="J13" s="1463">
        <v>2.15</v>
      </c>
      <c r="K13" s="1463">
        <v>5.32</v>
      </c>
      <c r="L13" s="1464">
        <v>1.57</v>
      </c>
      <c r="N13" s="1473">
        <f t="shared" si="24"/>
        <v>4.5599999999999995E-2</v>
      </c>
      <c r="O13" s="1474">
        <f t="shared" si="47"/>
        <v>2.1499999999999998E-2</v>
      </c>
      <c r="P13" s="1474">
        <f t="shared" si="47"/>
        <v>5.3200000000000004E-2</v>
      </c>
      <c r="Q13" s="1474">
        <f t="shared" si="47"/>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49">B13/(1+N13)</f>
        <v>374.90436113236416</v>
      </c>
      <c r="C14" s="1478">
        <f t="shared" si="49"/>
        <v>295.64366128242779</v>
      </c>
      <c r="D14" s="1478">
        <f t="shared" ref="D14:D73" si="50">C14</f>
        <v>295.64366128242779</v>
      </c>
      <c r="E14" s="1478">
        <f t="shared" ref="E14:F16" si="51">E13/(1+P13)</f>
        <v>525.06646410938095</v>
      </c>
      <c r="F14" s="1478">
        <f t="shared" si="51"/>
        <v>261.88835286009646</v>
      </c>
      <c r="G14" s="3303"/>
      <c r="H14" s="1465">
        <v>3</v>
      </c>
      <c r="I14" s="1465">
        <v>4.12</v>
      </c>
      <c r="J14" s="1465">
        <v>2</v>
      </c>
      <c r="K14" s="1465">
        <v>4.79</v>
      </c>
      <c r="L14" s="1479">
        <v>1.97</v>
      </c>
      <c r="N14" s="1473">
        <f t="shared" ref="N14:Q48" si="52">I14/100</f>
        <v>4.1200000000000001E-2</v>
      </c>
      <c r="O14" s="1474">
        <f t="shared" si="47"/>
        <v>0.02</v>
      </c>
      <c r="P14" s="1474">
        <f t="shared" si="47"/>
        <v>4.7899999999999998E-2</v>
      </c>
      <c r="Q14" s="1474">
        <f t="shared" si="47"/>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49"/>
        <v>360.06949782209392</v>
      </c>
      <c r="C15" s="1478">
        <f t="shared" si="49"/>
        <v>289.84672674747821</v>
      </c>
      <c r="D15" s="1478">
        <f t="shared" si="50"/>
        <v>289.84672674747821</v>
      </c>
      <c r="E15" s="1478">
        <f t="shared" si="51"/>
        <v>501.06543001181495</v>
      </c>
      <c r="F15" s="1478">
        <f t="shared" si="51"/>
        <v>256.82882500744967</v>
      </c>
      <c r="G15" s="3303"/>
      <c r="H15" s="1466">
        <v>2</v>
      </c>
      <c r="I15" s="1466">
        <v>3.85</v>
      </c>
      <c r="J15" s="1466">
        <v>1.95</v>
      </c>
      <c r="K15" s="1466">
        <v>4.4800000000000004</v>
      </c>
      <c r="L15" s="1480">
        <v>1.41</v>
      </c>
      <c r="N15" s="1473">
        <f t="shared" si="52"/>
        <v>3.85E-2</v>
      </c>
      <c r="O15" s="1474">
        <f t="shared" si="47"/>
        <v>1.95E-2</v>
      </c>
      <c r="P15" s="1474">
        <f t="shared" si="47"/>
        <v>4.4800000000000006E-2</v>
      </c>
      <c r="Q15" s="1474">
        <f t="shared" si="47"/>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49"/>
        <v>346.720748986128</v>
      </c>
      <c r="C16" s="1478">
        <f t="shared" si="49"/>
        <v>284.30282172386285</v>
      </c>
      <c r="D16" s="1478">
        <f t="shared" si="50"/>
        <v>284.30282172386285</v>
      </c>
      <c r="E16" s="1478">
        <f t="shared" si="51"/>
        <v>479.58023546306947</v>
      </c>
      <c r="F16" s="1478">
        <f t="shared" si="51"/>
        <v>253.25788877571213</v>
      </c>
      <c r="G16" s="3304"/>
      <c r="H16" s="1465">
        <v>1</v>
      </c>
      <c r="I16" s="1465">
        <v>4.09</v>
      </c>
      <c r="J16" s="1465">
        <v>2.93</v>
      </c>
      <c r="K16" s="1465">
        <v>4.54</v>
      </c>
      <c r="L16" s="1479">
        <v>1.48</v>
      </c>
      <c r="N16" s="1473">
        <f t="shared" si="52"/>
        <v>4.0899999999999999E-2</v>
      </c>
      <c r="O16" s="1474">
        <f t="shared" si="47"/>
        <v>2.9300000000000003E-2</v>
      </c>
      <c r="P16" s="1474">
        <f t="shared" si="47"/>
        <v>4.5400000000000003E-2</v>
      </c>
      <c r="Q16" s="1474">
        <f t="shared" si="47"/>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50"/>
        <v>277</v>
      </c>
      <c r="E17" s="1470">
        <v>459</v>
      </c>
      <c r="F17" s="1471">
        <v>249</v>
      </c>
      <c r="G17" s="3302">
        <v>2015</v>
      </c>
      <c r="H17" s="1483">
        <v>4</v>
      </c>
      <c r="I17" s="1483">
        <v>1.63</v>
      </c>
      <c r="J17" s="1483">
        <v>1.1100000000000001</v>
      </c>
      <c r="K17" s="1483">
        <v>1.77</v>
      </c>
      <c r="L17" s="1484">
        <v>1.89</v>
      </c>
      <c r="N17" s="1485">
        <f t="shared" si="52"/>
        <v>1.6299999999999999E-2</v>
      </c>
      <c r="O17" s="1486">
        <f t="shared" si="47"/>
        <v>1.11E-2</v>
      </c>
      <c r="P17" s="1486">
        <f t="shared" si="47"/>
        <v>1.77E-2</v>
      </c>
      <c r="Q17" s="1486">
        <f t="shared" si="47"/>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53">B17/(1+N17)</f>
        <v>327.65915576109415</v>
      </c>
      <c r="C18" s="1478">
        <f t="shared" si="53"/>
        <v>273.95905449510434</v>
      </c>
      <c r="D18" s="1478">
        <f t="shared" si="50"/>
        <v>273.95905449510434</v>
      </c>
      <c r="E18" s="1478">
        <f t="shared" ref="E18:F20" si="54">E17/(1+P17)</f>
        <v>451.01699911565294</v>
      </c>
      <c r="F18" s="1478">
        <f t="shared" si="54"/>
        <v>244.38119540681129</v>
      </c>
      <c r="G18" s="3303"/>
      <c r="H18" s="1488">
        <v>3</v>
      </c>
      <c r="I18" s="1488">
        <v>1.65</v>
      </c>
      <c r="J18" s="1488">
        <v>0.92</v>
      </c>
      <c r="K18" s="1488">
        <v>1.88</v>
      </c>
      <c r="L18" s="1489">
        <v>1.26</v>
      </c>
      <c r="N18" s="1473">
        <f t="shared" si="52"/>
        <v>1.6500000000000001E-2</v>
      </c>
      <c r="O18" s="1490">
        <f t="shared" si="47"/>
        <v>9.1999999999999998E-3</v>
      </c>
      <c r="P18" s="1490">
        <f t="shared" si="47"/>
        <v>1.8799999999999997E-2</v>
      </c>
      <c r="Q18" s="1490">
        <f t="shared" si="47"/>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53"/>
        <v>322.34053690220776</v>
      </c>
      <c r="C19" s="1478">
        <f t="shared" si="53"/>
        <v>271.46160770422546</v>
      </c>
      <c r="D19" s="1478">
        <f t="shared" si="50"/>
        <v>271.46160770422546</v>
      </c>
      <c r="E19" s="1478">
        <f t="shared" si="54"/>
        <v>442.69434542172456</v>
      </c>
      <c r="F19" s="1478">
        <f t="shared" si="54"/>
        <v>241.34030753190925</v>
      </c>
      <c r="G19" s="3303"/>
      <c r="H19" s="1466">
        <v>2</v>
      </c>
      <c r="I19" s="1466">
        <v>0.77</v>
      </c>
      <c r="J19" s="1466">
        <v>0.69</v>
      </c>
      <c r="K19" s="1466">
        <v>0.8</v>
      </c>
      <c r="L19" s="1480">
        <v>0.88</v>
      </c>
      <c r="N19" s="1473">
        <f t="shared" si="52"/>
        <v>7.7000000000000002E-3</v>
      </c>
      <c r="O19" s="1490">
        <f t="shared" si="47"/>
        <v>6.8999999999999999E-3</v>
      </c>
      <c r="P19" s="1490">
        <f t="shared" si="47"/>
        <v>8.0000000000000002E-3</v>
      </c>
      <c r="Q19" s="1490">
        <f t="shared" si="47"/>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53"/>
        <v>319.87748030386797</v>
      </c>
      <c r="C20" s="1478">
        <f t="shared" si="53"/>
        <v>269.60135833173649</v>
      </c>
      <c r="D20" s="1478">
        <f t="shared" si="50"/>
        <v>269.60135833173649</v>
      </c>
      <c r="E20" s="1478">
        <f t="shared" si="54"/>
        <v>439.18089823583784</v>
      </c>
      <c r="F20" s="1478">
        <f t="shared" si="54"/>
        <v>239.23503918706311</v>
      </c>
      <c r="G20" s="3304"/>
      <c r="H20" s="1465">
        <v>1</v>
      </c>
      <c r="I20" s="1465">
        <v>0.51</v>
      </c>
      <c r="J20" s="1465">
        <v>0.54</v>
      </c>
      <c r="K20" s="1465">
        <v>0.48</v>
      </c>
      <c r="L20" s="1479">
        <v>0.93</v>
      </c>
      <c r="N20" s="1481">
        <f t="shared" si="52"/>
        <v>5.1000000000000004E-3</v>
      </c>
      <c r="O20" s="1482">
        <f t="shared" si="47"/>
        <v>5.4000000000000003E-3</v>
      </c>
      <c r="P20" s="1482">
        <f t="shared" si="47"/>
        <v>4.7999999999999996E-3</v>
      </c>
      <c r="Q20" s="1482">
        <f t="shared" si="47"/>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50"/>
        <v>268</v>
      </c>
      <c r="E21" s="1491">
        <v>437</v>
      </c>
      <c r="F21" s="1492">
        <v>237</v>
      </c>
      <c r="G21" s="3302">
        <v>2014</v>
      </c>
      <c r="H21" s="1483">
        <v>4</v>
      </c>
      <c r="I21" s="1483">
        <v>0.21</v>
      </c>
      <c r="J21" s="1483">
        <v>0.41</v>
      </c>
      <c r="K21" s="1483">
        <v>0.12</v>
      </c>
      <c r="L21" s="1484">
        <v>0.89</v>
      </c>
      <c r="N21" s="1473">
        <f t="shared" si="52"/>
        <v>2.0999999999999999E-3</v>
      </c>
      <c r="O21" s="1474">
        <f t="shared" si="47"/>
        <v>4.0999999999999995E-3</v>
      </c>
      <c r="P21" s="1474">
        <f t="shared" si="47"/>
        <v>1.1999999999999999E-3</v>
      </c>
      <c r="Q21" s="1474">
        <f t="shared" si="47"/>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55">B21/(1+N21)</f>
        <v>317.33359944117353</v>
      </c>
      <c r="C22" s="1478">
        <f t="shared" si="55"/>
        <v>266.90568668459315</v>
      </c>
      <c r="D22" s="1478">
        <f t="shared" si="50"/>
        <v>266.90568668459315</v>
      </c>
      <c r="E22" s="1478">
        <f t="shared" ref="E22:F24" si="56">E21/(1+P21)</f>
        <v>436.47622852576905</v>
      </c>
      <c r="F22" s="1478">
        <f t="shared" si="56"/>
        <v>234.90930716622066</v>
      </c>
      <c r="G22" s="3303"/>
      <c r="H22" s="1493">
        <v>3</v>
      </c>
      <c r="I22" s="1493">
        <v>0.83</v>
      </c>
      <c r="J22" s="1493">
        <v>1.47</v>
      </c>
      <c r="K22" s="1493">
        <v>0.65</v>
      </c>
      <c r="L22" s="1494">
        <v>0.72</v>
      </c>
      <c r="N22" s="1473">
        <f t="shared" si="52"/>
        <v>8.3000000000000001E-3</v>
      </c>
      <c r="O22" s="1474">
        <f t="shared" si="47"/>
        <v>1.47E-2</v>
      </c>
      <c r="P22" s="1474">
        <f t="shared" si="47"/>
        <v>6.5000000000000006E-3</v>
      </c>
      <c r="Q22" s="1474">
        <f t="shared" si="47"/>
        <v>7.1999999999999998E-3</v>
      </c>
      <c r="R22" s="1475"/>
      <c r="S22" s="1473"/>
      <c r="T22" s="1474"/>
      <c r="U22" s="1474"/>
      <c r="V22" s="1474"/>
      <c r="X22" s="1460">
        <f>ROUND(SUMPRODUCT(PRODUCT(1+N22:N$23)),4)</f>
        <v>1.0325</v>
      </c>
      <c r="Y22" s="1460">
        <f>ROUND(SUMPRODUCT(PRODUCT(1+O22:O$23)),4)</f>
        <v>1.0353000000000001</v>
      </c>
      <c r="Z22" s="1460">
        <f t="shared" ref="Z22:Z23" si="57">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55"/>
        <v>314.72141172386546</v>
      </c>
      <c r="C23" s="1478">
        <f t="shared" si="55"/>
        <v>263.03901319069001</v>
      </c>
      <c r="D23" s="1478">
        <f t="shared" si="50"/>
        <v>263.03901319069001</v>
      </c>
      <c r="E23" s="1478">
        <f t="shared" si="56"/>
        <v>433.65745506782821</v>
      </c>
      <c r="F23" s="1478">
        <f t="shared" si="56"/>
        <v>233.23005080045735</v>
      </c>
      <c r="G23" s="3303"/>
      <c r="H23" s="1483">
        <v>2</v>
      </c>
      <c r="I23" s="1483">
        <v>2.4</v>
      </c>
      <c r="J23" s="1483">
        <v>2.0299999999999998</v>
      </c>
      <c r="K23" s="1483">
        <v>2.59</v>
      </c>
      <c r="L23" s="1484">
        <v>1.52</v>
      </c>
      <c r="N23" s="1473">
        <f t="shared" si="52"/>
        <v>2.4E-2</v>
      </c>
      <c r="O23" s="1474">
        <f t="shared" si="47"/>
        <v>2.0299999999999999E-2</v>
      </c>
      <c r="P23" s="1474">
        <f t="shared" si="47"/>
        <v>2.5899999999999999E-2</v>
      </c>
      <c r="Q23" s="1474">
        <f t="shared" si="47"/>
        <v>1.52E-2</v>
      </c>
      <c r="R23" s="1475"/>
      <c r="S23" s="1473"/>
      <c r="T23" s="1474"/>
      <c r="U23" s="1474"/>
      <c r="V23" s="1474"/>
      <c r="X23" s="1460">
        <f>1+N23</f>
        <v>1.024</v>
      </c>
      <c r="Y23" s="1460">
        <f>1+O23</f>
        <v>1.0203</v>
      </c>
      <c r="Z23" s="1460">
        <f t="shared" si="57"/>
        <v>1.0203</v>
      </c>
      <c r="AA23" s="1460">
        <f>1+P23</f>
        <v>1.0259</v>
      </c>
      <c r="AB23" s="1460">
        <f>1+Q23</f>
        <v>1.0152000000000001</v>
      </c>
      <c r="AD23" s="1461">
        <f>ROUND(AVERAGE(I23:I$24)/100,4)</f>
        <v>2.69E-2</v>
      </c>
      <c r="AE23" s="1461">
        <f>ROUND(AVERAGE(J23:J$24)/100,4)</f>
        <v>2.1899999999999999E-2</v>
      </c>
      <c r="AF23" s="1461">
        <f t="shared" ref="AF23" si="58">AE23</f>
        <v>2.1899999999999999E-2</v>
      </c>
      <c r="AG23" s="1461">
        <f>ROUND(AVERAGE(K23:K$24)/100,4)</f>
        <v>2.9399999999999999E-2</v>
      </c>
      <c r="AH23" s="1461">
        <f>ROUND(AVERAGE(L23:L$24)/100,4)</f>
        <v>1.44E-2</v>
      </c>
    </row>
    <row r="24" spans="1:34" s="1499" customFormat="1" ht="13.5" thickBot="1">
      <c r="A24" s="1495" t="s">
        <v>144</v>
      </c>
      <c r="B24" s="1496">
        <f t="shared" si="55"/>
        <v>307.34512863658733</v>
      </c>
      <c r="C24" s="1496">
        <f t="shared" si="55"/>
        <v>257.80556031626975</v>
      </c>
      <c r="D24" s="1496">
        <f t="shared" si="50"/>
        <v>257.80556031626975</v>
      </c>
      <c r="E24" s="1496">
        <f t="shared" si="56"/>
        <v>422.70928459677179</v>
      </c>
      <c r="F24" s="1496">
        <f t="shared" si="56"/>
        <v>229.73803270336617</v>
      </c>
      <c r="G24" s="3304"/>
      <c r="H24" s="1497">
        <v>1</v>
      </c>
      <c r="I24" s="1497">
        <v>2.97</v>
      </c>
      <c r="J24" s="1497">
        <v>2.34</v>
      </c>
      <c r="K24" s="1497">
        <v>3.28</v>
      </c>
      <c r="L24" s="1498">
        <v>1.36</v>
      </c>
      <c r="N24" s="1500">
        <f t="shared" si="52"/>
        <v>2.9700000000000001E-2</v>
      </c>
      <c r="O24" s="1501">
        <f t="shared" si="47"/>
        <v>2.3399999999999997E-2</v>
      </c>
      <c r="P24" s="1501">
        <f t="shared" si="47"/>
        <v>3.2799999999999996E-2</v>
      </c>
      <c r="Q24" s="1501">
        <f t="shared" si="47"/>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50"/>
        <v>252</v>
      </c>
      <c r="E25" s="1470">
        <v>409</v>
      </c>
      <c r="F25" s="1471">
        <v>227</v>
      </c>
      <c r="G25" s="3309">
        <v>2013</v>
      </c>
      <c r="H25" s="1507">
        <v>4</v>
      </c>
      <c r="I25" s="1507">
        <v>1.83</v>
      </c>
      <c r="J25" s="1507">
        <v>1.68</v>
      </c>
      <c r="K25" s="1507">
        <v>1.97</v>
      </c>
      <c r="L25" s="1508">
        <v>0.87</v>
      </c>
      <c r="N25" s="1485">
        <f t="shared" si="52"/>
        <v>1.83E-2</v>
      </c>
      <c r="O25" s="1486">
        <f t="shared" si="47"/>
        <v>1.6799999999999999E-2</v>
      </c>
      <c r="P25" s="1486">
        <f t="shared" si="47"/>
        <v>1.9699999999999999E-2</v>
      </c>
      <c r="Q25" s="1486">
        <f t="shared" si="47"/>
        <v>8.6999999999999994E-3</v>
      </c>
      <c r="R25" s="1475"/>
      <c r="S25" s="1476"/>
      <c r="T25" s="1477"/>
      <c r="U25" s="1477"/>
      <c r="V25" s="1477"/>
      <c r="X25" s="1477"/>
      <c r="Y25" s="1477"/>
      <c r="Z25" s="1477"/>
    </row>
    <row r="26" spans="1:34">
      <c r="A26" s="1462" t="s">
        <v>1164</v>
      </c>
      <c r="B26" s="1478">
        <f t="shared" ref="B26:C28" si="59">B25/(1+N25)</f>
        <v>293.62663262299913</v>
      </c>
      <c r="C26" s="1478">
        <f t="shared" si="59"/>
        <v>247.83634933123525</v>
      </c>
      <c r="D26" s="1478">
        <f t="shared" si="50"/>
        <v>247.83634933123525</v>
      </c>
      <c r="E26" s="1478">
        <f t="shared" ref="E26:F28" si="60">E25/(1+P25)</f>
        <v>401.09836226341076</v>
      </c>
      <c r="F26" s="1478">
        <f t="shared" si="60"/>
        <v>225.04213343908003</v>
      </c>
      <c r="G26" s="3310"/>
      <c r="H26" s="1488">
        <v>3</v>
      </c>
      <c r="I26" s="1488">
        <v>1.86</v>
      </c>
      <c r="J26" s="1488">
        <v>1.72</v>
      </c>
      <c r="K26" s="1488">
        <v>1.98</v>
      </c>
      <c r="L26" s="1489">
        <v>0.88</v>
      </c>
      <c r="N26" s="1473">
        <f t="shared" si="52"/>
        <v>1.8600000000000002E-2</v>
      </c>
      <c r="O26" s="1490">
        <f t="shared" si="47"/>
        <v>1.72E-2</v>
      </c>
      <c r="P26" s="1490">
        <f t="shared" si="47"/>
        <v>1.9799999999999998E-2</v>
      </c>
      <c r="Q26" s="1490">
        <f t="shared" si="47"/>
        <v>8.8000000000000005E-3</v>
      </c>
      <c r="R26" s="1475"/>
      <c r="S26" s="1473"/>
      <c r="T26" s="1474"/>
      <c r="U26" s="1474"/>
      <c r="V26" s="1474"/>
    </row>
    <row r="27" spans="1:34">
      <c r="A27" s="1462" t="s">
        <v>1165</v>
      </c>
      <c r="B27" s="1478">
        <f t="shared" si="59"/>
        <v>288.2649053828776</v>
      </c>
      <c r="C27" s="1478">
        <f t="shared" si="59"/>
        <v>243.64564425013293</v>
      </c>
      <c r="D27" s="1478">
        <f t="shared" si="50"/>
        <v>243.64564425013293</v>
      </c>
      <c r="E27" s="1478">
        <f t="shared" si="60"/>
        <v>393.31080825986544</v>
      </c>
      <c r="F27" s="1478">
        <f t="shared" si="60"/>
        <v>223.07903790551154</v>
      </c>
      <c r="G27" s="3310"/>
      <c r="H27" s="1466">
        <v>2</v>
      </c>
      <c r="I27" s="1466">
        <v>2.04</v>
      </c>
      <c r="J27" s="1466">
        <v>2.33</v>
      </c>
      <c r="K27" s="1466">
        <v>2.0699999999999998</v>
      </c>
      <c r="L27" s="1480">
        <v>0.69</v>
      </c>
      <c r="N27" s="1473">
        <f t="shared" si="52"/>
        <v>2.0400000000000001E-2</v>
      </c>
      <c r="O27" s="1490">
        <f t="shared" si="47"/>
        <v>2.3300000000000001E-2</v>
      </c>
      <c r="P27" s="1490">
        <f t="shared" si="47"/>
        <v>2.07E-2</v>
      </c>
      <c r="Q27" s="1490">
        <f t="shared" si="47"/>
        <v>6.8999999999999999E-3</v>
      </c>
      <c r="R27" s="1475"/>
      <c r="S27" s="1473"/>
      <c r="T27" s="1474"/>
      <c r="U27" s="1474"/>
      <c r="V27" s="1474"/>
      <c r="X27" s="1509"/>
      <c r="Y27" s="1510"/>
    </row>
    <row r="28" spans="1:34">
      <c r="A28" s="1462" t="s">
        <v>1166</v>
      </c>
      <c r="B28" s="1478">
        <f t="shared" si="59"/>
        <v>282.50186729015837</v>
      </c>
      <c r="C28" s="1478">
        <f t="shared" si="59"/>
        <v>238.09796174155468</v>
      </c>
      <c r="D28" s="1478">
        <f t="shared" si="50"/>
        <v>238.09796174155468</v>
      </c>
      <c r="E28" s="1478">
        <f t="shared" si="60"/>
        <v>385.33438646014054</v>
      </c>
      <c r="F28" s="1478">
        <f t="shared" si="60"/>
        <v>221.55034055567739</v>
      </c>
      <c r="G28" s="3311"/>
      <c r="H28" s="1465">
        <v>1</v>
      </c>
      <c r="I28" s="1465">
        <v>1.67</v>
      </c>
      <c r="J28" s="1465">
        <v>1.31</v>
      </c>
      <c r="K28" s="1465">
        <v>1.85</v>
      </c>
      <c r="L28" s="1479">
        <v>0.96</v>
      </c>
      <c r="N28" s="1481">
        <f t="shared" si="52"/>
        <v>1.67E-2</v>
      </c>
      <c r="O28" s="1482">
        <f t="shared" si="52"/>
        <v>1.3100000000000001E-2</v>
      </c>
      <c r="P28" s="1482">
        <f t="shared" si="52"/>
        <v>1.8500000000000003E-2</v>
      </c>
      <c r="Q28" s="1482">
        <f t="shared" si="52"/>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50"/>
        <v>234</v>
      </c>
      <c r="E29" s="1512">
        <v>379</v>
      </c>
      <c r="F29" s="1513">
        <v>220</v>
      </c>
      <c r="G29" s="3302">
        <v>2012</v>
      </c>
      <c r="H29" s="1483">
        <v>4</v>
      </c>
      <c r="I29" s="1483">
        <v>0.91</v>
      </c>
      <c r="J29" s="1483">
        <v>0.68</v>
      </c>
      <c r="K29" s="1483">
        <v>0.98</v>
      </c>
      <c r="L29" s="1484">
        <v>0.9</v>
      </c>
      <c r="N29" s="1473">
        <f t="shared" si="52"/>
        <v>9.1000000000000004E-3</v>
      </c>
      <c r="O29" s="1474">
        <f t="shared" si="52"/>
        <v>6.8000000000000005E-3</v>
      </c>
      <c r="P29" s="1474">
        <f t="shared" si="52"/>
        <v>9.7999999999999997E-3</v>
      </c>
      <c r="Q29" s="1474">
        <f t="shared" si="52"/>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50"/>
        <v>232.41954707985698</v>
      </c>
      <c r="E30" s="1478">
        <f t="shared" ref="E30:F32" si="61">E29/(1+P29)</f>
        <v>375.32184591008121</v>
      </c>
      <c r="F30" s="1478">
        <f t="shared" si="61"/>
        <v>218.03766105054513</v>
      </c>
      <c r="G30" s="3303"/>
      <c r="H30" s="1488">
        <v>3</v>
      </c>
      <c r="I30" s="1488">
        <v>0.09</v>
      </c>
      <c r="J30" s="1488">
        <v>0.28999999999999998</v>
      </c>
      <c r="K30" s="1488">
        <v>-0.01</v>
      </c>
      <c r="L30" s="1489">
        <v>0.57999999999999996</v>
      </c>
      <c r="N30" s="1473">
        <f t="shared" si="52"/>
        <v>8.9999999999999998E-4</v>
      </c>
      <c r="O30" s="1474">
        <f t="shared" si="52"/>
        <v>2.8999999999999998E-3</v>
      </c>
      <c r="P30" s="1474">
        <f t="shared" si="52"/>
        <v>-1E-4</v>
      </c>
      <c r="Q30" s="1474">
        <f t="shared" si="52"/>
        <v>5.7999999999999996E-3</v>
      </c>
      <c r="R30" s="1475"/>
      <c r="S30" s="1473"/>
      <c r="T30" s="1474"/>
      <c r="U30" s="1474"/>
      <c r="V30" s="1474"/>
    </row>
    <row r="31" spans="1:34">
      <c r="A31" s="1462" t="s">
        <v>1169</v>
      </c>
      <c r="B31" s="1478">
        <f>B30/(1+N30)</f>
        <v>275.24529281292263</v>
      </c>
      <c r="C31" s="1478">
        <f>C30/(1+O30)</f>
        <v>231.74747938962707</v>
      </c>
      <c r="D31" s="1478">
        <f t="shared" si="50"/>
        <v>231.74747938962707</v>
      </c>
      <c r="E31" s="1478">
        <f t="shared" si="61"/>
        <v>375.35938184826603</v>
      </c>
      <c r="F31" s="1478">
        <f t="shared" si="61"/>
        <v>216.78033510692495</v>
      </c>
      <c r="G31" s="3303"/>
      <c r="H31" s="1466">
        <v>2</v>
      </c>
      <c r="I31" s="1466">
        <v>0.02</v>
      </c>
      <c r="J31" s="1466">
        <v>0.12</v>
      </c>
      <c r="K31" s="1466">
        <v>-0.08</v>
      </c>
      <c r="L31" s="1480">
        <v>1.24</v>
      </c>
      <c r="N31" s="1473">
        <f t="shared" si="52"/>
        <v>2.0000000000000001E-4</v>
      </c>
      <c r="O31" s="1474">
        <f t="shared" si="52"/>
        <v>1.1999999999999999E-3</v>
      </c>
      <c r="P31" s="1474">
        <f t="shared" si="52"/>
        <v>-8.0000000000000004E-4</v>
      </c>
      <c r="Q31" s="1474">
        <f t="shared" si="52"/>
        <v>1.24E-2</v>
      </c>
      <c r="R31" s="1475"/>
      <c r="S31" s="1473"/>
      <c r="T31" s="1474"/>
      <c r="U31" s="1474"/>
      <c r="V31" s="1474"/>
    </row>
    <row r="32" spans="1:34" ht="13.5" thickBot="1">
      <c r="A32" s="1462" t="s">
        <v>1170</v>
      </c>
      <c r="B32" s="1478">
        <f>B31/(1+N31)</f>
        <v>275.19025476197027</v>
      </c>
      <c r="C32" s="1514">
        <v>232</v>
      </c>
      <c r="D32" s="1514">
        <f t="shared" si="50"/>
        <v>232</v>
      </c>
      <c r="E32" s="1478">
        <f t="shared" si="61"/>
        <v>375.65990977608692</v>
      </c>
      <c r="F32" s="1478">
        <f t="shared" si="61"/>
        <v>214.12518283971252</v>
      </c>
      <c r="G32" s="3304"/>
      <c r="H32" s="1465">
        <v>1</v>
      </c>
      <c r="I32" s="1465">
        <v>0.02</v>
      </c>
      <c r="J32" s="1465">
        <v>0.13</v>
      </c>
      <c r="K32" s="1465">
        <v>-0.04</v>
      </c>
      <c r="L32" s="1479">
        <v>0.46</v>
      </c>
      <c r="N32" s="1473">
        <f t="shared" si="52"/>
        <v>2.0000000000000001E-4</v>
      </c>
      <c r="O32" s="1474">
        <f t="shared" si="52"/>
        <v>1.2999999999999999E-3</v>
      </c>
      <c r="P32" s="1474">
        <f t="shared" si="52"/>
        <v>-4.0000000000000002E-4</v>
      </c>
      <c r="Q32" s="1474">
        <f t="shared" si="52"/>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50"/>
        <v>232</v>
      </c>
      <c r="E33" s="1470">
        <v>376</v>
      </c>
      <c r="F33" s="1471">
        <v>213</v>
      </c>
      <c r="G33" s="3302">
        <v>2011</v>
      </c>
      <c r="H33" s="1483">
        <v>4</v>
      </c>
      <c r="I33" s="1483">
        <v>-0.2</v>
      </c>
      <c r="J33" s="1483">
        <v>0.04</v>
      </c>
      <c r="K33" s="1483">
        <v>-0.34</v>
      </c>
      <c r="L33" s="1484">
        <v>0.46</v>
      </c>
      <c r="N33" s="1485">
        <f t="shared" si="52"/>
        <v>-2E-3</v>
      </c>
      <c r="O33" s="1486">
        <f t="shared" si="52"/>
        <v>4.0000000000000002E-4</v>
      </c>
      <c r="P33" s="1486">
        <f t="shared" si="52"/>
        <v>-3.4000000000000002E-3</v>
      </c>
      <c r="Q33" s="1486">
        <f t="shared" si="52"/>
        <v>4.5999999999999999E-3</v>
      </c>
      <c r="R33" s="1475"/>
      <c r="S33" s="1476"/>
      <c r="T33" s="1477"/>
      <c r="U33" s="1477"/>
      <c r="V33" s="1477"/>
      <c r="X33" s="1477"/>
      <c r="Y33" s="1477"/>
      <c r="Z33" s="1477"/>
    </row>
    <row r="34" spans="1:26">
      <c r="A34" s="1462" t="s">
        <v>1172</v>
      </c>
      <c r="B34" s="1478">
        <f t="shared" ref="B34:C36" si="62">B33/(1+N33)</f>
        <v>275.55110220440883</v>
      </c>
      <c r="C34" s="1478">
        <f t="shared" si="62"/>
        <v>231.90723710515795</v>
      </c>
      <c r="D34" s="1478">
        <f t="shared" si="50"/>
        <v>231.90723710515795</v>
      </c>
      <c r="E34" s="1478">
        <f t="shared" ref="E34:F36" si="63">E33/(1+P33)</f>
        <v>377.28276138872161</v>
      </c>
      <c r="F34" s="1478">
        <f t="shared" si="63"/>
        <v>212.02468644236512</v>
      </c>
      <c r="G34" s="3303">
        <v>2011</v>
      </c>
      <c r="H34" s="1488">
        <v>3</v>
      </c>
      <c r="I34" s="1488">
        <v>0.13</v>
      </c>
      <c r="J34" s="1488">
        <v>0.75</v>
      </c>
      <c r="K34" s="1488">
        <v>-0.08</v>
      </c>
      <c r="L34" s="1489">
        <v>0.53</v>
      </c>
      <c r="N34" s="1473">
        <f t="shared" si="52"/>
        <v>1.2999999999999999E-3</v>
      </c>
      <c r="O34" s="1490">
        <f t="shared" si="52"/>
        <v>7.4999999999999997E-3</v>
      </c>
      <c r="P34" s="1490">
        <f t="shared" si="52"/>
        <v>-8.0000000000000004E-4</v>
      </c>
      <c r="Q34" s="1490">
        <f t="shared" si="52"/>
        <v>5.3E-3</v>
      </c>
      <c r="R34" s="1475"/>
      <c r="S34" s="1473"/>
      <c r="T34" s="1474"/>
      <c r="U34" s="1474"/>
      <c r="V34" s="1474"/>
    </row>
    <row r="35" spans="1:26">
      <c r="A35" s="1462" t="s">
        <v>1173</v>
      </c>
      <c r="B35" s="1478">
        <f t="shared" si="62"/>
        <v>275.19335084830601</v>
      </c>
      <c r="C35" s="1478">
        <f t="shared" si="62"/>
        <v>230.18088050139744</v>
      </c>
      <c r="D35" s="1478">
        <f t="shared" si="50"/>
        <v>230.18088050139744</v>
      </c>
      <c r="E35" s="1478">
        <f t="shared" si="63"/>
        <v>377.58482925212331</v>
      </c>
      <c r="F35" s="1478">
        <f t="shared" si="63"/>
        <v>210.90687997847917</v>
      </c>
      <c r="G35" s="3303">
        <v>2011</v>
      </c>
      <c r="H35" s="1466">
        <v>2</v>
      </c>
      <c r="I35" s="1466">
        <v>-0.4</v>
      </c>
      <c r="J35" s="1466">
        <v>0.17</v>
      </c>
      <c r="K35" s="1466">
        <v>-0.57999999999999996</v>
      </c>
      <c r="L35" s="1480">
        <v>-0.2</v>
      </c>
      <c r="N35" s="1473">
        <f t="shared" si="52"/>
        <v>-4.0000000000000001E-3</v>
      </c>
      <c r="O35" s="1490">
        <f t="shared" si="52"/>
        <v>1.7000000000000001E-3</v>
      </c>
      <c r="P35" s="1490">
        <f t="shared" si="52"/>
        <v>-5.7999999999999996E-3</v>
      </c>
      <c r="Q35" s="1490">
        <f t="shared" si="52"/>
        <v>-2E-3</v>
      </c>
      <c r="R35" s="1475"/>
      <c r="S35" s="1473"/>
      <c r="T35" s="1474"/>
      <c r="U35" s="1474"/>
      <c r="V35" s="1474"/>
    </row>
    <row r="36" spans="1:26" ht="13.5" thickBot="1">
      <c r="A36" s="1462" t="s">
        <v>1174</v>
      </c>
      <c r="B36" s="1478">
        <f t="shared" si="62"/>
        <v>276.29854502841971</v>
      </c>
      <c r="C36" s="1478">
        <f t="shared" si="62"/>
        <v>229.79023709833027</v>
      </c>
      <c r="D36" s="1478">
        <f t="shared" si="50"/>
        <v>229.79023709833027</v>
      </c>
      <c r="E36" s="1478">
        <f t="shared" si="63"/>
        <v>379.78759731655936</v>
      </c>
      <c r="F36" s="1478">
        <f t="shared" si="63"/>
        <v>211.32953905659235</v>
      </c>
      <c r="G36" s="3304">
        <v>2011</v>
      </c>
      <c r="H36" s="1465">
        <v>1</v>
      </c>
      <c r="I36" s="1465">
        <v>2.65</v>
      </c>
      <c r="J36" s="1465">
        <v>3.76</v>
      </c>
      <c r="K36" s="1465">
        <v>1.89</v>
      </c>
      <c r="L36" s="1479">
        <v>7.95</v>
      </c>
      <c r="N36" s="1481">
        <f t="shared" si="52"/>
        <v>2.6499999999999999E-2</v>
      </c>
      <c r="O36" s="1482">
        <f t="shared" si="52"/>
        <v>3.7599999999999995E-2</v>
      </c>
      <c r="P36" s="1482">
        <f t="shared" si="52"/>
        <v>1.89E-2</v>
      </c>
      <c r="Q36" s="1482">
        <f t="shared" si="52"/>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50"/>
        <v>221</v>
      </c>
      <c r="E37" s="1470">
        <v>373</v>
      </c>
      <c r="F37" s="1471">
        <v>196</v>
      </c>
      <c r="G37" s="3302">
        <v>2010</v>
      </c>
      <c r="H37" s="1483">
        <v>4</v>
      </c>
      <c r="I37" s="1483">
        <v>5.72</v>
      </c>
      <c r="J37" s="1483">
        <v>6.57</v>
      </c>
      <c r="K37" s="1483">
        <v>5.72</v>
      </c>
      <c r="L37" s="1484">
        <v>2.72</v>
      </c>
      <c r="N37" s="1473">
        <f t="shared" si="52"/>
        <v>5.7200000000000001E-2</v>
      </c>
      <c r="O37" s="1474">
        <f t="shared" si="52"/>
        <v>6.5700000000000008E-2</v>
      </c>
      <c r="P37" s="1474">
        <f t="shared" si="52"/>
        <v>5.7200000000000001E-2</v>
      </c>
      <c r="Q37" s="1474">
        <f t="shared" si="52"/>
        <v>2.7200000000000002E-2</v>
      </c>
      <c r="R37" s="1475"/>
      <c r="S37" s="1476"/>
      <c r="T37" s="1477"/>
      <c r="U37" s="1477"/>
      <c r="V37" s="1477"/>
      <c r="X37" s="1477"/>
      <c r="Y37" s="1477"/>
      <c r="Z37" s="1477"/>
    </row>
    <row r="38" spans="1:26">
      <c r="A38" s="1462" t="s">
        <v>1176</v>
      </c>
      <c r="B38" s="1478">
        <f t="shared" ref="B38:C40" si="64">B37/(1+N37)</f>
        <v>254.44570563753314</v>
      </c>
      <c r="C38" s="1478">
        <f t="shared" si="64"/>
        <v>207.37543398705074</v>
      </c>
      <c r="D38" s="1478">
        <f t="shared" si="50"/>
        <v>207.37543398705074</v>
      </c>
      <c r="E38" s="1478">
        <f t="shared" ref="E38:F40" si="65">E37/(1+P37)</f>
        <v>352.81876655315932</v>
      </c>
      <c r="F38" s="1478">
        <f t="shared" si="65"/>
        <v>190.809968847352</v>
      </c>
      <c r="G38" s="3303">
        <v>2010</v>
      </c>
      <c r="H38" s="1488">
        <v>3</v>
      </c>
      <c r="I38" s="1488">
        <v>4.7300000000000004</v>
      </c>
      <c r="J38" s="1488">
        <v>3.9</v>
      </c>
      <c r="K38" s="1488">
        <v>5.03</v>
      </c>
      <c r="L38" s="1489">
        <v>4.21</v>
      </c>
      <c r="N38" s="1473">
        <f t="shared" si="52"/>
        <v>4.7300000000000002E-2</v>
      </c>
      <c r="O38" s="1474">
        <f t="shared" si="52"/>
        <v>3.9E-2</v>
      </c>
      <c r="P38" s="1474">
        <f t="shared" si="52"/>
        <v>5.0300000000000004E-2</v>
      </c>
      <c r="Q38" s="1474">
        <f t="shared" si="52"/>
        <v>4.2099999999999999E-2</v>
      </c>
      <c r="R38" s="1475"/>
      <c r="S38" s="1473"/>
      <c r="T38" s="1474"/>
      <c r="U38" s="1474"/>
      <c r="V38" s="1474"/>
    </row>
    <row r="39" spans="1:26">
      <c r="A39" s="1462" t="s">
        <v>1177</v>
      </c>
      <c r="B39" s="1478">
        <f t="shared" si="64"/>
        <v>242.95398227588385</v>
      </c>
      <c r="C39" s="1478">
        <f t="shared" si="64"/>
        <v>199.59137053614126</v>
      </c>
      <c r="D39" s="1478">
        <f t="shared" si="50"/>
        <v>199.59137053614126</v>
      </c>
      <c r="E39" s="1478">
        <f t="shared" si="65"/>
        <v>335.92189522342125</v>
      </c>
      <c r="F39" s="1478">
        <f t="shared" si="65"/>
        <v>183.10139991109489</v>
      </c>
      <c r="G39" s="3303">
        <v>2010</v>
      </c>
      <c r="H39" s="1466">
        <v>2</v>
      </c>
      <c r="I39" s="1466">
        <v>4.6900000000000004</v>
      </c>
      <c r="J39" s="1466">
        <v>3.55</v>
      </c>
      <c r="K39" s="1466">
        <v>5.07</v>
      </c>
      <c r="L39" s="1480">
        <v>4.2300000000000004</v>
      </c>
      <c r="N39" s="1473">
        <f t="shared" si="52"/>
        <v>4.6900000000000004E-2</v>
      </c>
      <c r="O39" s="1474">
        <f t="shared" si="52"/>
        <v>3.5499999999999997E-2</v>
      </c>
      <c r="P39" s="1474">
        <f t="shared" si="52"/>
        <v>5.0700000000000002E-2</v>
      </c>
      <c r="Q39" s="1474">
        <f t="shared" si="52"/>
        <v>4.2300000000000004E-2</v>
      </c>
      <c r="R39" s="1475"/>
      <c r="S39" s="1473"/>
      <c r="T39" s="1474"/>
      <c r="U39" s="1474"/>
      <c r="V39" s="1474"/>
    </row>
    <row r="40" spans="1:26" ht="13.5" thickBot="1">
      <c r="A40" s="1462" t="s">
        <v>1178</v>
      </c>
      <c r="B40" s="1478">
        <f t="shared" si="64"/>
        <v>232.06990378821649</v>
      </c>
      <c r="C40" s="1478">
        <f t="shared" si="64"/>
        <v>192.74878854286936</v>
      </c>
      <c r="D40" s="1478">
        <f t="shared" si="50"/>
        <v>192.74878854286936</v>
      </c>
      <c r="E40" s="1478">
        <f t="shared" si="65"/>
        <v>319.71247284992984</v>
      </c>
      <c r="F40" s="1478">
        <f t="shared" si="65"/>
        <v>175.67053622862409</v>
      </c>
      <c r="G40" s="3304">
        <v>2010</v>
      </c>
      <c r="H40" s="1465">
        <v>1</v>
      </c>
      <c r="I40" s="1465">
        <v>5.4</v>
      </c>
      <c r="J40" s="1465">
        <v>3.2</v>
      </c>
      <c r="K40" s="1465">
        <v>6.16</v>
      </c>
      <c r="L40" s="1479">
        <v>4.51</v>
      </c>
      <c r="N40" s="1473">
        <f t="shared" si="52"/>
        <v>5.4000000000000006E-2</v>
      </c>
      <c r="O40" s="1474">
        <f t="shared" si="52"/>
        <v>3.2000000000000001E-2</v>
      </c>
      <c r="P40" s="1474">
        <f t="shared" si="52"/>
        <v>6.1600000000000002E-2</v>
      </c>
      <c r="Q40" s="1474">
        <f t="shared" si="52"/>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50"/>
        <v>187</v>
      </c>
      <c r="E41" s="1470">
        <v>301</v>
      </c>
      <c r="F41" s="1471">
        <v>168</v>
      </c>
      <c r="G41" s="3302">
        <v>2009</v>
      </c>
      <c r="H41" s="1483">
        <v>4</v>
      </c>
      <c r="I41" s="1483">
        <v>2.2999999999999998</v>
      </c>
      <c r="J41" s="1483">
        <v>1.04</v>
      </c>
      <c r="K41" s="1483">
        <v>2.84</v>
      </c>
      <c r="L41" s="1484">
        <v>0.67</v>
      </c>
      <c r="N41" s="1485">
        <f t="shared" si="52"/>
        <v>2.3E-2</v>
      </c>
      <c r="O41" s="1486">
        <f t="shared" si="52"/>
        <v>1.04E-2</v>
      </c>
      <c r="P41" s="1486">
        <f t="shared" si="52"/>
        <v>2.8399999999999998E-2</v>
      </c>
      <c r="Q41" s="1486">
        <f t="shared" si="52"/>
        <v>6.7000000000000002E-3</v>
      </c>
      <c r="R41" s="1475"/>
      <c r="S41" s="1476"/>
      <c r="T41" s="1477"/>
      <c r="U41" s="1477"/>
      <c r="V41" s="1477"/>
      <c r="X41" s="1477"/>
      <c r="Y41" s="1477"/>
      <c r="Z41" s="1477"/>
    </row>
    <row r="42" spans="1:26">
      <c r="A42" s="1462" t="s">
        <v>1180</v>
      </c>
      <c r="B42" s="1478">
        <f t="shared" ref="B42:C44" si="66">B41/(1+N41)</f>
        <v>215.05376344086022</v>
      </c>
      <c r="C42" s="1478">
        <f t="shared" si="66"/>
        <v>185.0752177355503</v>
      </c>
      <c r="D42" s="1478">
        <f t="shared" si="50"/>
        <v>185.0752177355503</v>
      </c>
      <c r="E42" s="1478">
        <f t="shared" ref="E42:F44" si="67">E41/(1+P41)</f>
        <v>292.68767016725008</v>
      </c>
      <c r="F42" s="1478">
        <f t="shared" si="67"/>
        <v>166.88189132810174</v>
      </c>
      <c r="G42" s="3303">
        <v>2009</v>
      </c>
      <c r="H42" s="1488">
        <v>3</v>
      </c>
      <c r="I42" s="1488">
        <v>2.1</v>
      </c>
      <c r="J42" s="1488">
        <v>1.86</v>
      </c>
      <c r="K42" s="1488">
        <v>2.29</v>
      </c>
      <c r="L42" s="1489">
        <v>0.85</v>
      </c>
      <c r="N42" s="1473">
        <f t="shared" si="52"/>
        <v>2.1000000000000001E-2</v>
      </c>
      <c r="O42" s="1490">
        <f t="shared" si="52"/>
        <v>1.8600000000000002E-2</v>
      </c>
      <c r="P42" s="1490">
        <f t="shared" si="52"/>
        <v>2.29E-2</v>
      </c>
      <c r="Q42" s="1490">
        <f t="shared" si="52"/>
        <v>8.5000000000000006E-3</v>
      </c>
      <c r="R42" s="1475"/>
      <c r="S42" s="1473"/>
      <c r="T42" s="1474"/>
      <c r="U42" s="1474"/>
      <c r="V42" s="1474"/>
    </row>
    <row r="43" spans="1:26">
      <c r="A43" s="1462" t="s">
        <v>1181</v>
      </c>
      <c r="B43" s="1478">
        <f t="shared" si="66"/>
        <v>210.630522469011</v>
      </c>
      <c r="C43" s="1478">
        <f t="shared" si="66"/>
        <v>181.69567812247232</v>
      </c>
      <c r="D43" s="1478">
        <f t="shared" si="50"/>
        <v>181.69567812247232</v>
      </c>
      <c r="E43" s="1478">
        <f t="shared" si="67"/>
        <v>286.13517466736738</v>
      </c>
      <c r="F43" s="1478">
        <f t="shared" si="67"/>
        <v>165.47535084591149</v>
      </c>
      <c r="G43" s="3303">
        <v>2009</v>
      </c>
      <c r="H43" s="1466">
        <v>2</v>
      </c>
      <c r="I43" s="1466">
        <v>0.86</v>
      </c>
      <c r="J43" s="1466">
        <v>-1.1299999999999999</v>
      </c>
      <c r="K43" s="1466">
        <v>1.79</v>
      </c>
      <c r="L43" s="1480">
        <v>-2.0699999999999998</v>
      </c>
      <c r="N43" s="1473">
        <f t="shared" si="52"/>
        <v>8.6E-3</v>
      </c>
      <c r="O43" s="1490">
        <f t="shared" si="52"/>
        <v>-1.1299999999999999E-2</v>
      </c>
      <c r="P43" s="1490">
        <f t="shared" si="52"/>
        <v>1.7899999999999999E-2</v>
      </c>
      <c r="Q43" s="1490">
        <f t="shared" si="52"/>
        <v>-2.07E-2</v>
      </c>
      <c r="R43" s="1475"/>
      <c r="S43" s="1473"/>
      <c r="T43" s="1474"/>
      <c r="U43" s="1474"/>
      <c r="V43" s="1474"/>
    </row>
    <row r="44" spans="1:26">
      <c r="A44" s="1462" t="s">
        <v>1182</v>
      </c>
      <c r="B44" s="1478">
        <f t="shared" si="66"/>
        <v>208.83454537875372</v>
      </c>
      <c r="C44" s="1478">
        <f t="shared" si="66"/>
        <v>183.77230517090351</v>
      </c>
      <c r="D44" s="1478">
        <f t="shared" si="50"/>
        <v>183.77230517090351</v>
      </c>
      <c r="E44" s="1478">
        <f t="shared" si="67"/>
        <v>281.10342338870947</v>
      </c>
      <c r="F44" s="1478">
        <f t="shared" si="67"/>
        <v>168.97309388942256</v>
      </c>
      <c r="G44" s="3304">
        <v>2009</v>
      </c>
      <c r="H44" s="1465">
        <v>1</v>
      </c>
      <c r="I44" s="1465">
        <v>-2.64</v>
      </c>
      <c r="J44" s="1465">
        <v>-2.5299999999999998</v>
      </c>
      <c r="K44" s="1465">
        <v>-3.02</v>
      </c>
      <c r="L44" s="1479">
        <v>1.52</v>
      </c>
      <c r="N44" s="1481">
        <f t="shared" si="52"/>
        <v>-2.64E-2</v>
      </c>
      <c r="O44" s="1482">
        <f t="shared" si="52"/>
        <v>-2.53E-2</v>
      </c>
      <c r="P44" s="1482">
        <f t="shared" si="52"/>
        <v>-3.0200000000000001E-2</v>
      </c>
      <c r="Q44" s="1482">
        <f t="shared" si="52"/>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50"/>
        <v>188</v>
      </c>
      <c r="E45" s="1512">
        <v>289</v>
      </c>
      <c r="F45" s="1513">
        <v>166</v>
      </c>
      <c r="G45" s="3302">
        <v>2008</v>
      </c>
      <c r="H45" s="1483">
        <v>4</v>
      </c>
      <c r="I45" s="1483">
        <v>1.73</v>
      </c>
      <c r="J45" s="1483">
        <v>0.03</v>
      </c>
      <c r="K45" s="1483">
        <v>2.59</v>
      </c>
      <c r="L45" s="1484">
        <v>-1.66</v>
      </c>
      <c r="N45" s="1473">
        <f t="shared" si="52"/>
        <v>1.7299999999999999E-2</v>
      </c>
      <c r="O45" s="1474">
        <f t="shared" si="52"/>
        <v>2.9999999999999997E-4</v>
      </c>
      <c r="P45" s="1474">
        <f t="shared" si="52"/>
        <v>2.5899999999999999E-2</v>
      </c>
      <c r="Q45" s="1474">
        <f t="shared" si="52"/>
        <v>-1.66E-2</v>
      </c>
      <c r="R45" s="1475"/>
      <c r="S45" s="1476"/>
      <c r="T45" s="1477"/>
      <c r="U45" s="1477"/>
      <c r="V45" s="1477"/>
      <c r="X45" s="1477"/>
      <c r="Y45" s="1477"/>
      <c r="Z45" s="1477"/>
    </row>
    <row r="46" spans="1:26">
      <c r="A46" s="1462" t="s">
        <v>1184</v>
      </c>
      <c r="B46" s="1478">
        <f t="shared" ref="B46:C48" si="68">B45/(1+N45)</f>
        <v>210.36075887152265</v>
      </c>
      <c r="C46" s="1478">
        <f t="shared" si="68"/>
        <v>187.94361691492554</v>
      </c>
      <c r="D46" s="1478">
        <f t="shared" si="50"/>
        <v>187.94361691492554</v>
      </c>
      <c r="E46" s="1478">
        <f t="shared" ref="E46:F48" si="69">E45/(1+P45)</f>
        <v>281.70386977288234</v>
      </c>
      <c r="F46" s="1478">
        <f t="shared" si="69"/>
        <v>168.80211511083994</v>
      </c>
      <c r="G46" s="3303">
        <v>2008</v>
      </c>
      <c r="H46" s="1488">
        <v>3</v>
      </c>
      <c r="I46" s="1488">
        <v>1.96</v>
      </c>
      <c r="J46" s="1488">
        <v>2.36</v>
      </c>
      <c r="K46" s="1488">
        <v>1.82</v>
      </c>
      <c r="L46" s="1489">
        <v>2.2200000000000002</v>
      </c>
      <c r="N46" s="1473">
        <f t="shared" si="52"/>
        <v>1.9599999999999999E-2</v>
      </c>
      <c r="O46" s="1474">
        <f t="shared" si="52"/>
        <v>2.3599999999999999E-2</v>
      </c>
      <c r="P46" s="1474">
        <f t="shared" si="52"/>
        <v>1.8200000000000001E-2</v>
      </c>
      <c r="Q46" s="1474">
        <f t="shared" si="52"/>
        <v>2.2200000000000001E-2</v>
      </c>
      <c r="R46" s="1475"/>
      <c r="S46" s="1473"/>
      <c r="T46" s="1474"/>
      <c r="U46" s="1474"/>
      <c r="V46" s="1474"/>
    </row>
    <row r="47" spans="1:26">
      <c r="A47" s="1462" t="s">
        <v>1185</v>
      </c>
      <c r="B47" s="1478">
        <f t="shared" si="68"/>
        <v>206.31694671589116</v>
      </c>
      <c r="C47" s="1478">
        <f t="shared" si="68"/>
        <v>183.61041121036101</v>
      </c>
      <c r="D47" s="1478">
        <f t="shared" si="50"/>
        <v>183.61041121036101</v>
      </c>
      <c r="E47" s="1478">
        <f t="shared" si="69"/>
        <v>276.66850301795557</v>
      </c>
      <c r="F47" s="1478">
        <f t="shared" si="69"/>
        <v>165.1360938278614</v>
      </c>
      <c r="G47" s="3303">
        <v>2008</v>
      </c>
      <c r="H47" s="1466">
        <v>2</v>
      </c>
      <c r="I47" s="1466">
        <v>4.93</v>
      </c>
      <c r="J47" s="1466">
        <v>7.38</v>
      </c>
      <c r="K47" s="1466">
        <v>3.98</v>
      </c>
      <c r="L47" s="1480">
        <v>6.86</v>
      </c>
      <c r="N47" s="1473">
        <f t="shared" si="52"/>
        <v>4.9299999999999997E-2</v>
      </c>
      <c r="O47" s="1474">
        <f t="shared" si="52"/>
        <v>7.3800000000000004E-2</v>
      </c>
      <c r="P47" s="1474">
        <f t="shared" si="52"/>
        <v>3.9800000000000002E-2</v>
      </c>
      <c r="Q47" s="1474">
        <f t="shared" si="52"/>
        <v>6.8600000000000008E-2</v>
      </c>
      <c r="R47" s="1475"/>
      <c r="S47" s="1473"/>
      <c r="T47" s="1474"/>
      <c r="U47" s="1474"/>
      <c r="V47" s="1474"/>
    </row>
    <row r="48" spans="1:26" s="1518" customFormat="1" ht="13.5" thickBot="1">
      <c r="A48" s="1462" t="s">
        <v>1186</v>
      </c>
      <c r="B48" s="1515">
        <f t="shared" si="68"/>
        <v>196.62341248059772</v>
      </c>
      <c r="C48" s="1515">
        <f t="shared" si="68"/>
        <v>170.99125648199012</v>
      </c>
      <c r="D48" s="1515">
        <f t="shared" si="50"/>
        <v>170.99125648199012</v>
      </c>
      <c r="E48" s="1515">
        <f t="shared" si="69"/>
        <v>266.07857570490052</v>
      </c>
      <c r="F48" s="1515">
        <f t="shared" si="69"/>
        <v>154.53499328828505</v>
      </c>
      <c r="G48" s="3304">
        <v>2008</v>
      </c>
      <c r="H48" s="1516">
        <v>1</v>
      </c>
      <c r="I48" s="1516">
        <v>4.1399999999999997</v>
      </c>
      <c r="J48" s="1516">
        <v>3.45</v>
      </c>
      <c r="K48" s="1516">
        <v>4.95</v>
      </c>
      <c r="L48" s="1517">
        <v>4.82</v>
      </c>
      <c r="N48" s="1519">
        <f t="shared" si="52"/>
        <v>4.1399999999999999E-2</v>
      </c>
      <c r="O48" s="1520">
        <f t="shared" si="52"/>
        <v>3.4500000000000003E-2</v>
      </c>
      <c r="P48" s="1520">
        <f t="shared" si="52"/>
        <v>4.9500000000000002E-2</v>
      </c>
      <c r="Q48" s="1520">
        <f t="shared" si="52"/>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50"/>
        <v>165</v>
      </c>
      <c r="E49" s="1470">
        <v>254</v>
      </c>
      <c r="F49" s="1471">
        <v>148</v>
      </c>
      <c r="G49" s="3302">
        <v>2007</v>
      </c>
      <c r="H49" s="1523">
        <v>4</v>
      </c>
      <c r="I49" s="1523">
        <v>5.51</v>
      </c>
      <c r="J49" s="1523">
        <v>4.8899999999999997</v>
      </c>
      <c r="K49" s="1523">
        <v>6.43</v>
      </c>
      <c r="L49" s="1524">
        <v>5.36</v>
      </c>
      <c r="N49" s="1525">
        <f t="shared" ref="N49:O52" si="70">B49/B50-1</f>
        <v>4.1339718365245526E-2</v>
      </c>
      <c r="O49" s="1526">
        <f t="shared" si="70"/>
        <v>4.0324492593776018E-2</v>
      </c>
      <c r="P49" s="1526">
        <f t="shared" ref="P49:Q52" si="71">E49/E50-1</f>
        <v>6.1625555347990968E-2</v>
      </c>
      <c r="Q49" s="1526">
        <f t="shared" si="71"/>
        <v>4.6757569250590603E-2</v>
      </c>
      <c r="R49" s="1475"/>
      <c r="S49" s="1476"/>
      <c r="T49" s="1477"/>
      <c r="U49" s="1477"/>
      <c r="V49" s="1477"/>
      <c r="X49" s="1477"/>
      <c r="Y49" s="1477"/>
      <c r="Z49" s="1477"/>
    </row>
    <row r="50" spans="1:26">
      <c r="A50" s="1462" t="s">
        <v>1188</v>
      </c>
      <c r="B50" s="1478">
        <f t="shared" ref="B50:C52" si="72">B51+(B$49-B$53)*I50/SUM(I$49:I$52)</f>
        <v>180.5366651097618</v>
      </c>
      <c r="C50" s="1478">
        <f t="shared" si="72"/>
        <v>158.60435967302453</v>
      </c>
      <c r="D50" s="1478">
        <f t="shared" si="50"/>
        <v>158.60435967302453</v>
      </c>
      <c r="E50" s="1478">
        <f t="shared" ref="E50:F52" si="73">E51+(E$49-E$53)*K50/SUM(K$49:K$52)</f>
        <v>239.25573260785075</v>
      </c>
      <c r="F50" s="1478">
        <f t="shared" si="73"/>
        <v>141.38899430740037</v>
      </c>
      <c r="G50" s="3303">
        <v>2007</v>
      </c>
      <c r="H50" s="1488">
        <v>3</v>
      </c>
      <c r="I50" s="1488">
        <v>8.65</v>
      </c>
      <c r="J50" s="1488">
        <v>8.06</v>
      </c>
      <c r="K50" s="1488">
        <v>9.94</v>
      </c>
      <c r="L50" s="1489">
        <v>5.8</v>
      </c>
      <c r="N50" s="1525">
        <f t="shared" si="70"/>
        <v>6.940217571740015E-2</v>
      </c>
      <c r="O50" s="1526">
        <f t="shared" si="70"/>
        <v>7.1197482471153428E-2</v>
      </c>
      <c r="P50" s="1526">
        <f t="shared" si="71"/>
        <v>0.10529679922579582</v>
      </c>
      <c r="Q50" s="1526">
        <f t="shared" si="71"/>
        <v>5.3292245059512133E-2</v>
      </c>
      <c r="R50" s="1475"/>
      <c r="S50" s="1473"/>
      <c r="T50" s="1474"/>
      <c r="U50" s="1474"/>
      <c r="V50" s="1474"/>
      <c r="X50" s="1527"/>
      <c r="Y50" s="1527"/>
      <c r="Z50" s="1527"/>
    </row>
    <row r="51" spans="1:26">
      <c r="A51" s="1462" t="s">
        <v>1189</v>
      </c>
      <c r="B51" s="1478">
        <f t="shared" si="72"/>
        <v>168.82017748715555</v>
      </c>
      <c r="C51" s="1478">
        <f t="shared" si="72"/>
        <v>148.06267029972753</v>
      </c>
      <c r="D51" s="1478">
        <f t="shared" si="50"/>
        <v>148.06267029972753</v>
      </c>
      <c r="E51" s="1478">
        <f t="shared" si="73"/>
        <v>216.46288379323747</v>
      </c>
      <c r="F51" s="1478">
        <f t="shared" si="73"/>
        <v>134.23529411764704</v>
      </c>
      <c r="G51" s="3303">
        <v>2007</v>
      </c>
      <c r="H51" s="1466">
        <v>2</v>
      </c>
      <c r="I51" s="1466">
        <v>3.67</v>
      </c>
      <c r="J51" s="1466">
        <v>2.3199999999999998</v>
      </c>
      <c r="K51" s="1466">
        <v>5.0199999999999996</v>
      </c>
      <c r="L51" s="1480">
        <v>6.71</v>
      </c>
      <c r="N51" s="1525">
        <f t="shared" si="70"/>
        <v>3.0339138143848032E-2</v>
      </c>
      <c r="O51" s="1526">
        <f t="shared" si="70"/>
        <v>2.0922341588790472E-2</v>
      </c>
      <c r="P51" s="1526">
        <f t="shared" si="71"/>
        <v>5.6164796592717003E-2</v>
      </c>
      <c r="Q51" s="1526">
        <f t="shared" si="71"/>
        <v>6.5704536723887319E-2</v>
      </c>
      <c r="R51" s="1475"/>
      <c r="S51" s="1473"/>
      <c r="T51" s="1474"/>
      <c r="U51" s="1474"/>
      <c r="V51" s="1474"/>
      <c r="X51" s="1527"/>
      <c r="Y51" s="1527"/>
      <c r="Z51" s="1527"/>
    </row>
    <row r="52" spans="1:26">
      <c r="A52" s="1462" t="s">
        <v>1190</v>
      </c>
      <c r="B52" s="1478">
        <f t="shared" si="72"/>
        <v>163.84913591779542</v>
      </c>
      <c r="C52" s="1478">
        <f t="shared" si="72"/>
        <v>145.0283378746594</v>
      </c>
      <c r="D52" s="1478">
        <f t="shared" si="50"/>
        <v>145.0283378746594</v>
      </c>
      <c r="E52" s="1478">
        <f t="shared" si="73"/>
        <v>204.95180722891567</v>
      </c>
      <c r="F52" s="1478">
        <f t="shared" si="73"/>
        <v>125.95920303605313</v>
      </c>
      <c r="G52" s="3304">
        <v>2007</v>
      </c>
      <c r="H52" s="1465">
        <v>1</v>
      </c>
      <c r="I52" s="1465">
        <v>3.58</v>
      </c>
      <c r="J52" s="1465">
        <v>3.08</v>
      </c>
      <c r="K52" s="1465">
        <v>4.34</v>
      </c>
      <c r="L52" s="1479">
        <v>3.21</v>
      </c>
      <c r="N52" s="1528">
        <f t="shared" si="70"/>
        <v>3.0497710174814063E-2</v>
      </c>
      <c r="O52" s="1529">
        <f t="shared" si="70"/>
        <v>2.8569772160704998E-2</v>
      </c>
      <c r="P52" s="1529">
        <f t="shared" si="71"/>
        <v>5.1034908866234296E-2</v>
      </c>
      <c r="Q52" s="1529">
        <f t="shared" si="7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50"/>
        <v>141</v>
      </c>
      <c r="E53" s="1491">
        <v>195</v>
      </c>
      <c r="F53" s="1492">
        <v>122</v>
      </c>
      <c r="G53" s="3302">
        <v>2006</v>
      </c>
      <c r="H53" s="1483">
        <v>4</v>
      </c>
      <c r="I53" s="1483">
        <v>3.79</v>
      </c>
      <c r="J53" s="1483">
        <v>2.21</v>
      </c>
      <c r="K53" s="1483">
        <v>5.65</v>
      </c>
      <c r="L53" s="1484">
        <v>5.41</v>
      </c>
      <c r="N53" s="1525">
        <f t="shared" ref="N53:O56" si="74">I53/SUM(I$53:I$56)*(B$53/B$57-1)</f>
        <v>7.245466462748526E-2</v>
      </c>
      <c r="O53" s="1526">
        <f t="shared" si="74"/>
        <v>2.3237230038062766E-2</v>
      </c>
      <c r="P53" s="1526">
        <f t="shared" ref="P53:Q56" si="75">K53/SUM(K$53:K$56)*(E$53/E$57-1)</f>
        <v>0.16146893866323722</v>
      </c>
      <c r="Q53" s="1526">
        <f t="shared" si="75"/>
        <v>5.0755230321793784E-2</v>
      </c>
      <c r="R53" s="1475"/>
      <c r="S53" s="1476"/>
      <c r="T53" s="1477"/>
      <c r="U53" s="1477"/>
      <c r="V53" s="1477"/>
      <c r="X53" s="1527"/>
      <c r="Y53" s="1527"/>
      <c r="Z53" s="1527"/>
    </row>
    <row r="54" spans="1:26">
      <c r="A54" s="1462" t="s">
        <v>1192</v>
      </c>
      <c r="B54" s="1478">
        <f t="shared" ref="B54:C56" si="76">B55+(B$53-B$57)*I54/SUM(I$53:I$56)</f>
        <v>149.00125628140702</v>
      </c>
      <c r="C54" s="1478">
        <f t="shared" si="76"/>
        <v>137.95592286501378</v>
      </c>
      <c r="D54" s="1478">
        <f t="shared" si="50"/>
        <v>137.95592286501378</v>
      </c>
      <c r="E54" s="1478">
        <f t="shared" ref="E54:F56" si="77">E55+(E$53-E$57)*K54/SUM(K$53:K$56)</f>
        <v>169.97231450719823</v>
      </c>
      <c r="F54" s="1478">
        <f t="shared" si="77"/>
        <v>116.21390374331551</v>
      </c>
      <c r="G54" s="3303">
        <v>2006</v>
      </c>
      <c r="H54" s="1488">
        <v>3</v>
      </c>
      <c r="I54" s="1488">
        <v>0.92</v>
      </c>
      <c r="J54" s="1488">
        <v>1.08</v>
      </c>
      <c r="K54" s="1488">
        <v>0.73</v>
      </c>
      <c r="L54" s="1489">
        <v>1.08</v>
      </c>
      <c r="N54" s="1525">
        <f t="shared" si="74"/>
        <v>1.7587939698492462E-2</v>
      </c>
      <c r="O54" s="1526">
        <f t="shared" si="74"/>
        <v>1.1355750425840628E-2</v>
      </c>
      <c r="P54" s="1526">
        <f t="shared" si="75"/>
        <v>2.0862358446754544E-2</v>
      </c>
      <c r="Q54" s="1526">
        <f t="shared" si="75"/>
        <v>1.0132282578103011E-2</v>
      </c>
      <c r="R54" s="1475"/>
      <c r="S54" s="1473"/>
      <c r="T54" s="1474"/>
      <c r="U54" s="1474"/>
      <c r="V54" s="1474"/>
      <c r="X54" s="1527"/>
      <c r="Y54" s="1527"/>
      <c r="Z54" s="1527"/>
    </row>
    <row r="55" spans="1:26">
      <c r="A55" s="1462" t="s">
        <v>1193</v>
      </c>
      <c r="B55" s="1478">
        <f t="shared" si="76"/>
        <v>146.57412060301507</v>
      </c>
      <c r="C55" s="1478">
        <f t="shared" si="76"/>
        <v>136.46831955922866</v>
      </c>
      <c r="D55" s="1478">
        <f t="shared" si="50"/>
        <v>136.46831955922866</v>
      </c>
      <c r="E55" s="1478">
        <f t="shared" si="77"/>
        <v>166.73864894795128</v>
      </c>
      <c r="F55" s="1478">
        <f t="shared" si="77"/>
        <v>115.05882352941177</v>
      </c>
      <c r="G55" s="3303">
        <v>2006</v>
      </c>
      <c r="H55" s="1466">
        <v>2</v>
      </c>
      <c r="I55" s="1466">
        <v>0.96</v>
      </c>
      <c r="J55" s="1466">
        <v>0.25</v>
      </c>
      <c r="K55" s="1466">
        <v>1.9</v>
      </c>
      <c r="L55" s="1480">
        <v>0.95</v>
      </c>
      <c r="N55" s="1525">
        <f t="shared" si="74"/>
        <v>1.8352632728861701E-2</v>
      </c>
      <c r="O55" s="1526">
        <f t="shared" si="74"/>
        <v>2.6286459319075526E-3</v>
      </c>
      <c r="P55" s="1526">
        <f t="shared" si="75"/>
        <v>5.4299289107991269E-2</v>
      </c>
      <c r="Q55" s="1526">
        <f t="shared" si="75"/>
        <v>8.9126559714794995E-3</v>
      </c>
      <c r="R55" s="1475"/>
      <c r="S55" s="1473"/>
      <c r="T55" s="1474"/>
      <c r="U55" s="1474"/>
      <c r="V55" s="1474"/>
      <c r="X55" s="1527"/>
      <c r="Y55" s="1527"/>
      <c r="Z55" s="1527"/>
    </row>
    <row r="56" spans="1:26">
      <c r="A56" s="1462" t="s">
        <v>1194</v>
      </c>
      <c r="B56" s="1478">
        <f t="shared" si="76"/>
        <v>144.04145728643215</v>
      </c>
      <c r="C56" s="1478">
        <f t="shared" si="76"/>
        <v>136.12396694214877</v>
      </c>
      <c r="D56" s="1478">
        <f t="shared" si="50"/>
        <v>136.12396694214877</v>
      </c>
      <c r="E56" s="1478">
        <f t="shared" si="77"/>
        <v>158.32225913621264</v>
      </c>
      <c r="F56" s="1478">
        <f t="shared" si="77"/>
        <v>114.04278074866311</v>
      </c>
      <c r="G56" s="3304">
        <v>2006</v>
      </c>
      <c r="H56" s="1465">
        <v>1</v>
      </c>
      <c r="I56" s="1465">
        <v>2.29</v>
      </c>
      <c r="J56" s="1465">
        <v>3.72</v>
      </c>
      <c r="K56" s="1465">
        <v>0.75</v>
      </c>
      <c r="L56" s="1479">
        <v>0.04</v>
      </c>
      <c r="N56" s="1528">
        <f t="shared" si="74"/>
        <v>4.3778675988638847E-2</v>
      </c>
      <c r="O56" s="1529">
        <f t="shared" si="74"/>
        <v>3.9114251466784385E-2</v>
      </c>
      <c r="P56" s="1529">
        <f t="shared" si="75"/>
        <v>2.1433929911049188E-2</v>
      </c>
      <c r="Q56" s="1529">
        <f t="shared" si="7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50"/>
        <v>131</v>
      </c>
      <c r="E57" s="1491">
        <v>155</v>
      </c>
      <c r="F57" s="1492">
        <v>114</v>
      </c>
      <c r="G57" s="3302">
        <v>2005</v>
      </c>
      <c r="H57" s="1483">
        <v>4</v>
      </c>
      <c r="I57" s="1483">
        <v>3.29</v>
      </c>
      <c r="J57" s="1483">
        <v>1.44</v>
      </c>
      <c r="K57" s="1483">
        <v>0.66</v>
      </c>
      <c r="L57" s="1484">
        <v>7.78</v>
      </c>
      <c r="N57" s="1525">
        <f t="shared" ref="N57:O60" si="78">I57/SUM(I$57:I$60)*(B$57/B$61-1)</f>
        <v>9.9404603216919935E-2</v>
      </c>
      <c r="O57" s="1526">
        <f t="shared" si="78"/>
        <v>4.7636550760861554E-2</v>
      </c>
      <c r="P57" s="1526">
        <f t="shared" ref="P57:Q60" si="79">K57/SUM(K$57:K$60)*(E$57/E$61-1)</f>
        <v>8.3756345177664976E-2</v>
      </c>
      <c r="Q57" s="1526">
        <f t="shared" si="79"/>
        <v>5.2148766661559584E-2</v>
      </c>
      <c r="R57" s="1475"/>
      <c r="S57" s="1476"/>
      <c r="T57" s="1477"/>
      <c r="U57" s="1477"/>
      <c r="V57" s="1477"/>
      <c r="X57" s="1527"/>
      <c r="Y57" s="1527"/>
      <c r="Z57" s="1527"/>
    </row>
    <row r="58" spans="1:26">
      <c r="A58" s="1462" t="s">
        <v>1196</v>
      </c>
      <c r="B58" s="1478">
        <f t="shared" ref="B58:C60" si="80">B59+(B$57-B$61)*I58/SUM(I$57:I$60)</f>
        <v>125.9720430107527</v>
      </c>
      <c r="C58" s="1478">
        <f t="shared" si="80"/>
        <v>125.1883408071749</v>
      </c>
      <c r="D58" s="1478">
        <f t="shared" si="50"/>
        <v>125.1883408071749</v>
      </c>
      <c r="E58" s="1478">
        <f t="shared" ref="E58:F60" si="81">E59+(E$57-E$61)*K58/SUM(K$57:K$60)</f>
        <v>144.61421319796952</v>
      </c>
      <c r="F58" s="1478">
        <f t="shared" si="81"/>
        <v>108.42008196721311</v>
      </c>
      <c r="G58" s="3303">
        <v>2005</v>
      </c>
      <c r="H58" s="1488">
        <v>3</v>
      </c>
      <c r="I58" s="1488">
        <v>0.46</v>
      </c>
      <c r="J58" s="1488">
        <v>0.32</v>
      </c>
      <c r="K58" s="1488">
        <v>0.42</v>
      </c>
      <c r="L58" s="1489">
        <v>0.64</v>
      </c>
      <c r="N58" s="1525">
        <f t="shared" si="78"/>
        <v>1.3898515951301874E-2</v>
      </c>
      <c r="O58" s="1526">
        <f t="shared" si="78"/>
        <v>1.0585900169080346E-2</v>
      </c>
      <c r="P58" s="1526">
        <f t="shared" si="79"/>
        <v>5.3299492385786795E-2</v>
      </c>
      <c r="Q58" s="1526">
        <f t="shared" si="79"/>
        <v>4.2898728359123568E-3</v>
      </c>
      <c r="R58" s="1475"/>
      <c r="S58" s="1473"/>
      <c r="T58" s="1474"/>
      <c r="U58" s="1474"/>
      <c r="V58" s="1474"/>
      <c r="X58" s="1527"/>
      <c r="Y58" s="1527"/>
      <c r="Z58" s="1527"/>
    </row>
    <row r="59" spans="1:26">
      <c r="A59" s="1462" t="s">
        <v>1197</v>
      </c>
      <c r="B59" s="1478">
        <f t="shared" si="80"/>
        <v>124.29032258064517</v>
      </c>
      <c r="C59" s="1478">
        <f t="shared" si="80"/>
        <v>123.8968609865471</v>
      </c>
      <c r="D59" s="1478">
        <f t="shared" si="50"/>
        <v>123.8968609865471</v>
      </c>
      <c r="E59" s="1478">
        <f t="shared" si="81"/>
        <v>138.00507614213197</v>
      </c>
      <c r="F59" s="1478">
        <f t="shared" si="81"/>
        <v>107.96106557377048</v>
      </c>
      <c r="G59" s="3303">
        <v>2005</v>
      </c>
      <c r="H59" s="1466">
        <v>2</v>
      </c>
      <c r="I59" s="1466">
        <v>0.47</v>
      </c>
      <c r="J59" s="1466">
        <v>0.1</v>
      </c>
      <c r="K59" s="1466">
        <v>0.52</v>
      </c>
      <c r="L59" s="1480">
        <v>0.79</v>
      </c>
      <c r="N59" s="1525">
        <f t="shared" si="78"/>
        <v>1.420065760241713E-2</v>
      </c>
      <c r="O59" s="1526">
        <f t="shared" si="78"/>
        <v>3.3080938028376083E-3</v>
      </c>
      <c r="P59" s="1526">
        <f t="shared" si="79"/>
        <v>6.598984771573603E-2</v>
      </c>
      <c r="Q59" s="1526">
        <f t="shared" si="79"/>
        <v>5.2953117818293153E-3</v>
      </c>
      <c r="R59" s="1475"/>
      <c r="S59" s="1473"/>
      <c r="T59" s="1474"/>
      <c r="U59" s="1474"/>
      <c r="V59" s="1474"/>
      <c r="X59" s="1527"/>
      <c r="Y59" s="1527"/>
      <c r="Z59" s="1527"/>
    </row>
    <row r="60" spans="1:26">
      <c r="A60" s="1462" t="s">
        <v>1198</v>
      </c>
      <c r="B60" s="1478">
        <f t="shared" si="80"/>
        <v>122.57204301075269</v>
      </c>
      <c r="C60" s="1478">
        <f t="shared" si="80"/>
        <v>123.4932735426009</v>
      </c>
      <c r="D60" s="1478">
        <f t="shared" si="50"/>
        <v>123.4932735426009</v>
      </c>
      <c r="E60" s="1478">
        <f t="shared" si="81"/>
        <v>129.82233502538071</v>
      </c>
      <c r="F60" s="1478">
        <f t="shared" si="81"/>
        <v>107.39446721311475</v>
      </c>
      <c r="G60" s="3304">
        <v>2005</v>
      </c>
      <c r="H60" s="1465">
        <v>1</v>
      </c>
      <c r="I60" s="1465">
        <v>0.43</v>
      </c>
      <c r="J60" s="1465">
        <v>0.37</v>
      </c>
      <c r="K60" s="1465">
        <v>0.37</v>
      </c>
      <c r="L60" s="1479">
        <v>0.55000000000000004</v>
      </c>
      <c r="N60" s="1528">
        <f t="shared" si="78"/>
        <v>1.2992090997956099E-2</v>
      </c>
      <c r="O60" s="1529">
        <f t="shared" si="78"/>
        <v>1.2239947070499151E-2</v>
      </c>
      <c r="P60" s="1529">
        <f t="shared" si="79"/>
        <v>4.6954314720812178E-2</v>
      </c>
      <c r="Q60" s="1529">
        <f t="shared" si="7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50"/>
        <v>122</v>
      </c>
      <c r="E61" s="1512">
        <v>124</v>
      </c>
      <c r="F61" s="1513">
        <v>107</v>
      </c>
      <c r="G61" s="3302">
        <v>2004</v>
      </c>
      <c r="H61" s="1483">
        <v>4</v>
      </c>
      <c r="I61" s="1483">
        <v>0.33</v>
      </c>
      <c r="J61" s="1483">
        <v>0.5</v>
      </c>
      <c r="K61" s="1483">
        <v>0.5</v>
      </c>
      <c r="L61" s="1484">
        <v>0</v>
      </c>
      <c r="N61" s="1525">
        <f t="shared" ref="N61:O64" si="82">I61/SUM(I$61:I$64)*(B$61/B$65-1)</f>
        <v>1.3391770148526898E-2</v>
      </c>
      <c r="O61" s="1526">
        <f t="shared" si="82"/>
        <v>1.063264221158958E-2</v>
      </c>
      <c r="P61" s="1526">
        <f t="shared" ref="P61:Q64" si="83">K61/SUM(K$61:K$64)*(E$61/E$65-1)</f>
        <v>2.2244466688911134E-2</v>
      </c>
      <c r="Q61" s="1526">
        <f t="shared" si="83"/>
        <v>0</v>
      </c>
      <c r="R61" s="1475"/>
      <c r="S61" s="1476"/>
      <c r="T61" s="1477"/>
      <c r="U61" s="1477"/>
      <c r="V61" s="1477"/>
      <c r="X61" s="1527"/>
      <c r="Y61" s="1527"/>
      <c r="Z61" s="1527"/>
    </row>
    <row r="62" spans="1:26">
      <c r="A62" s="1462" t="s">
        <v>1200</v>
      </c>
      <c r="B62" s="1478">
        <f t="shared" ref="B62:C64" si="84">B63+(B$61-B$65)*I62/SUM(I$61:I$64)</f>
        <v>119.51351351351352</v>
      </c>
      <c r="C62" s="1478">
        <f t="shared" si="84"/>
        <v>120.7878787878788</v>
      </c>
      <c r="D62" s="1478">
        <f t="shared" si="50"/>
        <v>120.7878787878788</v>
      </c>
      <c r="E62" s="1478">
        <f t="shared" ref="E62:F64" si="85">E63+(E$61-E$65)*K62/SUM(K$61:K$64)</f>
        <v>121.5975975975976</v>
      </c>
      <c r="F62" s="1478">
        <f t="shared" si="85"/>
        <v>107</v>
      </c>
      <c r="G62" s="3303">
        <v>2004</v>
      </c>
      <c r="H62" s="1488">
        <v>3</v>
      </c>
      <c r="I62" s="1488">
        <v>0.56000000000000005</v>
      </c>
      <c r="J62" s="1488">
        <v>0.8</v>
      </c>
      <c r="K62" s="1488">
        <v>0.83</v>
      </c>
      <c r="L62" s="1489">
        <v>0.06</v>
      </c>
      <c r="N62" s="1525">
        <f t="shared" si="82"/>
        <v>2.2725428130833527E-2</v>
      </c>
      <c r="O62" s="1526">
        <f t="shared" si="82"/>
        <v>1.7012227538543329E-2</v>
      </c>
      <c r="P62" s="1526">
        <f t="shared" si="83"/>
        <v>3.6925814703592477E-2</v>
      </c>
      <c r="Q62" s="1526">
        <f t="shared" si="83"/>
        <v>2.8846153846153744E-2</v>
      </c>
      <c r="R62" s="1475"/>
      <c r="S62" s="1473"/>
      <c r="T62" s="1474"/>
      <c r="U62" s="1474"/>
      <c r="V62" s="1474"/>
      <c r="X62" s="1527"/>
      <c r="Y62" s="1527"/>
      <c r="Z62" s="1527"/>
    </row>
    <row r="63" spans="1:26">
      <c r="A63" s="1462" t="s">
        <v>1201</v>
      </c>
      <c r="B63" s="1478">
        <f t="shared" si="84"/>
        <v>116.99099099099099</v>
      </c>
      <c r="C63" s="1478">
        <f t="shared" si="84"/>
        <v>118.84848484848486</v>
      </c>
      <c r="D63" s="1478">
        <f t="shared" si="50"/>
        <v>118.84848484848486</v>
      </c>
      <c r="E63" s="1478">
        <f t="shared" si="85"/>
        <v>117.60960960960961</v>
      </c>
      <c r="F63" s="1478">
        <f t="shared" si="85"/>
        <v>104</v>
      </c>
      <c r="G63" s="3303">
        <v>2004</v>
      </c>
      <c r="H63" s="1466">
        <v>2</v>
      </c>
      <c r="I63" s="1466">
        <v>1</v>
      </c>
      <c r="J63" s="1466">
        <v>1.5</v>
      </c>
      <c r="K63" s="1466">
        <v>1.5</v>
      </c>
      <c r="L63" s="1480">
        <v>0</v>
      </c>
      <c r="N63" s="1525">
        <f t="shared" si="82"/>
        <v>4.0581121662202721E-2</v>
      </c>
      <c r="O63" s="1526">
        <f t="shared" si="82"/>
        <v>3.1897926634768738E-2</v>
      </c>
      <c r="P63" s="1526">
        <f t="shared" si="83"/>
        <v>6.6733400066733395E-2</v>
      </c>
      <c r="Q63" s="1526">
        <f t="shared" si="83"/>
        <v>0</v>
      </c>
      <c r="R63" s="1475"/>
      <c r="S63" s="1473"/>
      <c r="T63" s="1474"/>
      <c r="U63" s="1474"/>
      <c r="V63" s="1474"/>
      <c r="X63" s="1527"/>
      <c r="Y63" s="1527"/>
      <c r="Z63" s="1527"/>
    </row>
    <row r="64" spans="1:26" s="1518" customFormat="1" ht="13.5" thickBot="1">
      <c r="A64" s="1462" t="s">
        <v>1202</v>
      </c>
      <c r="B64" s="1515">
        <f t="shared" si="84"/>
        <v>112.48648648648648</v>
      </c>
      <c r="C64" s="1515">
        <f t="shared" si="84"/>
        <v>115.21212121212122</v>
      </c>
      <c r="D64" s="1515">
        <f t="shared" si="50"/>
        <v>115.21212121212122</v>
      </c>
      <c r="E64" s="1515">
        <f t="shared" si="85"/>
        <v>110.4024024024024</v>
      </c>
      <c r="F64" s="1515">
        <f t="shared" si="85"/>
        <v>104</v>
      </c>
      <c r="G64" s="3304">
        <v>2004</v>
      </c>
      <c r="H64" s="1516">
        <v>1</v>
      </c>
      <c r="I64" s="1516">
        <v>0.33</v>
      </c>
      <c r="J64" s="1516">
        <v>0.5</v>
      </c>
      <c r="K64" s="1516">
        <v>0.5</v>
      </c>
      <c r="L64" s="1517">
        <v>0</v>
      </c>
      <c r="N64" s="1530">
        <f t="shared" si="82"/>
        <v>1.3391770148526898E-2</v>
      </c>
      <c r="O64" s="1531">
        <f t="shared" si="82"/>
        <v>1.063264221158958E-2</v>
      </c>
      <c r="P64" s="1531">
        <f t="shared" si="83"/>
        <v>2.2244466688911134E-2</v>
      </c>
      <c r="Q64" s="1531">
        <f t="shared" si="83"/>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50"/>
        <v>114</v>
      </c>
      <c r="E65" s="1533">
        <v>108</v>
      </c>
      <c r="F65" s="1534">
        <v>104</v>
      </c>
      <c r="G65" s="3302">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86">B67+(B$65-B$69)/4</f>
        <v>109.75</v>
      </c>
      <c r="C66" s="1537">
        <f t="shared" si="86"/>
        <v>112.25</v>
      </c>
      <c r="D66" s="1537">
        <f t="shared" si="50"/>
        <v>112.25</v>
      </c>
      <c r="E66" s="1537">
        <f t="shared" ref="E66:F68" si="87">E67+(E$65-E$69)/4</f>
        <v>107.25</v>
      </c>
      <c r="F66" s="1537">
        <f t="shared" si="87"/>
        <v>103.5</v>
      </c>
      <c r="G66" s="3303">
        <v>2003</v>
      </c>
      <c r="H66" s="1488">
        <v>3</v>
      </c>
      <c r="I66" s="1535"/>
      <c r="J66" s="1535"/>
      <c r="K66" s="1535"/>
      <c r="L66" s="1535"/>
      <c r="X66" s="1527"/>
      <c r="Y66" s="1527"/>
      <c r="Z66" s="1527"/>
    </row>
    <row r="67" spans="1:26">
      <c r="A67" s="1462" t="s">
        <v>1205</v>
      </c>
      <c r="B67" s="1537">
        <f t="shared" si="86"/>
        <v>108.5</v>
      </c>
      <c r="C67" s="1537">
        <f t="shared" si="86"/>
        <v>110.5</v>
      </c>
      <c r="D67" s="1537">
        <f t="shared" si="50"/>
        <v>110.5</v>
      </c>
      <c r="E67" s="1537">
        <f t="shared" si="87"/>
        <v>106.5</v>
      </c>
      <c r="F67" s="1537">
        <f t="shared" si="87"/>
        <v>103</v>
      </c>
      <c r="G67" s="3303">
        <v>2003</v>
      </c>
      <c r="H67" s="1466">
        <v>2</v>
      </c>
      <c r="I67" s="1535"/>
      <c r="J67" s="1535"/>
      <c r="K67" s="1535"/>
      <c r="L67" s="1535"/>
      <c r="X67" s="1527"/>
      <c r="Y67" s="1527"/>
      <c r="Z67" s="1527"/>
    </row>
    <row r="68" spans="1:26" ht="13.5" thickBot="1">
      <c r="A68" s="1462" t="s">
        <v>1206</v>
      </c>
      <c r="B68" s="1537">
        <f t="shared" si="86"/>
        <v>107.25</v>
      </c>
      <c r="C68" s="1537">
        <f t="shared" si="86"/>
        <v>108.75</v>
      </c>
      <c r="D68" s="1537">
        <f t="shared" si="50"/>
        <v>108.75</v>
      </c>
      <c r="E68" s="1537">
        <f t="shared" si="87"/>
        <v>105.75</v>
      </c>
      <c r="F68" s="1537">
        <f t="shared" si="87"/>
        <v>102.5</v>
      </c>
      <c r="G68" s="3304">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50"/>
        <v>107</v>
      </c>
      <c r="E69" s="1539">
        <v>105</v>
      </c>
      <c r="F69" s="1540">
        <v>102</v>
      </c>
      <c r="G69" s="3302">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88">B71+(B$69-B$73)/4</f>
        <v>105</v>
      </c>
      <c r="C70" s="1537">
        <f t="shared" si="88"/>
        <v>106</v>
      </c>
      <c r="D70" s="1537">
        <f t="shared" si="50"/>
        <v>106</v>
      </c>
      <c r="E70" s="1537">
        <f t="shared" ref="E70:F72" si="89">E71+(E$69-E$73)/4</f>
        <v>104.5</v>
      </c>
      <c r="F70" s="1537">
        <f t="shared" si="89"/>
        <v>101.5</v>
      </c>
      <c r="G70" s="3303">
        <v>2002</v>
      </c>
      <c r="H70" s="1488">
        <v>3</v>
      </c>
      <c r="I70" s="1535"/>
      <c r="J70" s="1535"/>
      <c r="K70" s="1535"/>
      <c r="L70" s="1535"/>
      <c r="X70" s="1527"/>
      <c r="Y70" s="1527"/>
      <c r="Z70" s="1527"/>
    </row>
    <row r="71" spans="1:26">
      <c r="A71" s="1462" t="s">
        <v>1209</v>
      </c>
      <c r="B71" s="1537">
        <f t="shared" si="88"/>
        <v>104</v>
      </c>
      <c r="C71" s="1537">
        <f t="shared" si="88"/>
        <v>105</v>
      </c>
      <c r="D71" s="1537">
        <f t="shared" si="50"/>
        <v>105</v>
      </c>
      <c r="E71" s="1537">
        <f t="shared" si="89"/>
        <v>104</v>
      </c>
      <c r="F71" s="1537">
        <f t="shared" si="89"/>
        <v>101</v>
      </c>
      <c r="G71" s="3303">
        <v>2002</v>
      </c>
      <c r="H71" s="1466">
        <v>2</v>
      </c>
      <c r="I71" s="1535"/>
      <c r="J71" s="1535"/>
      <c r="K71" s="1535"/>
      <c r="L71" s="1535"/>
      <c r="X71" s="1527"/>
      <c r="Y71" s="1527"/>
      <c r="Z71" s="1527"/>
    </row>
    <row r="72" spans="1:26" s="1499" customFormat="1" ht="13.5" thickBot="1">
      <c r="A72" s="1495" t="s">
        <v>1210</v>
      </c>
      <c r="B72" s="1541">
        <f t="shared" si="88"/>
        <v>103</v>
      </c>
      <c r="C72" s="1541">
        <f t="shared" si="88"/>
        <v>104</v>
      </c>
      <c r="D72" s="1541">
        <f t="shared" si="50"/>
        <v>104</v>
      </c>
      <c r="E72" s="1541">
        <f t="shared" si="89"/>
        <v>103.5</v>
      </c>
      <c r="F72" s="1541">
        <f t="shared" si="89"/>
        <v>100.5</v>
      </c>
      <c r="G72" s="3304">
        <v>2002</v>
      </c>
      <c r="H72" s="1542">
        <v>1</v>
      </c>
      <c r="I72" s="1543"/>
      <c r="J72" s="1543"/>
      <c r="K72" s="1543"/>
      <c r="L72" s="1543"/>
      <c r="N72" s="1544"/>
      <c r="S72" s="1544"/>
      <c r="X72" s="1545"/>
      <c r="Y72" s="1545"/>
      <c r="Z72" s="1545"/>
    </row>
    <row r="73" spans="1:26" ht="13.5" thickBot="1">
      <c r="B73" s="1546">
        <v>102</v>
      </c>
      <c r="C73" s="1547">
        <v>103</v>
      </c>
      <c r="D73" s="1547">
        <f t="shared" si="50"/>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19" sqref="C19"/>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3010</v>
      </c>
      <c r="C1" s="3313" t="s">
        <v>3011</v>
      </c>
      <c r="D1" s="3314"/>
      <c r="E1" s="3314"/>
      <c r="F1" s="3314"/>
      <c r="G1" s="3314"/>
      <c r="H1" s="3314"/>
      <c r="I1" s="3314"/>
      <c r="J1" s="3314"/>
      <c r="K1" s="3314"/>
      <c r="L1" s="3314"/>
      <c r="M1" s="3314"/>
      <c r="N1" s="3314"/>
      <c r="O1" s="3314"/>
      <c r="P1" s="3314"/>
      <c r="Q1" s="3314"/>
      <c r="R1" s="3314"/>
      <c r="S1" s="3315"/>
      <c r="T1" s="1205" t="s">
        <v>3012</v>
      </c>
    </row>
    <row r="2" spans="1:45" s="705" customFormat="1" ht="38.25">
      <c r="A2" s="1206"/>
      <c r="B2" s="701" t="s">
        <v>3013</v>
      </c>
      <c r="C2" s="702" t="str">
        <f t="shared" ref="C2:L2" si="0">C3&amp;"(含)"&amp;"-"&amp;D3</f>
        <v>500(含)-1000</v>
      </c>
      <c r="D2" s="703" t="str">
        <f t="shared" si="0"/>
        <v>1000(含)-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500</v>
      </c>
      <c r="D3" s="708">
        <v>1000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100</v>
      </c>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2976"/>
      <c r="C5" s="1217">
        <v>6</v>
      </c>
      <c r="D5" s="1218">
        <v>5</v>
      </c>
      <c r="E5" s="1218">
        <v>4</v>
      </c>
      <c r="F5" s="1712">
        <v>3</v>
      </c>
      <c r="G5" s="1712">
        <v>2</v>
      </c>
      <c r="H5" s="1712">
        <v>1</v>
      </c>
      <c r="I5" s="1712"/>
      <c r="J5" s="1712"/>
      <c r="K5" s="1712"/>
      <c r="L5" s="1713"/>
      <c r="M5" s="1714"/>
      <c r="N5" s="1714"/>
      <c r="O5" s="1712"/>
      <c r="P5" s="1712"/>
      <c r="Q5" s="1712"/>
      <c r="R5" s="1712"/>
      <c r="S5" s="1715"/>
      <c r="T5" s="1220">
        <v>0.5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99.5</v>
      </c>
      <c r="E6" s="1120">
        <f t="shared" ref="E6:S6" si="7">D6-$T5</f>
        <v>99</v>
      </c>
      <c r="F6" s="1716">
        <f t="shared" si="7"/>
        <v>98.5</v>
      </c>
      <c r="G6" s="1716">
        <f t="shared" si="7"/>
        <v>98</v>
      </c>
      <c r="H6" s="1716">
        <f t="shared" si="7"/>
        <v>97.5</v>
      </c>
      <c r="I6" s="1716">
        <f t="shared" si="7"/>
        <v>97</v>
      </c>
      <c r="J6" s="1716">
        <f t="shared" si="7"/>
        <v>96.5</v>
      </c>
      <c r="K6" s="1716">
        <f t="shared" si="7"/>
        <v>96</v>
      </c>
      <c r="L6" s="1716">
        <f t="shared" si="7"/>
        <v>95.5</v>
      </c>
      <c r="M6" s="1716">
        <f t="shared" si="7"/>
        <v>95</v>
      </c>
      <c r="N6" s="1716">
        <f t="shared" si="7"/>
        <v>94.5</v>
      </c>
      <c r="O6" s="1716">
        <f t="shared" si="7"/>
        <v>94</v>
      </c>
      <c r="P6" s="1716">
        <f t="shared" si="7"/>
        <v>93.5</v>
      </c>
      <c r="Q6" s="1716">
        <f t="shared" si="7"/>
        <v>93</v>
      </c>
      <c r="R6" s="1716">
        <f t="shared" si="7"/>
        <v>92.5</v>
      </c>
      <c r="S6" s="1716">
        <f t="shared" si="7"/>
        <v>92</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ht="24">
      <c r="A7" s="1216"/>
      <c r="B7" s="2977" t="s">
        <v>3119</v>
      </c>
      <c r="C7" s="2978" t="s">
        <v>3120</v>
      </c>
      <c r="D7" s="2979" t="s">
        <v>3122</v>
      </c>
      <c r="E7" s="1116"/>
      <c r="F7" s="1717"/>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hidden="1">
      <c r="A9" s="1216"/>
      <c r="B9" s="1771" t="s">
        <v>3014</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hidden="1"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hidden="1">
      <c r="A11" s="1216"/>
      <c r="B11" s="1770" t="s">
        <v>3015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hidden="1"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hidden="1">
      <c r="A13" s="1216"/>
      <c r="B13" s="1770" t="s">
        <v>3016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hidden="1">
      <c r="A15" s="1216"/>
      <c r="B15" s="1770" t="s">
        <v>3017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hidden="1"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3018</v>
      </c>
      <c r="B17" s="2920" t="s">
        <v>3019</v>
      </c>
      <c r="C17" s="1232">
        <v>1</v>
      </c>
      <c r="D17" s="1233">
        <v>2</v>
      </c>
      <c r="E17" s="1233">
        <v>3</v>
      </c>
      <c r="F17" s="1233">
        <v>4</v>
      </c>
      <c r="G17" s="1233">
        <v>5</v>
      </c>
      <c r="H17" s="1233">
        <v>6</v>
      </c>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21" t="s">
        <v>3020</v>
      </c>
      <c r="E19" s="1793"/>
      <c r="F19" s="1793"/>
      <c r="G19" s="1793"/>
      <c r="H19" s="1281"/>
      <c r="I19" s="166"/>
      <c r="J19" s="166"/>
      <c r="K19" s="166"/>
      <c r="L19" s="166"/>
      <c r="M19" s="166"/>
      <c r="N19" s="166"/>
      <c r="O19" s="166"/>
      <c r="P19" s="166"/>
      <c r="Q19" s="166"/>
      <c r="R19" s="786"/>
      <c r="S19" s="136"/>
    </row>
    <row r="20" spans="1:45" ht="16.5" thickBot="1">
      <c r="A20" s="713" t="s">
        <v>3021</v>
      </c>
      <c r="B20" s="336">
        <f ca="1">IF(D20="——",S22,S22-F20)</f>
        <v>11422</v>
      </c>
      <c r="C20" s="166"/>
      <c r="D20" s="2922" t="s">
        <v>70</v>
      </c>
      <c r="E20" s="1794"/>
      <c r="F20" s="1205" t="e">
        <f ca="1">SUMIF(INDIRECT("'"&amp;H20&amp;"'"&amp;"!A:A"),"承租人权益价值",INDIRECT("'"&amp;H20&amp;"'"&amp;"!c:c"))</f>
        <v>#REF!</v>
      </c>
      <c r="G20" s="1205" t="s">
        <v>3022</v>
      </c>
      <c r="H20" s="2923"/>
      <c r="I20" s="166"/>
      <c r="J20" s="166"/>
      <c r="K20" s="166"/>
      <c r="L20" s="166"/>
      <c r="M20" s="166"/>
      <c r="N20" s="166"/>
      <c r="O20" s="166"/>
      <c r="P20" s="166"/>
      <c r="Q20" s="166"/>
      <c r="R20" s="786"/>
      <c r="S20" s="136"/>
    </row>
    <row r="21" spans="1:45" ht="15.75">
      <c r="A21" s="713" t="s">
        <v>3023</v>
      </c>
      <c r="B21" s="336">
        <f ca="1">R22</f>
        <v>26849</v>
      </c>
      <c r="C21" s="166"/>
      <c r="D21" s="166"/>
      <c r="E21" s="166"/>
      <c r="F21" s="166"/>
      <c r="G21" s="166"/>
      <c r="H21" s="166"/>
      <c r="I21" s="166"/>
      <c r="J21" s="166"/>
      <c r="K21" s="166"/>
      <c r="L21" s="166"/>
      <c r="M21" s="166"/>
      <c r="N21" s="166"/>
      <c r="O21" s="166"/>
      <c r="P21" s="166"/>
      <c r="Q21" s="166"/>
      <c r="R21" s="786"/>
      <c r="S21" s="136"/>
    </row>
    <row r="22" spans="1:45">
      <c r="A22" s="359" t="s">
        <v>3024</v>
      </c>
      <c r="B22" s="24">
        <f>SUM(B24:B10000)</f>
        <v>4254.24</v>
      </c>
      <c r="C22" s="3176" t="s">
        <v>33</v>
      </c>
      <c r="D22" s="3177"/>
      <c r="E22" s="3177"/>
      <c r="F22" s="3177"/>
      <c r="G22" s="3177"/>
      <c r="H22" s="3177"/>
      <c r="I22" s="3177"/>
      <c r="J22" s="3177"/>
      <c r="K22" s="3177"/>
      <c r="L22" s="3177"/>
      <c r="M22" s="3177"/>
      <c r="N22" s="3177"/>
      <c r="O22" s="3177"/>
      <c r="P22" s="3177"/>
      <c r="Q22" s="3312"/>
      <c r="R22" s="714">
        <f ca="1">ROUND(S22*10000/B22,0)</f>
        <v>26849</v>
      </c>
      <c r="S22" s="24">
        <f ca="1">SUM(S24:S10000)</f>
        <v>11422</v>
      </c>
    </row>
    <row r="23" spans="1:45" s="12" customFormat="1" ht="25.5">
      <c r="A23" s="11" t="s">
        <v>3025</v>
      </c>
      <c r="B23" s="11" t="s">
        <v>3026</v>
      </c>
      <c r="C23" s="11" t="s">
        <v>3027</v>
      </c>
      <c r="D23" s="11">
        <f>B5</f>
        <v>0</v>
      </c>
      <c r="E23" s="11" t="s">
        <v>3027</v>
      </c>
      <c r="F23" s="11" t="str">
        <f>B7</f>
        <v>是否可做商业</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4" t="s">
        <v>3113</v>
      </c>
      <c r="B24" s="716">
        <f>'数据-汇总表'!F19</f>
        <v>709.04</v>
      </c>
      <c r="C24" s="717">
        <v>1</v>
      </c>
      <c r="D24" s="718">
        <v>1</v>
      </c>
      <c r="E24" s="717">
        <v>1</v>
      </c>
      <c r="F24" s="718" t="s">
        <v>3053</v>
      </c>
      <c r="G24" s="717">
        <v>1</v>
      </c>
      <c r="H24" s="718"/>
      <c r="I24" s="717">
        <v>1</v>
      </c>
      <c r="J24" s="718"/>
      <c r="K24" s="717">
        <v>1</v>
      </c>
      <c r="L24" s="718"/>
      <c r="M24" s="717">
        <v>1</v>
      </c>
      <c r="N24" s="718"/>
      <c r="O24" s="717">
        <v>1</v>
      </c>
      <c r="P24" s="718">
        <v>1</v>
      </c>
      <c r="Q24" s="717">
        <v>1</v>
      </c>
      <c r="R24" s="719">
        <f ca="1">结果表!G20</f>
        <v>27672</v>
      </c>
      <c r="S24" s="717">
        <f t="shared" ref="S24:S54" ca="1" si="11">ROUND(R24*B24/10000,0)</f>
        <v>1962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75" t="s">
        <v>3114</v>
      </c>
      <c r="B25" s="59">
        <f>B24</f>
        <v>709.04</v>
      </c>
      <c r="C25" s="24">
        <f>IF(B25="",1,(LOOKUP(B25,$3:$3,$4:$4)-LOOKUP($B$24,$3:$3,$4:$4)+100)/100)</f>
        <v>1</v>
      </c>
      <c r="D25" s="718">
        <v>2</v>
      </c>
      <c r="E25" s="24">
        <f>(SUMIF($5:$5,D25,$6:$6)-SUMIF($5:$5,$D$24,$6:$6)+100)/100</f>
        <v>1.0049999999999999</v>
      </c>
      <c r="F25" s="718" t="s">
        <v>3121</v>
      </c>
      <c r="G25" s="24">
        <f>(SUMIF($7:$7,F25,$8:$8)-SUMIF($7:$7,$F$24,$8:$8)+100)/100</f>
        <v>0.95</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1</v>
      </c>
      <c r="R25" s="714">
        <f ca="1">IF(B25="",0,ROUND($R$24*C25*E25*G25*I25*K25*M25*O25*Q25,0))</f>
        <v>26420</v>
      </c>
      <c r="S25" s="359">
        <f t="shared" ca="1" si="11"/>
        <v>1873</v>
      </c>
    </row>
    <row r="26" spans="1:45">
      <c r="A26" s="2975" t="s">
        <v>3115</v>
      </c>
      <c r="B26" s="59">
        <f>B24</f>
        <v>709.04</v>
      </c>
      <c r="C26" s="24">
        <f t="shared" ref="C26:C89" si="12">IF(B26="",1,(LOOKUP(B26,$3:$3,$4:$4)-LOOKUP($B$24,$3:$3,$4:$4)+100)/100)</f>
        <v>1</v>
      </c>
      <c r="D26" s="718">
        <v>3</v>
      </c>
      <c r="E26" s="24">
        <f t="shared" ref="E26:E89" si="13">(SUMIF($5:$5,D26,$6:$6)-SUMIF($5:$5,$D$24,$6:$6)+100)/100</f>
        <v>1.01</v>
      </c>
      <c r="F26" s="718" t="s">
        <v>3121</v>
      </c>
      <c r="G26" s="24">
        <f t="shared" ref="G26:G89" si="14">(SUMIF($7:$7,F26,$8:$8)-SUMIF($7:$7,$F$24,$8:$8)+100)/100</f>
        <v>0.95</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3</v>
      </c>
      <c r="Q26" s="24">
        <f t="shared" ref="Q26:Q89" si="19">(SUMIF($17:$17,P26,$18:$18)-SUMIF($17:$17,$P$24,$18:$18)+100)/100</f>
        <v>1</v>
      </c>
      <c r="R26" s="714">
        <f t="shared" ref="R26:R89" ca="1" si="20">IF(B26="",0,ROUND($R$24*C26*E26*G26*I26*K26*M26*O26*Q26,0))</f>
        <v>26551</v>
      </c>
      <c r="S26" s="359">
        <f t="shared" ca="1" si="11"/>
        <v>1883</v>
      </c>
    </row>
    <row r="27" spans="1:45">
      <c r="A27" s="2975" t="s">
        <v>3116</v>
      </c>
      <c r="B27" s="59">
        <f>B24</f>
        <v>709.04</v>
      </c>
      <c r="C27" s="24">
        <f t="shared" si="12"/>
        <v>1</v>
      </c>
      <c r="D27" s="718">
        <v>4</v>
      </c>
      <c r="E27" s="24">
        <f t="shared" si="13"/>
        <v>1.0149999999999999</v>
      </c>
      <c r="F27" s="718" t="s">
        <v>3121</v>
      </c>
      <c r="G27" s="24">
        <f t="shared" si="14"/>
        <v>0.95</v>
      </c>
      <c r="H27" s="718"/>
      <c r="I27" s="24">
        <f t="shared" si="15"/>
        <v>1</v>
      </c>
      <c r="J27" s="718"/>
      <c r="K27" s="24">
        <f t="shared" si="16"/>
        <v>1</v>
      </c>
      <c r="L27" s="718"/>
      <c r="M27" s="24">
        <f t="shared" si="17"/>
        <v>1</v>
      </c>
      <c r="N27" s="718"/>
      <c r="O27" s="24">
        <f t="shared" si="18"/>
        <v>1</v>
      </c>
      <c r="P27" s="718">
        <v>4</v>
      </c>
      <c r="Q27" s="24">
        <f t="shared" si="19"/>
        <v>1</v>
      </c>
      <c r="R27" s="714">
        <f t="shared" ca="1" si="20"/>
        <v>26683</v>
      </c>
      <c r="S27" s="359">
        <f t="shared" ca="1" si="11"/>
        <v>1892</v>
      </c>
    </row>
    <row r="28" spans="1:45">
      <c r="A28" s="2975" t="s">
        <v>3117</v>
      </c>
      <c r="B28" s="59">
        <f>B24</f>
        <v>709.04</v>
      </c>
      <c r="C28" s="24">
        <f t="shared" si="12"/>
        <v>1</v>
      </c>
      <c r="D28" s="718">
        <v>5</v>
      </c>
      <c r="E28" s="24">
        <f t="shared" si="13"/>
        <v>1.02</v>
      </c>
      <c r="F28" s="718" t="s">
        <v>3121</v>
      </c>
      <c r="G28" s="24">
        <f t="shared" si="14"/>
        <v>0.95</v>
      </c>
      <c r="H28" s="718"/>
      <c r="I28" s="24">
        <f t="shared" si="15"/>
        <v>1</v>
      </c>
      <c r="J28" s="718"/>
      <c r="K28" s="24">
        <f t="shared" si="16"/>
        <v>1</v>
      </c>
      <c r="L28" s="718"/>
      <c r="M28" s="24">
        <f t="shared" si="17"/>
        <v>1</v>
      </c>
      <c r="N28" s="718"/>
      <c r="O28" s="24">
        <f t="shared" si="18"/>
        <v>1</v>
      </c>
      <c r="P28" s="718">
        <v>5</v>
      </c>
      <c r="Q28" s="24">
        <f t="shared" si="19"/>
        <v>1</v>
      </c>
      <c r="R28" s="714">
        <f t="shared" ca="1" si="20"/>
        <v>26814</v>
      </c>
      <c r="S28" s="359">
        <f t="shared" ca="1" si="11"/>
        <v>1901</v>
      </c>
    </row>
    <row r="29" spans="1:45">
      <c r="A29" s="2975" t="s">
        <v>3118</v>
      </c>
      <c r="B29" s="59">
        <f>B24</f>
        <v>709.04</v>
      </c>
      <c r="C29" s="24">
        <f t="shared" si="12"/>
        <v>1</v>
      </c>
      <c r="D29" s="718">
        <v>6</v>
      </c>
      <c r="E29" s="24">
        <f t="shared" si="13"/>
        <v>1.0249999999999999</v>
      </c>
      <c r="F29" s="718" t="s">
        <v>3121</v>
      </c>
      <c r="G29" s="24">
        <f t="shared" si="14"/>
        <v>0.95</v>
      </c>
      <c r="H29" s="718"/>
      <c r="I29" s="24">
        <f t="shared" si="15"/>
        <v>1</v>
      </c>
      <c r="J29" s="718"/>
      <c r="K29" s="24">
        <f t="shared" si="16"/>
        <v>1</v>
      </c>
      <c r="L29" s="718"/>
      <c r="M29" s="24">
        <f t="shared" si="17"/>
        <v>1</v>
      </c>
      <c r="N29" s="718"/>
      <c r="O29" s="24">
        <f t="shared" si="18"/>
        <v>1</v>
      </c>
      <c r="P29" s="718">
        <v>6</v>
      </c>
      <c r="Q29" s="24">
        <f t="shared" si="19"/>
        <v>1</v>
      </c>
      <c r="R29" s="714">
        <f t="shared" ca="1" si="20"/>
        <v>26946</v>
      </c>
      <c r="S29" s="359">
        <f t="shared" ca="1" si="11"/>
        <v>1911</v>
      </c>
    </row>
    <row r="30" spans="1:45">
      <c r="A30" s="157"/>
      <c r="B30" s="59"/>
      <c r="C30" s="24">
        <f t="shared" si="12"/>
        <v>1</v>
      </c>
      <c r="D30" s="718"/>
      <c r="E30" s="24">
        <f t="shared" si="13"/>
        <v>2.5000000000000001E-2</v>
      </c>
      <c r="F30" s="718"/>
      <c r="G30" s="24">
        <f t="shared" si="14"/>
        <v>0</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2.5000000000000001E-2</v>
      </c>
      <c r="F31" s="718"/>
      <c r="G31" s="24">
        <f t="shared" si="14"/>
        <v>0</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2.5000000000000001E-2</v>
      </c>
      <c r="F32" s="718"/>
      <c r="G32" s="24">
        <f t="shared" si="14"/>
        <v>0</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2.5000000000000001E-2</v>
      </c>
      <c r="F33" s="718"/>
      <c r="G33" s="24">
        <f t="shared" si="14"/>
        <v>0</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2.5000000000000001E-2</v>
      </c>
      <c r="F34" s="718"/>
      <c r="G34" s="24">
        <f t="shared" si="14"/>
        <v>0</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2.5000000000000001E-2</v>
      </c>
      <c r="F35" s="718"/>
      <c r="G35" s="24">
        <f t="shared" si="14"/>
        <v>0</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2.5000000000000001E-2</v>
      </c>
      <c r="F36" s="718"/>
      <c r="G36" s="24">
        <f t="shared" si="14"/>
        <v>0</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2.5000000000000001E-2</v>
      </c>
      <c r="F37" s="718"/>
      <c r="G37" s="24">
        <f t="shared" si="14"/>
        <v>0</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2.5000000000000001E-2</v>
      </c>
      <c r="F38" s="718"/>
      <c r="G38" s="24">
        <f t="shared" si="14"/>
        <v>0</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2.5000000000000001E-2</v>
      </c>
      <c r="F39" s="718"/>
      <c r="G39" s="24">
        <f t="shared" si="14"/>
        <v>0</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2.5000000000000001E-2</v>
      </c>
      <c r="F40" s="718"/>
      <c r="G40" s="24">
        <f t="shared" si="14"/>
        <v>0</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2.5000000000000001E-2</v>
      </c>
      <c r="F41" s="718"/>
      <c r="G41" s="24">
        <f t="shared" si="14"/>
        <v>0</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2.5000000000000001E-2</v>
      </c>
      <c r="F42" s="718"/>
      <c r="G42" s="24">
        <f t="shared" si="14"/>
        <v>0</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2.5000000000000001E-2</v>
      </c>
      <c r="F43" s="718"/>
      <c r="G43" s="24">
        <f t="shared" si="14"/>
        <v>0</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2.5000000000000001E-2</v>
      </c>
      <c r="F44" s="718"/>
      <c r="G44" s="24">
        <f t="shared" si="14"/>
        <v>0</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2.5000000000000001E-2</v>
      </c>
      <c r="F45" s="718"/>
      <c r="G45" s="24">
        <f t="shared" si="14"/>
        <v>0</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2.5000000000000001E-2</v>
      </c>
      <c r="F46" s="718"/>
      <c r="G46" s="24">
        <f t="shared" si="14"/>
        <v>0</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2.5000000000000001E-2</v>
      </c>
      <c r="F47" s="718"/>
      <c r="G47" s="24">
        <f t="shared" si="14"/>
        <v>0</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2.5000000000000001E-2</v>
      </c>
      <c r="F48" s="718"/>
      <c r="G48" s="24">
        <f t="shared" si="14"/>
        <v>0</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2.5000000000000001E-2</v>
      </c>
      <c r="F49" s="718"/>
      <c r="G49" s="24">
        <f t="shared" si="14"/>
        <v>0</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2.5000000000000001E-2</v>
      </c>
      <c r="F50" s="718"/>
      <c r="G50" s="24">
        <f t="shared" si="14"/>
        <v>0</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2.5000000000000001E-2</v>
      </c>
      <c r="F51" s="718"/>
      <c r="G51" s="24">
        <f t="shared" si="14"/>
        <v>0</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2.5000000000000001E-2</v>
      </c>
      <c r="F52" s="718"/>
      <c r="G52" s="24">
        <f t="shared" si="14"/>
        <v>0</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2.5000000000000001E-2</v>
      </c>
      <c r="F53" s="718"/>
      <c r="G53" s="24">
        <f t="shared" si="14"/>
        <v>0</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2.5000000000000001E-2</v>
      </c>
      <c r="F54" s="718"/>
      <c r="G54" s="24">
        <f t="shared" si="14"/>
        <v>0</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2.5000000000000001E-2</v>
      </c>
      <c r="F55" s="718"/>
      <c r="G55" s="24">
        <f t="shared" si="14"/>
        <v>0</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2.5000000000000001E-2</v>
      </c>
      <c r="F56" s="718"/>
      <c r="G56" s="24">
        <f t="shared" si="14"/>
        <v>0</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2.5000000000000001E-2</v>
      </c>
      <c r="F57" s="718"/>
      <c r="G57" s="24">
        <f t="shared" si="14"/>
        <v>0</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2.5000000000000001E-2</v>
      </c>
      <c r="F58" s="718"/>
      <c r="G58" s="24">
        <f t="shared" si="14"/>
        <v>0</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2.5000000000000001E-2</v>
      </c>
      <c r="F59" s="718"/>
      <c r="G59" s="24">
        <f t="shared" si="14"/>
        <v>0</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2.5000000000000001E-2</v>
      </c>
      <c r="F60" s="718"/>
      <c r="G60" s="24">
        <f t="shared" si="14"/>
        <v>0</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2.5000000000000001E-2</v>
      </c>
      <c r="F61" s="718"/>
      <c r="G61" s="24">
        <f t="shared" si="14"/>
        <v>0</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2.5000000000000001E-2</v>
      </c>
      <c r="F62" s="718"/>
      <c r="G62" s="24">
        <f t="shared" si="14"/>
        <v>0</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2.5000000000000001E-2</v>
      </c>
      <c r="F63" s="718"/>
      <c r="G63" s="24">
        <f t="shared" si="14"/>
        <v>0</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2.5000000000000001E-2</v>
      </c>
      <c r="F64" s="718"/>
      <c r="G64" s="24">
        <f t="shared" si="14"/>
        <v>0</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2.5000000000000001E-2</v>
      </c>
      <c r="F65" s="718"/>
      <c r="G65" s="24">
        <f t="shared" si="14"/>
        <v>0</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2.5000000000000001E-2</v>
      </c>
      <c r="F66" s="718"/>
      <c r="G66" s="24">
        <f t="shared" si="14"/>
        <v>0</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2.5000000000000001E-2</v>
      </c>
      <c r="F67" s="718"/>
      <c r="G67" s="24">
        <f t="shared" si="14"/>
        <v>0</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2.5000000000000001E-2</v>
      </c>
      <c r="F68" s="718"/>
      <c r="G68" s="24">
        <f t="shared" si="14"/>
        <v>0</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2.5000000000000001E-2</v>
      </c>
      <c r="F69" s="718"/>
      <c r="G69" s="24">
        <f t="shared" si="14"/>
        <v>0</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2.5000000000000001E-2</v>
      </c>
      <c r="F70" s="718"/>
      <c r="G70" s="24">
        <f t="shared" si="14"/>
        <v>0</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2.5000000000000001E-2</v>
      </c>
      <c r="F71" s="718"/>
      <c r="G71" s="24">
        <f t="shared" si="14"/>
        <v>0</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2.5000000000000001E-2</v>
      </c>
      <c r="F72" s="718"/>
      <c r="G72" s="24">
        <f t="shared" si="14"/>
        <v>0</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2.5000000000000001E-2</v>
      </c>
      <c r="F73" s="718"/>
      <c r="G73" s="24">
        <f t="shared" si="14"/>
        <v>0</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2.5000000000000001E-2</v>
      </c>
      <c r="F74" s="718"/>
      <c r="G74" s="24">
        <f t="shared" si="14"/>
        <v>0</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2.5000000000000001E-2</v>
      </c>
      <c r="F75" s="718"/>
      <c r="G75" s="24">
        <f t="shared" si="14"/>
        <v>0</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2.5000000000000001E-2</v>
      </c>
      <c r="F76" s="718"/>
      <c r="G76" s="24">
        <f t="shared" si="14"/>
        <v>0</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2.5000000000000001E-2</v>
      </c>
      <c r="F77" s="718"/>
      <c r="G77" s="24">
        <f t="shared" si="14"/>
        <v>0</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2.5000000000000001E-2</v>
      </c>
      <c r="F78" s="718"/>
      <c r="G78" s="24">
        <f t="shared" si="14"/>
        <v>0</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2.5000000000000001E-2</v>
      </c>
      <c r="F79" s="718"/>
      <c r="G79" s="24">
        <f t="shared" si="14"/>
        <v>0</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2.5000000000000001E-2</v>
      </c>
      <c r="F80" s="718"/>
      <c r="G80" s="24">
        <f t="shared" si="14"/>
        <v>0</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2.5000000000000001E-2</v>
      </c>
      <c r="F81" s="718"/>
      <c r="G81" s="24">
        <f t="shared" si="14"/>
        <v>0</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2.5000000000000001E-2</v>
      </c>
      <c r="F82" s="718"/>
      <c r="G82" s="24">
        <f t="shared" si="14"/>
        <v>0</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2.5000000000000001E-2</v>
      </c>
      <c r="F83" s="718"/>
      <c r="G83" s="24">
        <f t="shared" si="14"/>
        <v>0</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2.5000000000000001E-2</v>
      </c>
      <c r="F84" s="718"/>
      <c r="G84" s="24">
        <f t="shared" si="14"/>
        <v>0</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2.5000000000000001E-2</v>
      </c>
      <c r="F85" s="718"/>
      <c r="G85" s="24">
        <f t="shared" si="14"/>
        <v>0</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2.5000000000000001E-2</v>
      </c>
      <c r="F86" s="718"/>
      <c r="G86" s="24">
        <f t="shared" si="14"/>
        <v>0</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2.5000000000000001E-2</v>
      </c>
      <c r="F87" s="718"/>
      <c r="G87" s="24">
        <f t="shared" si="14"/>
        <v>0</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2.5000000000000001E-2</v>
      </c>
      <c r="F88" s="718"/>
      <c r="G88" s="24">
        <f t="shared" si="14"/>
        <v>0</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2.5000000000000001E-2</v>
      </c>
      <c r="F89" s="718"/>
      <c r="G89" s="24">
        <f t="shared" si="14"/>
        <v>0</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2.5000000000000001E-2</v>
      </c>
      <c r="F90" s="718"/>
      <c r="G90" s="24">
        <f t="shared" ref="G90:G153" si="25">(SUMIF($7:$7,F90,$8:$8)-SUMIF($7:$7,$F$24,$8:$8)+100)/100</f>
        <v>0</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2.5000000000000001E-2</v>
      </c>
      <c r="F91" s="718"/>
      <c r="G91" s="24">
        <f t="shared" si="25"/>
        <v>0</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2.5000000000000001E-2</v>
      </c>
      <c r="F92" s="718"/>
      <c r="G92" s="24">
        <f t="shared" si="25"/>
        <v>0</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2.5000000000000001E-2</v>
      </c>
      <c r="F93" s="718"/>
      <c r="G93" s="24">
        <f t="shared" si="25"/>
        <v>0</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2.5000000000000001E-2</v>
      </c>
      <c r="F94" s="718"/>
      <c r="G94" s="24">
        <f t="shared" si="25"/>
        <v>0</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2.5000000000000001E-2</v>
      </c>
      <c r="F95" s="718"/>
      <c r="G95" s="24">
        <f t="shared" si="25"/>
        <v>0</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2.5000000000000001E-2</v>
      </c>
      <c r="F96" s="718"/>
      <c r="G96" s="24">
        <f t="shared" si="25"/>
        <v>0</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2.5000000000000001E-2</v>
      </c>
      <c r="F97" s="718"/>
      <c r="G97" s="24">
        <f t="shared" si="25"/>
        <v>0</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2.5000000000000001E-2</v>
      </c>
      <c r="F98" s="718"/>
      <c r="G98" s="24">
        <f t="shared" si="25"/>
        <v>0</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2.5000000000000001E-2</v>
      </c>
      <c r="F99" s="718"/>
      <c r="G99" s="24">
        <f t="shared" si="25"/>
        <v>0</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2.5000000000000001E-2</v>
      </c>
      <c r="F100" s="718"/>
      <c r="G100" s="24">
        <f t="shared" si="25"/>
        <v>0</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2.5000000000000001E-2</v>
      </c>
      <c r="F101" s="718"/>
      <c r="G101" s="24">
        <f t="shared" si="25"/>
        <v>0</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2.5000000000000001E-2</v>
      </c>
      <c r="F102" s="718"/>
      <c r="G102" s="24">
        <f t="shared" si="25"/>
        <v>0</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2.5000000000000001E-2</v>
      </c>
      <c r="F103" s="718"/>
      <c r="G103" s="24">
        <f t="shared" si="25"/>
        <v>0</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2.5000000000000001E-2</v>
      </c>
      <c r="F104" s="718"/>
      <c r="G104" s="24">
        <f t="shared" si="25"/>
        <v>0</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2.5000000000000001E-2</v>
      </c>
      <c r="F105" s="718"/>
      <c r="G105" s="24">
        <f t="shared" si="25"/>
        <v>0</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2.5000000000000001E-2</v>
      </c>
      <c r="F106" s="718"/>
      <c r="G106" s="24">
        <f t="shared" si="25"/>
        <v>0</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2.5000000000000001E-2</v>
      </c>
      <c r="F107" s="718"/>
      <c r="G107" s="24">
        <f t="shared" si="25"/>
        <v>0</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2.5000000000000001E-2</v>
      </c>
      <c r="F108" s="718"/>
      <c r="G108" s="24">
        <f t="shared" si="25"/>
        <v>0</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2.5000000000000001E-2</v>
      </c>
      <c r="F109" s="718"/>
      <c r="G109" s="24">
        <f t="shared" si="25"/>
        <v>0</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2.5000000000000001E-2</v>
      </c>
      <c r="F110" s="718"/>
      <c r="G110" s="24">
        <f t="shared" si="25"/>
        <v>0</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2.5000000000000001E-2</v>
      </c>
      <c r="F111" s="718"/>
      <c r="G111" s="24">
        <f t="shared" si="25"/>
        <v>0</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2.5000000000000001E-2</v>
      </c>
      <c r="F112" s="718"/>
      <c r="G112" s="24">
        <f t="shared" si="25"/>
        <v>0</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2.5000000000000001E-2</v>
      </c>
      <c r="F113" s="718"/>
      <c r="G113" s="24">
        <f t="shared" si="25"/>
        <v>0</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2.5000000000000001E-2</v>
      </c>
      <c r="F114" s="718"/>
      <c r="G114" s="24">
        <f t="shared" si="25"/>
        <v>0</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2.5000000000000001E-2</v>
      </c>
      <c r="F115" s="718"/>
      <c r="G115" s="24">
        <f t="shared" si="25"/>
        <v>0</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2.5000000000000001E-2</v>
      </c>
      <c r="F116" s="718"/>
      <c r="G116" s="24">
        <f t="shared" si="25"/>
        <v>0</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2.5000000000000001E-2</v>
      </c>
      <c r="F117" s="718"/>
      <c r="G117" s="24">
        <f t="shared" si="25"/>
        <v>0</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2.5000000000000001E-2</v>
      </c>
      <c r="F118" s="718"/>
      <c r="G118" s="24">
        <f t="shared" si="25"/>
        <v>0</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2.5000000000000001E-2</v>
      </c>
      <c r="F119" s="718"/>
      <c r="G119" s="24">
        <f t="shared" si="25"/>
        <v>0</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2.5000000000000001E-2</v>
      </c>
      <c r="F120" s="718"/>
      <c r="G120" s="24">
        <f t="shared" si="25"/>
        <v>0</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2.5000000000000001E-2</v>
      </c>
      <c r="F121" s="718"/>
      <c r="G121" s="24">
        <f t="shared" si="25"/>
        <v>0</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2.5000000000000001E-2</v>
      </c>
      <c r="F122" s="718"/>
      <c r="G122" s="24">
        <f t="shared" si="25"/>
        <v>0</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2.5000000000000001E-2</v>
      </c>
      <c r="F123" s="718"/>
      <c r="G123" s="24">
        <f t="shared" si="25"/>
        <v>0</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2.5000000000000001E-2</v>
      </c>
      <c r="F124" s="718"/>
      <c r="G124" s="24">
        <f t="shared" si="25"/>
        <v>0</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2.5000000000000001E-2</v>
      </c>
      <c r="F125" s="718"/>
      <c r="G125" s="24">
        <f t="shared" si="25"/>
        <v>0</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2.5000000000000001E-2</v>
      </c>
      <c r="F126" s="718"/>
      <c r="G126" s="24">
        <f t="shared" si="25"/>
        <v>0</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2.5000000000000001E-2</v>
      </c>
      <c r="F127" s="718"/>
      <c r="G127" s="24">
        <f t="shared" si="25"/>
        <v>0</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2.5000000000000001E-2</v>
      </c>
      <c r="F128" s="718"/>
      <c r="G128" s="24">
        <f t="shared" si="25"/>
        <v>0</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2.5000000000000001E-2</v>
      </c>
      <c r="F129" s="718"/>
      <c r="G129" s="24">
        <f t="shared" si="25"/>
        <v>0</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2.5000000000000001E-2</v>
      </c>
      <c r="F130" s="718"/>
      <c r="G130" s="24">
        <f t="shared" si="25"/>
        <v>0</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2.5000000000000001E-2</v>
      </c>
      <c r="F131" s="718"/>
      <c r="G131" s="24">
        <f t="shared" si="25"/>
        <v>0</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2.5000000000000001E-2</v>
      </c>
      <c r="F132" s="718"/>
      <c r="G132" s="24">
        <f t="shared" si="25"/>
        <v>0</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2.5000000000000001E-2</v>
      </c>
      <c r="F133" s="718"/>
      <c r="G133" s="24">
        <f t="shared" si="25"/>
        <v>0</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2.5000000000000001E-2</v>
      </c>
      <c r="F134" s="718"/>
      <c r="G134" s="24">
        <f t="shared" si="25"/>
        <v>0</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2.5000000000000001E-2</v>
      </c>
      <c r="F135" s="718"/>
      <c r="G135" s="24">
        <f t="shared" si="25"/>
        <v>0</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2.5000000000000001E-2</v>
      </c>
      <c r="F136" s="718"/>
      <c r="G136" s="24">
        <f t="shared" si="25"/>
        <v>0</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2.5000000000000001E-2</v>
      </c>
      <c r="F137" s="718"/>
      <c r="G137" s="24">
        <f t="shared" si="25"/>
        <v>0</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2.5000000000000001E-2</v>
      </c>
      <c r="F138" s="718"/>
      <c r="G138" s="24">
        <f t="shared" si="25"/>
        <v>0</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2.5000000000000001E-2</v>
      </c>
      <c r="F139" s="718"/>
      <c r="G139" s="24">
        <f t="shared" si="25"/>
        <v>0</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2.5000000000000001E-2</v>
      </c>
      <c r="F140" s="718"/>
      <c r="G140" s="24">
        <f t="shared" si="25"/>
        <v>0</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2.5000000000000001E-2</v>
      </c>
      <c r="F141" s="718"/>
      <c r="G141" s="24">
        <f t="shared" si="25"/>
        <v>0</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2.5000000000000001E-2</v>
      </c>
      <c r="F142" s="718"/>
      <c r="G142" s="24">
        <f t="shared" si="25"/>
        <v>0</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2.5000000000000001E-2</v>
      </c>
      <c r="F143" s="718"/>
      <c r="G143" s="24">
        <f t="shared" si="25"/>
        <v>0</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2.5000000000000001E-2</v>
      </c>
      <c r="F144" s="718"/>
      <c r="G144" s="24">
        <f t="shared" si="25"/>
        <v>0</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2.5000000000000001E-2</v>
      </c>
      <c r="F145" s="718"/>
      <c r="G145" s="24">
        <f t="shared" si="25"/>
        <v>0</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2.5000000000000001E-2</v>
      </c>
      <c r="F146" s="718"/>
      <c r="G146" s="24">
        <f t="shared" si="25"/>
        <v>0</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2.5000000000000001E-2</v>
      </c>
      <c r="F147" s="718"/>
      <c r="G147" s="24">
        <f t="shared" si="25"/>
        <v>0</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2.5000000000000001E-2</v>
      </c>
      <c r="F148" s="718"/>
      <c r="G148" s="24">
        <f t="shared" si="25"/>
        <v>0</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2.5000000000000001E-2</v>
      </c>
      <c r="F149" s="718"/>
      <c r="G149" s="24">
        <f t="shared" si="25"/>
        <v>0</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2.5000000000000001E-2</v>
      </c>
      <c r="F150" s="718"/>
      <c r="G150" s="24">
        <f t="shared" si="25"/>
        <v>0</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2.5000000000000001E-2</v>
      </c>
      <c r="F151" s="718"/>
      <c r="G151" s="24">
        <f t="shared" si="25"/>
        <v>0</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2.5000000000000001E-2</v>
      </c>
      <c r="F152" s="718"/>
      <c r="G152" s="24">
        <f t="shared" si="25"/>
        <v>0</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2.5000000000000001E-2</v>
      </c>
      <c r="F153" s="718"/>
      <c r="G153" s="24">
        <f t="shared" si="25"/>
        <v>0</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2.5000000000000001E-2</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2.5000000000000001E-2</v>
      </c>
      <c r="F155" s="718"/>
      <c r="G155" s="24">
        <f t="shared" si="35"/>
        <v>0</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2.5000000000000001E-2</v>
      </c>
      <c r="F156" s="718"/>
      <c r="G156" s="24">
        <f t="shared" si="35"/>
        <v>0</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2.5000000000000001E-2</v>
      </c>
      <c r="F157" s="718"/>
      <c r="G157" s="24">
        <f t="shared" si="35"/>
        <v>0</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2.5000000000000001E-2</v>
      </c>
      <c r="F158" s="718"/>
      <c r="G158" s="24">
        <f t="shared" si="35"/>
        <v>0</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2.5000000000000001E-2</v>
      </c>
      <c r="F159" s="718"/>
      <c r="G159" s="24">
        <f t="shared" si="35"/>
        <v>0</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2.5000000000000001E-2</v>
      </c>
      <c r="F160" s="718"/>
      <c r="G160" s="24">
        <f t="shared" si="35"/>
        <v>0</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2.5000000000000001E-2</v>
      </c>
      <c r="F161" s="718"/>
      <c r="G161" s="24">
        <f t="shared" si="35"/>
        <v>0</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2.5000000000000001E-2</v>
      </c>
      <c r="F162" s="718"/>
      <c r="G162" s="24">
        <f t="shared" si="35"/>
        <v>0</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2.5000000000000001E-2</v>
      </c>
      <c r="F163" s="718"/>
      <c r="G163" s="24">
        <f t="shared" si="35"/>
        <v>0</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2.5000000000000001E-2</v>
      </c>
      <c r="F164" s="718"/>
      <c r="G164" s="24">
        <f t="shared" si="35"/>
        <v>0</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2.5000000000000001E-2</v>
      </c>
      <c r="F165" s="718"/>
      <c r="G165" s="24">
        <f t="shared" si="35"/>
        <v>0</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2.5000000000000001E-2</v>
      </c>
      <c r="F166" s="718"/>
      <c r="G166" s="24">
        <f t="shared" si="35"/>
        <v>0</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2.5000000000000001E-2</v>
      </c>
      <c r="F167" s="718"/>
      <c r="G167" s="24">
        <f t="shared" si="35"/>
        <v>0</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2.5000000000000001E-2</v>
      </c>
      <c r="F168" s="718"/>
      <c r="G168" s="24">
        <f t="shared" si="35"/>
        <v>0</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2.5000000000000001E-2</v>
      </c>
      <c r="F169" s="718"/>
      <c r="G169" s="24">
        <f t="shared" si="35"/>
        <v>0</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2.5000000000000001E-2</v>
      </c>
      <c r="F170" s="718"/>
      <c r="G170" s="24">
        <f t="shared" si="35"/>
        <v>0</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2.5000000000000001E-2</v>
      </c>
      <c r="F171" s="718"/>
      <c r="G171" s="24">
        <f t="shared" si="35"/>
        <v>0</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2.5000000000000001E-2</v>
      </c>
      <c r="F172" s="718"/>
      <c r="G172" s="24">
        <f t="shared" si="35"/>
        <v>0</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2.5000000000000001E-2</v>
      </c>
      <c r="F173" s="718"/>
      <c r="G173" s="24">
        <f t="shared" si="35"/>
        <v>0</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2.5000000000000001E-2</v>
      </c>
      <c r="F174" s="718"/>
      <c r="G174" s="24">
        <f t="shared" si="35"/>
        <v>0</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2.5000000000000001E-2</v>
      </c>
      <c r="F175" s="718"/>
      <c r="G175" s="24">
        <f t="shared" si="35"/>
        <v>0</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2.5000000000000001E-2</v>
      </c>
      <c r="F176" s="718"/>
      <c r="G176" s="24">
        <f t="shared" si="35"/>
        <v>0</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2.5000000000000001E-2</v>
      </c>
      <c r="F177" s="718"/>
      <c r="G177" s="24">
        <f t="shared" si="35"/>
        <v>0</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2.5000000000000001E-2</v>
      </c>
      <c r="F178" s="718"/>
      <c r="G178" s="24">
        <f t="shared" si="35"/>
        <v>0</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2.5000000000000001E-2</v>
      </c>
      <c r="F179" s="718"/>
      <c r="G179" s="24">
        <f t="shared" si="35"/>
        <v>0</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2.5000000000000001E-2</v>
      </c>
      <c r="F180" s="718"/>
      <c r="G180" s="24">
        <f t="shared" si="35"/>
        <v>0</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2.5000000000000001E-2</v>
      </c>
      <c r="F181" s="718"/>
      <c r="G181" s="24">
        <f t="shared" si="35"/>
        <v>0</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2.5000000000000001E-2</v>
      </c>
      <c r="F182" s="718"/>
      <c r="G182" s="24">
        <f t="shared" si="35"/>
        <v>0</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2.5000000000000001E-2</v>
      </c>
      <c r="F183" s="718"/>
      <c r="G183" s="24">
        <f t="shared" si="35"/>
        <v>0</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2.5000000000000001E-2</v>
      </c>
      <c r="F184" s="718"/>
      <c r="G184" s="24">
        <f t="shared" si="35"/>
        <v>0</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2.5000000000000001E-2</v>
      </c>
      <c r="F185" s="718"/>
      <c r="G185" s="24">
        <f t="shared" si="35"/>
        <v>0</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2.5000000000000001E-2</v>
      </c>
      <c r="F186" s="718"/>
      <c r="G186" s="24">
        <f t="shared" si="35"/>
        <v>0</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2.5000000000000001E-2</v>
      </c>
      <c r="F187" s="718"/>
      <c r="G187" s="24">
        <f t="shared" si="35"/>
        <v>0</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2.5000000000000001E-2</v>
      </c>
      <c r="F188" s="718"/>
      <c r="G188" s="24">
        <f t="shared" si="35"/>
        <v>0</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2.5000000000000001E-2</v>
      </c>
      <c r="F189" s="718"/>
      <c r="G189" s="24">
        <f t="shared" si="35"/>
        <v>0</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2.5000000000000001E-2</v>
      </c>
      <c r="F190" s="718"/>
      <c r="G190" s="24">
        <f t="shared" si="35"/>
        <v>0</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2.5000000000000001E-2</v>
      </c>
      <c r="F191" s="718"/>
      <c r="G191" s="24">
        <f t="shared" si="35"/>
        <v>0</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2.5000000000000001E-2</v>
      </c>
      <c r="F192" s="718"/>
      <c r="G192" s="24">
        <f t="shared" si="35"/>
        <v>0</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2.5000000000000001E-2</v>
      </c>
      <c r="F193" s="718"/>
      <c r="G193" s="24">
        <f t="shared" si="35"/>
        <v>0</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2.5000000000000001E-2</v>
      </c>
      <c r="F194" s="718"/>
      <c r="G194" s="24">
        <f t="shared" si="35"/>
        <v>0</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2.5000000000000001E-2</v>
      </c>
      <c r="F195" s="718"/>
      <c r="G195" s="24">
        <f t="shared" si="35"/>
        <v>0</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2.5000000000000001E-2</v>
      </c>
      <c r="F196" s="718"/>
      <c r="G196" s="24">
        <f t="shared" si="35"/>
        <v>0</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2.5000000000000001E-2</v>
      </c>
      <c r="F197" s="718"/>
      <c r="G197" s="24">
        <f t="shared" si="35"/>
        <v>0</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2.5000000000000001E-2</v>
      </c>
      <c r="F198" s="718"/>
      <c r="G198" s="24">
        <f t="shared" si="35"/>
        <v>0</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2.5000000000000001E-2</v>
      </c>
      <c r="F199" s="718"/>
      <c r="G199" s="24">
        <f t="shared" si="35"/>
        <v>0</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2.5000000000000001E-2</v>
      </c>
      <c r="F200" s="718"/>
      <c r="G200" s="24">
        <f t="shared" si="35"/>
        <v>0</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2.5000000000000001E-2</v>
      </c>
      <c r="F201" s="718"/>
      <c r="G201" s="24">
        <f t="shared" si="35"/>
        <v>0</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2.5000000000000001E-2</v>
      </c>
      <c r="F202" s="718"/>
      <c r="G202" s="24">
        <f t="shared" si="35"/>
        <v>0</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2.5000000000000001E-2</v>
      </c>
      <c r="F203" s="718"/>
      <c r="G203" s="24">
        <f t="shared" si="35"/>
        <v>0</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2.5000000000000001E-2</v>
      </c>
      <c r="F204" s="718"/>
      <c r="G204" s="24">
        <f t="shared" si="35"/>
        <v>0</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2.5000000000000001E-2</v>
      </c>
      <c r="F205" s="718"/>
      <c r="G205" s="24">
        <f t="shared" si="35"/>
        <v>0</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2.5000000000000001E-2</v>
      </c>
      <c r="F206" s="718"/>
      <c r="G206" s="24">
        <f t="shared" si="35"/>
        <v>0</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2.5000000000000001E-2</v>
      </c>
      <c r="F207" s="718"/>
      <c r="G207" s="24">
        <f t="shared" si="35"/>
        <v>0</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2.5000000000000001E-2</v>
      </c>
      <c r="F208" s="718"/>
      <c r="G208" s="24">
        <f t="shared" si="35"/>
        <v>0</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2.5000000000000001E-2</v>
      </c>
      <c r="F209" s="718"/>
      <c r="G209" s="24">
        <f t="shared" si="35"/>
        <v>0</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2.5000000000000001E-2</v>
      </c>
      <c r="F210" s="718"/>
      <c r="G210" s="24">
        <f t="shared" si="35"/>
        <v>0</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2.5000000000000001E-2</v>
      </c>
      <c r="F211" s="718"/>
      <c r="G211" s="24">
        <f t="shared" si="35"/>
        <v>0</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2.5000000000000001E-2</v>
      </c>
      <c r="F212" s="718"/>
      <c r="G212" s="24">
        <f t="shared" si="35"/>
        <v>0</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2.5000000000000001E-2</v>
      </c>
      <c r="F213" s="718"/>
      <c r="G213" s="24">
        <f t="shared" si="35"/>
        <v>0</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2.5000000000000001E-2</v>
      </c>
      <c r="F214" s="718"/>
      <c r="G214" s="24">
        <f t="shared" si="35"/>
        <v>0</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2.5000000000000001E-2</v>
      </c>
      <c r="F215" s="718"/>
      <c r="G215" s="24">
        <f t="shared" si="35"/>
        <v>0</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2.5000000000000001E-2</v>
      </c>
      <c r="F216" s="718"/>
      <c r="G216" s="24">
        <f t="shared" si="35"/>
        <v>0</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2.5000000000000001E-2</v>
      </c>
      <c r="F217" s="718"/>
      <c r="G217" s="24">
        <f t="shared" si="35"/>
        <v>0</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2.5000000000000001E-2</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2.5000000000000001E-2</v>
      </c>
      <c r="F219" s="718"/>
      <c r="G219" s="24">
        <f t="shared" si="45"/>
        <v>0</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2.5000000000000001E-2</v>
      </c>
      <c r="F220" s="718"/>
      <c r="G220" s="24">
        <f t="shared" si="45"/>
        <v>0</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2.5000000000000001E-2</v>
      </c>
      <c r="F221" s="718"/>
      <c r="G221" s="24">
        <f t="shared" si="45"/>
        <v>0</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2.5000000000000001E-2</v>
      </c>
      <c r="F222" s="718"/>
      <c r="G222" s="24">
        <f t="shared" si="45"/>
        <v>0</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2.5000000000000001E-2</v>
      </c>
      <c r="F223" s="718"/>
      <c r="G223" s="24">
        <f t="shared" si="45"/>
        <v>0</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2.5000000000000001E-2</v>
      </c>
      <c r="F224" s="718"/>
      <c r="G224" s="24">
        <f t="shared" si="45"/>
        <v>0</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2.5000000000000001E-2</v>
      </c>
      <c r="F225" s="718"/>
      <c r="G225" s="24">
        <f t="shared" si="45"/>
        <v>0</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2.5000000000000001E-2</v>
      </c>
      <c r="F226" s="718"/>
      <c r="G226" s="24">
        <f t="shared" si="45"/>
        <v>0</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2.5000000000000001E-2</v>
      </c>
      <c r="F227" s="718"/>
      <c r="G227" s="24">
        <f t="shared" si="45"/>
        <v>0</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2.5000000000000001E-2</v>
      </c>
      <c r="F228" s="718"/>
      <c r="G228" s="24">
        <f t="shared" si="45"/>
        <v>0</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2.5000000000000001E-2</v>
      </c>
      <c r="F229" s="718"/>
      <c r="G229" s="24">
        <f t="shared" si="45"/>
        <v>0</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2.5000000000000001E-2</v>
      </c>
      <c r="F230" s="718"/>
      <c r="G230" s="24">
        <f t="shared" si="45"/>
        <v>0</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2.5000000000000001E-2</v>
      </c>
      <c r="F231" s="718"/>
      <c r="G231" s="24">
        <f t="shared" si="45"/>
        <v>0</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2.5000000000000001E-2</v>
      </c>
      <c r="F232" s="718"/>
      <c r="G232" s="24">
        <f t="shared" si="45"/>
        <v>0</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2.5000000000000001E-2</v>
      </c>
      <c r="F233" s="718"/>
      <c r="G233" s="24">
        <f t="shared" si="45"/>
        <v>0</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2.5000000000000001E-2</v>
      </c>
      <c r="F234" s="718"/>
      <c r="G234" s="24">
        <f t="shared" si="45"/>
        <v>0</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2.5000000000000001E-2</v>
      </c>
      <c r="F235" s="718"/>
      <c r="G235" s="24">
        <f t="shared" si="45"/>
        <v>0</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2.5000000000000001E-2</v>
      </c>
      <c r="F236" s="718"/>
      <c r="G236" s="24">
        <f t="shared" si="45"/>
        <v>0</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2.5000000000000001E-2</v>
      </c>
      <c r="F237" s="718"/>
      <c r="G237" s="24">
        <f t="shared" si="45"/>
        <v>0</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2.5000000000000001E-2</v>
      </c>
      <c r="F238" s="718"/>
      <c r="G238" s="24">
        <f t="shared" si="45"/>
        <v>0</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2.5000000000000001E-2</v>
      </c>
      <c r="F239" s="718"/>
      <c r="G239" s="24">
        <f t="shared" si="45"/>
        <v>0</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2.5000000000000001E-2</v>
      </c>
      <c r="F240" s="718"/>
      <c r="G240" s="24">
        <f t="shared" si="45"/>
        <v>0</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2.5000000000000001E-2</v>
      </c>
      <c r="F241" s="718"/>
      <c r="G241" s="24">
        <f t="shared" si="45"/>
        <v>0</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2.5000000000000001E-2</v>
      </c>
      <c r="F242" s="718"/>
      <c r="G242" s="24">
        <f t="shared" si="45"/>
        <v>0</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2.5000000000000001E-2</v>
      </c>
      <c r="F243" s="718"/>
      <c r="G243" s="24">
        <f t="shared" si="45"/>
        <v>0</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2.5000000000000001E-2</v>
      </c>
      <c r="F244" s="718"/>
      <c r="G244" s="24">
        <f t="shared" si="45"/>
        <v>0</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2.5000000000000001E-2</v>
      </c>
      <c r="F245" s="718"/>
      <c r="G245" s="24">
        <f t="shared" si="45"/>
        <v>0</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2.5000000000000001E-2</v>
      </c>
      <c r="F246" s="718"/>
      <c r="G246" s="24">
        <f t="shared" si="45"/>
        <v>0</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2.5000000000000001E-2</v>
      </c>
      <c r="F247" s="718"/>
      <c r="G247" s="24">
        <f t="shared" si="45"/>
        <v>0</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2.5000000000000001E-2</v>
      </c>
      <c r="F248" s="718"/>
      <c r="G248" s="24">
        <f t="shared" si="45"/>
        <v>0</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2.5000000000000001E-2</v>
      </c>
      <c r="F249" s="718"/>
      <c r="G249" s="24">
        <f t="shared" si="45"/>
        <v>0</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2.5000000000000001E-2</v>
      </c>
      <c r="F250" s="718"/>
      <c r="G250" s="24">
        <f t="shared" si="45"/>
        <v>0</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2.5000000000000001E-2</v>
      </c>
      <c r="F251" s="718"/>
      <c r="G251" s="24">
        <f t="shared" si="45"/>
        <v>0</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2.5000000000000001E-2</v>
      </c>
      <c r="F252" s="718"/>
      <c r="G252" s="24">
        <f t="shared" si="45"/>
        <v>0</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2.5000000000000001E-2</v>
      </c>
      <c r="F253" s="718"/>
      <c r="G253" s="24">
        <f t="shared" si="45"/>
        <v>0</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2.5000000000000001E-2</v>
      </c>
      <c r="F254" s="718"/>
      <c r="G254" s="24">
        <f t="shared" si="45"/>
        <v>0</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2.5000000000000001E-2</v>
      </c>
      <c r="F255" s="718"/>
      <c r="G255" s="24">
        <f t="shared" si="45"/>
        <v>0</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2.5000000000000001E-2</v>
      </c>
      <c r="F256" s="718"/>
      <c r="G256" s="24">
        <f t="shared" si="45"/>
        <v>0</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2.5000000000000001E-2</v>
      </c>
      <c r="F257" s="718"/>
      <c r="G257" s="24">
        <f t="shared" si="45"/>
        <v>0</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2.5000000000000001E-2</v>
      </c>
      <c r="F258" s="718"/>
      <c r="G258" s="24">
        <f t="shared" si="45"/>
        <v>0</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2.5000000000000001E-2</v>
      </c>
      <c r="F259" s="718"/>
      <c r="G259" s="24">
        <f t="shared" si="45"/>
        <v>0</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2.5000000000000001E-2</v>
      </c>
      <c r="F260" s="718"/>
      <c r="G260" s="24">
        <f t="shared" si="45"/>
        <v>0</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2.5000000000000001E-2</v>
      </c>
      <c r="F261" s="718"/>
      <c r="G261" s="24">
        <f t="shared" si="45"/>
        <v>0</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2.5000000000000001E-2</v>
      </c>
      <c r="F262" s="718"/>
      <c r="G262" s="24">
        <f t="shared" si="45"/>
        <v>0</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2.5000000000000001E-2</v>
      </c>
      <c r="F263" s="718"/>
      <c r="G263" s="24">
        <f t="shared" si="45"/>
        <v>0</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2.5000000000000001E-2</v>
      </c>
      <c r="F264" s="718"/>
      <c r="G264" s="24">
        <f t="shared" si="45"/>
        <v>0</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2.5000000000000001E-2</v>
      </c>
      <c r="F265" s="718"/>
      <c r="G265" s="24">
        <f t="shared" si="45"/>
        <v>0</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2.5000000000000001E-2</v>
      </c>
      <c r="F266" s="718"/>
      <c r="G266" s="24">
        <f t="shared" si="45"/>
        <v>0</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2.5000000000000001E-2</v>
      </c>
      <c r="F267" s="718"/>
      <c r="G267" s="24">
        <f t="shared" si="45"/>
        <v>0</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2.5000000000000001E-2</v>
      </c>
      <c r="F268" s="718"/>
      <c r="G268" s="24">
        <f t="shared" si="45"/>
        <v>0</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2.5000000000000001E-2</v>
      </c>
      <c r="F269" s="718"/>
      <c r="G269" s="24">
        <f t="shared" si="45"/>
        <v>0</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2.5000000000000001E-2</v>
      </c>
      <c r="F270" s="718"/>
      <c r="G270" s="24">
        <f t="shared" si="45"/>
        <v>0</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2.5000000000000001E-2</v>
      </c>
      <c r="F271" s="718"/>
      <c r="G271" s="24">
        <f t="shared" si="45"/>
        <v>0</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2.5000000000000001E-2</v>
      </c>
      <c r="F272" s="718"/>
      <c r="G272" s="24">
        <f t="shared" si="45"/>
        <v>0</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2.5000000000000001E-2</v>
      </c>
      <c r="F273" s="718"/>
      <c r="G273" s="24">
        <f t="shared" si="45"/>
        <v>0</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2.5000000000000001E-2</v>
      </c>
      <c r="F274" s="718"/>
      <c r="G274" s="24">
        <f t="shared" si="45"/>
        <v>0</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2.5000000000000001E-2</v>
      </c>
      <c r="F275" s="718"/>
      <c r="G275" s="24">
        <f t="shared" si="45"/>
        <v>0</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2.5000000000000001E-2</v>
      </c>
      <c r="F276" s="718"/>
      <c r="G276" s="24">
        <f t="shared" si="45"/>
        <v>0</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2.5000000000000001E-2</v>
      </c>
      <c r="F277" s="718"/>
      <c r="G277" s="24">
        <f t="shared" si="45"/>
        <v>0</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2.5000000000000001E-2</v>
      </c>
      <c r="F278" s="718"/>
      <c r="G278" s="24">
        <f t="shared" si="45"/>
        <v>0</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2.5000000000000001E-2</v>
      </c>
      <c r="F279" s="718"/>
      <c r="G279" s="24">
        <f t="shared" si="45"/>
        <v>0</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2.5000000000000001E-2</v>
      </c>
      <c r="F280" s="718"/>
      <c r="G280" s="24">
        <f t="shared" si="45"/>
        <v>0</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2.5000000000000001E-2</v>
      </c>
      <c r="F281" s="718"/>
      <c r="G281" s="24">
        <f t="shared" si="45"/>
        <v>0</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2.5000000000000001E-2</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2.5000000000000001E-2</v>
      </c>
      <c r="F283" s="718"/>
      <c r="G283" s="24">
        <f t="shared" si="55"/>
        <v>0</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2.5000000000000001E-2</v>
      </c>
      <c r="F284" s="718"/>
      <c r="G284" s="24">
        <f t="shared" si="55"/>
        <v>0</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2.5000000000000001E-2</v>
      </c>
      <c r="F285" s="718"/>
      <c r="G285" s="24">
        <f t="shared" si="55"/>
        <v>0</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2.5000000000000001E-2</v>
      </c>
      <c r="F286" s="718"/>
      <c r="G286" s="24">
        <f t="shared" si="55"/>
        <v>0</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2.5000000000000001E-2</v>
      </c>
      <c r="F287" s="718"/>
      <c r="G287" s="24">
        <f t="shared" si="55"/>
        <v>0</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2.5000000000000001E-2</v>
      </c>
      <c r="F288" s="718"/>
      <c r="G288" s="24">
        <f t="shared" si="55"/>
        <v>0</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2.5000000000000001E-2</v>
      </c>
      <c r="F289" s="718"/>
      <c r="G289" s="24">
        <f t="shared" si="55"/>
        <v>0</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2.5000000000000001E-2</v>
      </c>
      <c r="F290" s="718"/>
      <c r="G290" s="24">
        <f t="shared" si="55"/>
        <v>0</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2.5000000000000001E-2</v>
      </c>
      <c r="F291" s="718"/>
      <c r="G291" s="24">
        <f t="shared" si="55"/>
        <v>0</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2.5000000000000001E-2</v>
      </c>
      <c r="F292" s="718"/>
      <c r="G292" s="24">
        <f t="shared" si="55"/>
        <v>0</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2.5000000000000001E-2</v>
      </c>
      <c r="F293" s="718"/>
      <c r="G293" s="24">
        <f t="shared" si="55"/>
        <v>0</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2.5000000000000001E-2</v>
      </c>
      <c r="F294" s="718"/>
      <c r="G294" s="24">
        <f t="shared" si="55"/>
        <v>0</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2.5000000000000001E-2</v>
      </c>
      <c r="F295" s="718"/>
      <c r="G295" s="24">
        <f t="shared" si="55"/>
        <v>0</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2.5000000000000001E-2</v>
      </c>
      <c r="F296" s="718"/>
      <c r="G296" s="24">
        <f t="shared" si="55"/>
        <v>0</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2.5000000000000001E-2</v>
      </c>
      <c r="F297" s="718"/>
      <c r="G297" s="24">
        <f t="shared" si="55"/>
        <v>0</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2.5000000000000001E-2</v>
      </c>
      <c r="F298" s="718"/>
      <c r="G298" s="24">
        <f t="shared" si="55"/>
        <v>0</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2.5000000000000001E-2</v>
      </c>
      <c r="F299" s="718"/>
      <c r="G299" s="24">
        <f t="shared" si="55"/>
        <v>0</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2.5000000000000001E-2</v>
      </c>
      <c r="F300" s="718"/>
      <c r="G300" s="24">
        <f t="shared" si="55"/>
        <v>0</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2.5000000000000001E-2</v>
      </c>
      <c r="F301" s="718"/>
      <c r="G301" s="24">
        <f t="shared" si="55"/>
        <v>0</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2.5000000000000001E-2</v>
      </c>
      <c r="F302" s="718"/>
      <c r="G302" s="24">
        <f t="shared" si="55"/>
        <v>0</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2.5000000000000001E-2</v>
      </c>
      <c r="F303" s="718"/>
      <c r="G303" s="24">
        <f t="shared" si="55"/>
        <v>0</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2.5000000000000001E-2</v>
      </c>
      <c r="F304" s="718"/>
      <c r="G304" s="24">
        <f t="shared" si="55"/>
        <v>0</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2.5000000000000001E-2</v>
      </c>
      <c r="F305" s="718"/>
      <c r="G305" s="24">
        <f t="shared" si="55"/>
        <v>0</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2.5000000000000001E-2</v>
      </c>
      <c r="F306" s="718"/>
      <c r="G306" s="24">
        <f t="shared" si="55"/>
        <v>0</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2.5000000000000001E-2</v>
      </c>
      <c r="F307" s="718"/>
      <c r="G307" s="24">
        <f t="shared" si="55"/>
        <v>0</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2.5000000000000001E-2</v>
      </c>
      <c r="F308" s="718"/>
      <c r="G308" s="24">
        <f t="shared" si="55"/>
        <v>0</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2.5000000000000001E-2</v>
      </c>
      <c r="F309" s="718"/>
      <c r="G309" s="24">
        <f t="shared" si="55"/>
        <v>0</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2.5000000000000001E-2</v>
      </c>
      <c r="F310" s="718"/>
      <c r="G310" s="24">
        <f t="shared" si="55"/>
        <v>0</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2.5000000000000001E-2</v>
      </c>
      <c r="F311" s="718"/>
      <c r="G311" s="24">
        <f t="shared" si="55"/>
        <v>0</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2.5000000000000001E-2</v>
      </c>
      <c r="F312" s="718"/>
      <c r="G312" s="24">
        <f t="shared" si="55"/>
        <v>0</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2.5000000000000001E-2</v>
      </c>
      <c r="F313" s="718"/>
      <c r="G313" s="24">
        <f t="shared" si="55"/>
        <v>0</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2.5000000000000001E-2</v>
      </c>
      <c r="F314" s="718"/>
      <c r="G314" s="24">
        <f t="shared" si="55"/>
        <v>0</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2.5000000000000001E-2</v>
      </c>
      <c r="F315" s="718"/>
      <c r="G315" s="24">
        <f t="shared" si="55"/>
        <v>0</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2.5000000000000001E-2</v>
      </c>
      <c r="F316" s="718"/>
      <c r="G316" s="24">
        <f t="shared" si="55"/>
        <v>0</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2.5000000000000001E-2</v>
      </c>
      <c r="F317" s="718"/>
      <c r="G317" s="24">
        <f t="shared" si="55"/>
        <v>0</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2.5000000000000001E-2</v>
      </c>
      <c r="F318" s="718"/>
      <c r="G318" s="24">
        <f t="shared" si="55"/>
        <v>0</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2.5000000000000001E-2</v>
      </c>
      <c r="F319" s="718"/>
      <c r="G319" s="24">
        <f t="shared" si="55"/>
        <v>0</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2.5000000000000001E-2</v>
      </c>
      <c r="F320" s="718"/>
      <c r="G320" s="24">
        <f t="shared" si="55"/>
        <v>0</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2.5000000000000001E-2</v>
      </c>
      <c r="F321" s="718"/>
      <c r="G321" s="24">
        <f t="shared" si="55"/>
        <v>0</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2.5000000000000001E-2</v>
      </c>
      <c r="F322" s="718"/>
      <c r="G322" s="24">
        <f t="shared" si="55"/>
        <v>0</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2.5000000000000001E-2</v>
      </c>
      <c r="F323" s="718"/>
      <c r="G323" s="24">
        <f t="shared" si="55"/>
        <v>0</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2.5000000000000001E-2</v>
      </c>
      <c r="F324" s="718"/>
      <c r="G324" s="24">
        <f t="shared" si="55"/>
        <v>0</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2.5000000000000001E-2</v>
      </c>
      <c r="F325" s="718"/>
      <c r="G325" s="24">
        <f t="shared" si="55"/>
        <v>0</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2.5000000000000001E-2</v>
      </c>
      <c r="F326" s="718"/>
      <c r="G326" s="24">
        <f t="shared" si="55"/>
        <v>0</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2.5000000000000001E-2</v>
      </c>
      <c r="F327" s="718"/>
      <c r="G327" s="24">
        <f t="shared" si="55"/>
        <v>0</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2.5000000000000001E-2</v>
      </c>
      <c r="F328" s="718"/>
      <c r="G328" s="24">
        <f t="shared" si="55"/>
        <v>0</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2.5000000000000001E-2</v>
      </c>
      <c r="F329" s="718"/>
      <c r="G329" s="24">
        <f t="shared" si="55"/>
        <v>0</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2.5000000000000001E-2</v>
      </c>
      <c r="F330" s="718"/>
      <c r="G330" s="24">
        <f t="shared" si="55"/>
        <v>0</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2.5000000000000001E-2</v>
      </c>
      <c r="F331" s="718"/>
      <c r="G331" s="24">
        <f t="shared" si="55"/>
        <v>0</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2.5000000000000001E-2</v>
      </c>
      <c r="F332" s="718"/>
      <c r="G332" s="24">
        <f t="shared" si="55"/>
        <v>0</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2.5000000000000001E-2</v>
      </c>
      <c r="F333" s="718"/>
      <c r="G333" s="24">
        <f t="shared" si="55"/>
        <v>0</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2.5000000000000001E-2</v>
      </c>
      <c r="F334" s="718"/>
      <c r="G334" s="24">
        <f t="shared" si="55"/>
        <v>0</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2.5000000000000001E-2</v>
      </c>
      <c r="F335" s="718"/>
      <c r="G335" s="24">
        <f t="shared" si="55"/>
        <v>0</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2.5000000000000001E-2</v>
      </c>
      <c r="F336" s="718"/>
      <c r="G336" s="24">
        <f t="shared" si="55"/>
        <v>0</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2.5000000000000001E-2</v>
      </c>
      <c r="F337" s="718"/>
      <c r="G337" s="24">
        <f t="shared" si="55"/>
        <v>0</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2.5000000000000001E-2</v>
      </c>
      <c r="F338" s="718"/>
      <c r="G338" s="24">
        <f t="shared" si="55"/>
        <v>0</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2.5000000000000001E-2</v>
      </c>
      <c r="F339" s="718"/>
      <c r="G339" s="24">
        <f t="shared" si="55"/>
        <v>0</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2.5000000000000001E-2</v>
      </c>
      <c r="F340" s="718"/>
      <c r="G340" s="24">
        <f t="shared" si="55"/>
        <v>0</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2.5000000000000001E-2</v>
      </c>
      <c r="F341" s="718"/>
      <c r="G341" s="24">
        <f t="shared" si="55"/>
        <v>0</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2.5000000000000001E-2</v>
      </c>
      <c r="F342" s="718"/>
      <c r="G342" s="24">
        <f t="shared" si="55"/>
        <v>0</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2.5000000000000001E-2</v>
      </c>
      <c r="F343" s="718"/>
      <c r="G343" s="24">
        <f t="shared" si="55"/>
        <v>0</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2.5000000000000001E-2</v>
      </c>
      <c r="F344" s="718"/>
      <c r="G344" s="24">
        <f t="shared" si="55"/>
        <v>0</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2.5000000000000001E-2</v>
      </c>
      <c r="F345" s="718"/>
      <c r="G345" s="24">
        <f t="shared" si="55"/>
        <v>0</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2.5000000000000001E-2</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2.5000000000000001E-2</v>
      </c>
      <c r="F347" s="718"/>
      <c r="G347" s="24">
        <f t="shared" si="66"/>
        <v>0</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2.5000000000000001E-2</v>
      </c>
      <c r="F348" s="718"/>
      <c r="G348" s="24">
        <f t="shared" si="66"/>
        <v>0</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2.5000000000000001E-2</v>
      </c>
      <c r="F349" s="718"/>
      <c r="G349" s="24">
        <f t="shared" si="66"/>
        <v>0</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2.5000000000000001E-2</v>
      </c>
      <c r="F350" s="718"/>
      <c r="G350" s="24">
        <f t="shared" si="66"/>
        <v>0</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2.5000000000000001E-2</v>
      </c>
      <c r="F351" s="718"/>
      <c r="G351" s="24">
        <f t="shared" si="66"/>
        <v>0</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2.5000000000000001E-2</v>
      </c>
      <c r="F352" s="718"/>
      <c r="G352" s="24">
        <f t="shared" si="66"/>
        <v>0</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2.5000000000000001E-2</v>
      </c>
      <c r="F353" s="718"/>
      <c r="G353" s="24">
        <f t="shared" si="66"/>
        <v>0</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2.5000000000000001E-2</v>
      </c>
      <c r="F354" s="718"/>
      <c r="G354" s="24">
        <f t="shared" si="66"/>
        <v>0</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2.5000000000000001E-2</v>
      </c>
      <c r="F355" s="718"/>
      <c r="G355" s="24">
        <f t="shared" si="66"/>
        <v>0</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2.5000000000000001E-2</v>
      </c>
      <c r="F356" s="718"/>
      <c r="G356" s="24">
        <f t="shared" si="66"/>
        <v>0</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2.5000000000000001E-2</v>
      </c>
      <c r="F357" s="718"/>
      <c r="G357" s="24">
        <f t="shared" si="66"/>
        <v>0</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2.5000000000000001E-2</v>
      </c>
      <c r="F358" s="718"/>
      <c r="G358" s="24">
        <f t="shared" si="66"/>
        <v>0</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2.5000000000000001E-2</v>
      </c>
      <c r="F359" s="718"/>
      <c r="G359" s="24">
        <f t="shared" si="66"/>
        <v>0</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2.5000000000000001E-2</v>
      </c>
      <c r="F360" s="718"/>
      <c r="G360" s="24">
        <f t="shared" si="66"/>
        <v>0</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2.5000000000000001E-2</v>
      </c>
      <c r="F361" s="718"/>
      <c r="G361" s="24">
        <f t="shared" si="66"/>
        <v>0</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2.5000000000000001E-2</v>
      </c>
      <c r="F362" s="718"/>
      <c r="G362" s="24">
        <f t="shared" si="66"/>
        <v>0</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2.5000000000000001E-2</v>
      </c>
      <c r="F363" s="718"/>
      <c r="G363" s="24">
        <f t="shared" si="66"/>
        <v>0</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2.5000000000000001E-2</v>
      </c>
      <c r="F364" s="718"/>
      <c r="G364" s="24">
        <f t="shared" si="66"/>
        <v>0</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2.5000000000000001E-2</v>
      </c>
      <c r="F365" s="718"/>
      <c r="G365" s="24">
        <f t="shared" si="66"/>
        <v>0</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2.5000000000000001E-2</v>
      </c>
      <c r="F366" s="718"/>
      <c r="G366" s="24">
        <f t="shared" si="66"/>
        <v>0</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2.5000000000000001E-2</v>
      </c>
      <c r="F367" s="718"/>
      <c r="G367" s="24">
        <f t="shared" si="66"/>
        <v>0</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2.5000000000000001E-2</v>
      </c>
      <c r="F368" s="718"/>
      <c r="G368" s="24">
        <f t="shared" si="66"/>
        <v>0</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2.5000000000000001E-2</v>
      </c>
      <c r="F369" s="718"/>
      <c r="G369" s="24">
        <f t="shared" si="66"/>
        <v>0</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2.5000000000000001E-2</v>
      </c>
      <c r="F370" s="718"/>
      <c r="G370" s="24">
        <f t="shared" si="66"/>
        <v>0</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2.5000000000000001E-2</v>
      </c>
      <c r="F371" s="718"/>
      <c r="G371" s="24">
        <f t="shared" si="66"/>
        <v>0</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2.5000000000000001E-2</v>
      </c>
      <c r="F372" s="718"/>
      <c r="G372" s="24">
        <f t="shared" si="66"/>
        <v>0</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2.5000000000000001E-2</v>
      </c>
      <c r="F373" s="718"/>
      <c r="G373" s="24">
        <f t="shared" si="66"/>
        <v>0</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2.5000000000000001E-2</v>
      </c>
      <c r="F374" s="718"/>
      <c r="G374" s="24">
        <f t="shared" si="66"/>
        <v>0</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2.5000000000000001E-2</v>
      </c>
      <c r="F375" s="718"/>
      <c r="G375" s="24">
        <f t="shared" si="66"/>
        <v>0</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2.5000000000000001E-2</v>
      </c>
      <c r="F376" s="718"/>
      <c r="G376" s="24">
        <f t="shared" si="66"/>
        <v>0</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2.5000000000000001E-2</v>
      </c>
      <c r="F377" s="718"/>
      <c r="G377" s="24">
        <f t="shared" si="66"/>
        <v>0</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2.5000000000000001E-2</v>
      </c>
      <c r="F378" s="718"/>
      <c r="G378" s="24">
        <f t="shared" si="66"/>
        <v>0</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2.5000000000000001E-2</v>
      </c>
      <c r="F379" s="718"/>
      <c r="G379" s="24">
        <f t="shared" si="66"/>
        <v>0</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2.5000000000000001E-2</v>
      </c>
      <c r="F380" s="718"/>
      <c r="G380" s="24">
        <f t="shared" si="66"/>
        <v>0</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2.5000000000000001E-2</v>
      </c>
      <c r="F381" s="718"/>
      <c r="G381" s="24">
        <f t="shared" si="66"/>
        <v>0</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2.5000000000000001E-2</v>
      </c>
      <c r="F382" s="718"/>
      <c r="G382" s="24">
        <f t="shared" si="66"/>
        <v>0</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2.5000000000000001E-2</v>
      </c>
      <c r="F383" s="718"/>
      <c r="G383" s="24">
        <f t="shared" si="66"/>
        <v>0</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2.5000000000000001E-2</v>
      </c>
      <c r="F384" s="718"/>
      <c r="G384" s="24">
        <f t="shared" si="66"/>
        <v>0</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2.5000000000000001E-2</v>
      </c>
      <c r="F385" s="718"/>
      <c r="G385" s="24">
        <f t="shared" si="66"/>
        <v>0</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2.5000000000000001E-2</v>
      </c>
      <c r="F386" s="718"/>
      <c r="G386" s="24">
        <f t="shared" si="66"/>
        <v>0</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2.5000000000000001E-2</v>
      </c>
      <c r="F387" s="718"/>
      <c r="G387" s="24">
        <f t="shared" si="66"/>
        <v>0</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2.5000000000000001E-2</v>
      </c>
      <c r="F388" s="718"/>
      <c r="G388" s="24">
        <f t="shared" si="66"/>
        <v>0</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2.5000000000000001E-2</v>
      </c>
      <c r="F389" s="718"/>
      <c r="G389" s="24">
        <f t="shared" si="66"/>
        <v>0</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2.5000000000000001E-2</v>
      </c>
      <c r="F390" s="718"/>
      <c r="G390" s="24">
        <f t="shared" si="66"/>
        <v>0</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2.5000000000000001E-2</v>
      </c>
      <c r="F391" s="718"/>
      <c r="G391" s="24">
        <f t="shared" si="66"/>
        <v>0</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2.5000000000000001E-2</v>
      </c>
      <c r="F392" s="718"/>
      <c r="G392" s="24">
        <f t="shared" si="66"/>
        <v>0</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2.5000000000000001E-2</v>
      </c>
      <c r="F393" s="718"/>
      <c r="G393" s="24">
        <f t="shared" si="66"/>
        <v>0</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2.5000000000000001E-2</v>
      </c>
      <c r="F394" s="718"/>
      <c r="G394" s="24">
        <f t="shared" si="66"/>
        <v>0</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2.5000000000000001E-2</v>
      </c>
      <c r="F395" s="718"/>
      <c r="G395" s="24">
        <f t="shared" si="66"/>
        <v>0</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2.5000000000000001E-2</v>
      </c>
      <c r="F396" s="718"/>
      <c r="G396" s="24">
        <f t="shared" si="66"/>
        <v>0</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2.5000000000000001E-2</v>
      </c>
      <c r="F397" s="718"/>
      <c r="G397" s="24">
        <f t="shared" si="66"/>
        <v>0</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2.5000000000000001E-2</v>
      </c>
      <c r="F398" s="718"/>
      <c r="G398" s="24">
        <f t="shared" si="66"/>
        <v>0</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2.5000000000000001E-2</v>
      </c>
      <c r="F399" s="718"/>
      <c r="G399" s="24">
        <f t="shared" si="66"/>
        <v>0</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2.5000000000000001E-2</v>
      </c>
      <c r="F400" s="718"/>
      <c r="G400" s="24">
        <f t="shared" si="66"/>
        <v>0</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2.5000000000000001E-2</v>
      </c>
      <c r="F401" s="718"/>
      <c r="G401" s="24">
        <f t="shared" si="66"/>
        <v>0</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2.5000000000000001E-2</v>
      </c>
      <c r="F402" s="718"/>
      <c r="G402" s="24">
        <f t="shared" si="66"/>
        <v>0</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2.5000000000000001E-2</v>
      </c>
      <c r="F403" s="718"/>
      <c r="G403" s="24">
        <f t="shared" si="66"/>
        <v>0</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2.5000000000000001E-2</v>
      </c>
      <c r="F404" s="718"/>
      <c r="G404" s="24">
        <f t="shared" si="66"/>
        <v>0</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2.5000000000000001E-2</v>
      </c>
      <c r="F405" s="718"/>
      <c r="G405" s="24">
        <f t="shared" si="66"/>
        <v>0</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2.5000000000000001E-2</v>
      </c>
      <c r="F406" s="718"/>
      <c r="G406" s="24">
        <f t="shared" si="66"/>
        <v>0</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2.5000000000000001E-2</v>
      </c>
      <c r="F407" s="718"/>
      <c r="G407" s="24">
        <f t="shared" si="66"/>
        <v>0</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2.5000000000000001E-2</v>
      </c>
      <c r="F408" s="718"/>
      <c r="G408" s="24">
        <f t="shared" si="66"/>
        <v>0</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2.5000000000000001E-2</v>
      </c>
      <c r="F409" s="718"/>
      <c r="G409" s="24">
        <f t="shared" si="66"/>
        <v>0</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2.5000000000000001E-2</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2.5000000000000001E-2</v>
      </c>
      <c r="F411" s="718"/>
      <c r="G411" s="24">
        <f t="shared" si="76"/>
        <v>0</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2.5000000000000001E-2</v>
      </c>
      <c r="F412" s="718"/>
      <c r="G412" s="24">
        <f t="shared" si="76"/>
        <v>0</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2.5000000000000001E-2</v>
      </c>
      <c r="F413" s="718"/>
      <c r="G413" s="24">
        <f t="shared" si="76"/>
        <v>0</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2.5000000000000001E-2</v>
      </c>
      <c r="F414" s="718"/>
      <c r="G414" s="24">
        <f t="shared" si="76"/>
        <v>0</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2.5000000000000001E-2</v>
      </c>
      <c r="F415" s="718"/>
      <c r="G415" s="24">
        <f t="shared" si="76"/>
        <v>0</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2.5000000000000001E-2</v>
      </c>
      <c r="F416" s="718"/>
      <c r="G416" s="24">
        <f t="shared" si="76"/>
        <v>0</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2.5000000000000001E-2</v>
      </c>
      <c r="F417" s="718"/>
      <c r="G417" s="24">
        <f t="shared" si="76"/>
        <v>0</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2.5000000000000001E-2</v>
      </c>
      <c r="F418" s="718"/>
      <c r="G418" s="24">
        <f t="shared" si="76"/>
        <v>0</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2.5000000000000001E-2</v>
      </c>
      <c r="F419" s="718"/>
      <c r="G419" s="24">
        <f t="shared" si="76"/>
        <v>0</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2.5000000000000001E-2</v>
      </c>
      <c r="F420" s="718"/>
      <c r="G420" s="24">
        <f t="shared" si="76"/>
        <v>0</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2.5000000000000001E-2</v>
      </c>
      <c r="F421" s="718"/>
      <c r="G421" s="24">
        <f t="shared" si="76"/>
        <v>0</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2.5000000000000001E-2</v>
      </c>
      <c r="F422" s="718"/>
      <c r="G422" s="24">
        <f t="shared" si="76"/>
        <v>0</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2.5000000000000001E-2</v>
      </c>
      <c r="F423" s="718"/>
      <c r="G423" s="24">
        <f t="shared" si="76"/>
        <v>0</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2.5000000000000001E-2</v>
      </c>
      <c r="F424" s="718"/>
      <c r="G424" s="24">
        <f t="shared" si="76"/>
        <v>0</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2.5000000000000001E-2</v>
      </c>
      <c r="F425" s="718"/>
      <c r="G425" s="24">
        <f t="shared" si="76"/>
        <v>0</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2.5000000000000001E-2</v>
      </c>
      <c r="F426" s="718"/>
      <c r="G426" s="24">
        <f t="shared" si="76"/>
        <v>0</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2.5000000000000001E-2</v>
      </c>
      <c r="F427" s="718"/>
      <c r="G427" s="24">
        <f t="shared" si="76"/>
        <v>0</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2.5000000000000001E-2</v>
      </c>
      <c r="F428" s="718"/>
      <c r="G428" s="24">
        <f t="shared" si="76"/>
        <v>0</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2.5000000000000001E-2</v>
      </c>
      <c r="F429" s="718"/>
      <c r="G429" s="24">
        <f t="shared" si="76"/>
        <v>0</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2.5000000000000001E-2</v>
      </c>
      <c r="F430" s="718"/>
      <c r="G430" s="24">
        <f t="shared" si="76"/>
        <v>0</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2.5000000000000001E-2</v>
      </c>
      <c r="F431" s="718"/>
      <c r="G431" s="24">
        <f t="shared" si="76"/>
        <v>0</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2.5000000000000001E-2</v>
      </c>
      <c r="F432" s="718"/>
      <c r="G432" s="24">
        <f t="shared" si="76"/>
        <v>0</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2.5000000000000001E-2</v>
      </c>
      <c r="F433" s="718"/>
      <c r="G433" s="24">
        <f t="shared" si="76"/>
        <v>0</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2.5000000000000001E-2</v>
      </c>
      <c r="F434" s="718"/>
      <c r="G434" s="24">
        <f t="shared" si="76"/>
        <v>0</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2.5000000000000001E-2</v>
      </c>
      <c r="F435" s="718"/>
      <c r="G435" s="24">
        <f t="shared" si="76"/>
        <v>0</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2.5000000000000001E-2</v>
      </c>
      <c r="F436" s="718"/>
      <c r="G436" s="24">
        <f t="shared" si="76"/>
        <v>0</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2.5000000000000001E-2</v>
      </c>
      <c r="F437" s="718"/>
      <c r="G437" s="24">
        <f t="shared" si="76"/>
        <v>0</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2.5000000000000001E-2</v>
      </c>
      <c r="F438" s="718"/>
      <c r="G438" s="24">
        <f t="shared" si="76"/>
        <v>0</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2.5000000000000001E-2</v>
      </c>
      <c r="F439" s="718"/>
      <c r="G439" s="24">
        <f t="shared" si="76"/>
        <v>0</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2.5000000000000001E-2</v>
      </c>
      <c r="F440" s="718"/>
      <c r="G440" s="24">
        <f t="shared" si="76"/>
        <v>0</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2.5000000000000001E-2</v>
      </c>
      <c r="F441" s="718"/>
      <c r="G441" s="24">
        <f t="shared" si="76"/>
        <v>0</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2.5000000000000001E-2</v>
      </c>
      <c r="F442" s="718"/>
      <c r="G442" s="24">
        <f t="shared" si="76"/>
        <v>0</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2.5000000000000001E-2</v>
      </c>
      <c r="F443" s="718"/>
      <c r="G443" s="24">
        <f t="shared" si="76"/>
        <v>0</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2.5000000000000001E-2</v>
      </c>
      <c r="F444" s="718"/>
      <c r="G444" s="24">
        <f t="shared" si="76"/>
        <v>0</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2.5000000000000001E-2</v>
      </c>
      <c r="F445" s="718"/>
      <c r="G445" s="24">
        <f t="shared" si="76"/>
        <v>0</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2.5000000000000001E-2</v>
      </c>
      <c r="F446" s="718"/>
      <c r="G446" s="24">
        <f t="shared" si="76"/>
        <v>0</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2.5000000000000001E-2</v>
      </c>
      <c r="F447" s="718"/>
      <c r="G447" s="24">
        <f t="shared" si="76"/>
        <v>0</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2.5000000000000001E-2</v>
      </c>
      <c r="F448" s="718"/>
      <c r="G448" s="24">
        <f t="shared" si="76"/>
        <v>0</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2.5000000000000001E-2</v>
      </c>
      <c r="F449" s="718"/>
      <c r="G449" s="24">
        <f t="shared" si="76"/>
        <v>0</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2.5000000000000001E-2</v>
      </c>
      <c r="F450" s="718"/>
      <c r="G450" s="24">
        <f t="shared" si="76"/>
        <v>0</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2.5000000000000001E-2</v>
      </c>
      <c r="F451" s="718"/>
      <c r="G451" s="24">
        <f t="shared" si="76"/>
        <v>0</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2.5000000000000001E-2</v>
      </c>
      <c r="F452" s="718"/>
      <c r="G452" s="24">
        <f t="shared" si="76"/>
        <v>0</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2.5000000000000001E-2</v>
      </c>
      <c r="F453" s="718"/>
      <c r="G453" s="24">
        <f t="shared" si="76"/>
        <v>0</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2.5000000000000001E-2</v>
      </c>
      <c r="F454" s="718"/>
      <c r="G454" s="24">
        <f t="shared" si="76"/>
        <v>0</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2.5000000000000001E-2</v>
      </c>
      <c r="F455" s="718"/>
      <c r="G455" s="24">
        <f t="shared" si="76"/>
        <v>0</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2.5000000000000001E-2</v>
      </c>
      <c r="F456" s="718"/>
      <c r="G456" s="24">
        <f t="shared" si="76"/>
        <v>0</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2.5000000000000001E-2</v>
      </c>
      <c r="F457" s="718"/>
      <c r="G457" s="24">
        <f t="shared" si="76"/>
        <v>0</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2.5000000000000001E-2</v>
      </c>
      <c r="F458" s="718"/>
      <c r="G458" s="24">
        <f t="shared" si="76"/>
        <v>0</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2.5000000000000001E-2</v>
      </c>
      <c r="F459" s="718"/>
      <c r="G459" s="24">
        <f t="shared" si="76"/>
        <v>0</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2.5000000000000001E-2</v>
      </c>
      <c r="F460" s="718"/>
      <c r="G460" s="24">
        <f t="shared" si="76"/>
        <v>0</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2.5000000000000001E-2</v>
      </c>
      <c r="F461" s="718"/>
      <c r="G461" s="24">
        <f t="shared" si="76"/>
        <v>0</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2.5000000000000001E-2</v>
      </c>
      <c r="F462" s="718"/>
      <c r="G462" s="24">
        <f t="shared" si="76"/>
        <v>0</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2.5000000000000001E-2</v>
      </c>
      <c r="F463" s="718"/>
      <c r="G463" s="24">
        <f t="shared" si="76"/>
        <v>0</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2.5000000000000001E-2</v>
      </c>
      <c r="F464" s="718"/>
      <c r="G464" s="24">
        <f t="shared" si="76"/>
        <v>0</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2.5000000000000001E-2</v>
      </c>
      <c r="F465" s="718"/>
      <c r="G465" s="24">
        <f t="shared" si="76"/>
        <v>0</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2.5000000000000001E-2</v>
      </c>
      <c r="F466" s="718"/>
      <c r="G466" s="24">
        <f t="shared" si="76"/>
        <v>0</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2.5000000000000001E-2</v>
      </c>
      <c r="F467" s="718"/>
      <c r="G467" s="24">
        <f t="shared" si="76"/>
        <v>0</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2.5000000000000001E-2</v>
      </c>
      <c r="F468" s="718"/>
      <c r="G468" s="24">
        <f t="shared" si="76"/>
        <v>0</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2.5000000000000001E-2</v>
      </c>
      <c r="F469" s="718"/>
      <c r="G469" s="24">
        <f t="shared" si="76"/>
        <v>0</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2.5000000000000001E-2</v>
      </c>
      <c r="F470" s="718"/>
      <c r="G470" s="24">
        <f t="shared" si="76"/>
        <v>0</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2.5000000000000001E-2</v>
      </c>
      <c r="F471" s="718"/>
      <c r="G471" s="24">
        <f t="shared" si="76"/>
        <v>0</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2.5000000000000001E-2</v>
      </c>
      <c r="F472" s="718"/>
      <c r="G472" s="24">
        <f t="shared" si="76"/>
        <v>0</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2.5000000000000001E-2</v>
      </c>
      <c r="F473" s="718"/>
      <c r="G473" s="24">
        <f t="shared" si="76"/>
        <v>0</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2.5000000000000001E-2</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2.5000000000000001E-2</v>
      </c>
      <c r="F475" s="718"/>
      <c r="G475" s="24">
        <f t="shared" si="87"/>
        <v>0</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2.5000000000000001E-2</v>
      </c>
      <c r="F476" s="718"/>
      <c r="G476" s="24">
        <f t="shared" si="87"/>
        <v>0</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2.5000000000000001E-2</v>
      </c>
      <c r="F477" s="718"/>
      <c r="G477" s="24">
        <f t="shared" si="87"/>
        <v>0</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2.5000000000000001E-2</v>
      </c>
      <c r="F478" s="718"/>
      <c r="G478" s="24">
        <f t="shared" si="87"/>
        <v>0</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2.5000000000000001E-2</v>
      </c>
      <c r="F479" s="718"/>
      <c r="G479" s="24">
        <f t="shared" si="87"/>
        <v>0</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2.5000000000000001E-2</v>
      </c>
      <c r="F480" s="718"/>
      <c r="G480" s="24">
        <f t="shared" si="87"/>
        <v>0</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2.5000000000000001E-2</v>
      </c>
      <c r="F481" s="718"/>
      <c r="G481" s="24">
        <f t="shared" si="87"/>
        <v>0</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2.5000000000000001E-2</v>
      </c>
      <c r="F482" s="718"/>
      <c r="G482" s="24">
        <f t="shared" si="87"/>
        <v>0</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2.5000000000000001E-2</v>
      </c>
      <c r="F483" s="718"/>
      <c r="G483" s="24">
        <f t="shared" si="87"/>
        <v>0</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2.5000000000000001E-2</v>
      </c>
      <c r="F484" s="718"/>
      <c r="G484" s="24">
        <f t="shared" si="87"/>
        <v>0</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2.5000000000000001E-2</v>
      </c>
      <c r="F485" s="718"/>
      <c r="G485" s="24">
        <f t="shared" si="87"/>
        <v>0</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2.5000000000000001E-2</v>
      </c>
      <c r="F486" s="718"/>
      <c r="G486" s="24">
        <f t="shared" si="87"/>
        <v>0</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2.5000000000000001E-2</v>
      </c>
      <c r="F487" s="718"/>
      <c r="G487" s="24">
        <f t="shared" si="87"/>
        <v>0</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2.5000000000000001E-2</v>
      </c>
      <c r="F488" s="718"/>
      <c r="G488" s="24">
        <f t="shared" si="87"/>
        <v>0</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2.5000000000000001E-2</v>
      </c>
      <c r="F489" s="718"/>
      <c r="G489" s="24">
        <f t="shared" si="87"/>
        <v>0</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2.5000000000000001E-2</v>
      </c>
      <c r="F490" s="718"/>
      <c r="G490" s="24">
        <f t="shared" si="87"/>
        <v>0</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2.5000000000000001E-2</v>
      </c>
      <c r="F491" s="718"/>
      <c r="G491" s="24">
        <f t="shared" si="87"/>
        <v>0</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2.5000000000000001E-2</v>
      </c>
      <c r="F492" s="718"/>
      <c r="G492" s="24">
        <f t="shared" si="87"/>
        <v>0</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2.5000000000000001E-2</v>
      </c>
      <c r="F493" s="718"/>
      <c r="G493" s="24">
        <f t="shared" si="87"/>
        <v>0</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2.5000000000000001E-2</v>
      </c>
      <c r="F494" s="718"/>
      <c r="G494" s="24">
        <f t="shared" si="87"/>
        <v>0</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2.5000000000000001E-2</v>
      </c>
      <c r="F495" s="718"/>
      <c r="G495" s="24">
        <f t="shared" si="87"/>
        <v>0</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2.5000000000000001E-2</v>
      </c>
      <c r="F496" s="718"/>
      <c r="G496" s="24">
        <f t="shared" si="87"/>
        <v>0</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2.5000000000000001E-2</v>
      </c>
      <c r="F497" s="718"/>
      <c r="G497" s="24">
        <f t="shared" si="87"/>
        <v>0</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2.5000000000000001E-2</v>
      </c>
      <c r="F498" s="718"/>
      <c r="G498" s="24">
        <f t="shared" si="87"/>
        <v>0</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2.5000000000000001E-2</v>
      </c>
      <c r="F499" s="718"/>
      <c r="G499" s="24">
        <f t="shared" si="87"/>
        <v>0</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2.5000000000000001E-2</v>
      </c>
      <c r="F500" s="718"/>
      <c r="G500" s="24">
        <f t="shared" si="87"/>
        <v>0</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2.5000000000000001E-2</v>
      </c>
      <c r="F501" s="718"/>
      <c r="G501" s="24">
        <f t="shared" si="87"/>
        <v>0</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2.5000000000000001E-2</v>
      </c>
      <c r="F502" s="718"/>
      <c r="G502" s="24">
        <f t="shared" si="87"/>
        <v>0</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2.5000000000000001E-2</v>
      </c>
      <c r="F503" s="718"/>
      <c r="G503" s="24">
        <f t="shared" si="87"/>
        <v>0</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2.5000000000000001E-2</v>
      </c>
      <c r="F504" s="718"/>
      <c r="G504" s="24">
        <f t="shared" si="87"/>
        <v>0</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2.5000000000000001E-2</v>
      </c>
      <c r="F505" s="718"/>
      <c r="G505" s="24">
        <f t="shared" si="87"/>
        <v>0</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2.5000000000000001E-2</v>
      </c>
      <c r="F506" s="718"/>
      <c r="G506" s="24">
        <f t="shared" si="87"/>
        <v>0</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2.5000000000000001E-2</v>
      </c>
      <c r="F507" s="718"/>
      <c r="G507" s="24">
        <f t="shared" si="87"/>
        <v>0</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2.5000000000000001E-2</v>
      </c>
      <c r="F508" s="718"/>
      <c r="G508" s="24">
        <f t="shared" si="87"/>
        <v>0</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2.5000000000000001E-2</v>
      </c>
      <c r="F509" s="718"/>
      <c r="G509" s="24">
        <f t="shared" si="87"/>
        <v>0</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2.5000000000000001E-2</v>
      </c>
      <c r="F510" s="718"/>
      <c r="G510" s="24">
        <f t="shared" si="87"/>
        <v>0</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2.5000000000000001E-2</v>
      </c>
      <c r="F511" s="718"/>
      <c r="G511" s="24">
        <f t="shared" si="87"/>
        <v>0</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2.5000000000000001E-2</v>
      </c>
      <c r="F512" s="718"/>
      <c r="G512" s="24">
        <f t="shared" si="87"/>
        <v>0</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2.5000000000000001E-2</v>
      </c>
      <c r="F513" s="718"/>
      <c r="G513" s="24">
        <f t="shared" si="87"/>
        <v>0</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2.5000000000000001E-2</v>
      </c>
      <c r="F514" s="718"/>
      <c r="G514" s="24">
        <f t="shared" si="87"/>
        <v>0</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2.5000000000000001E-2</v>
      </c>
      <c r="F515" s="718"/>
      <c r="G515" s="24">
        <f t="shared" si="87"/>
        <v>0</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2.5000000000000001E-2</v>
      </c>
      <c r="F516" s="718"/>
      <c r="G516" s="24">
        <f t="shared" si="87"/>
        <v>0</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2.5000000000000001E-2</v>
      </c>
      <c r="F517" s="718"/>
      <c r="G517" s="24">
        <f t="shared" si="87"/>
        <v>0</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2.5000000000000001E-2</v>
      </c>
      <c r="F518" s="718"/>
      <c r="G518" s="24">
        <f t="shared" si="87"/>
        <v>0</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2.5000000000000001E-2</v>
      </c>
      <c r="F519" s="718"/>
      <c r="G519" s="24">
        <f t="shared" si="87"/>
        <v>0</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2.5000000000000001E-2</v>
      </c>
      <c r="F520" s="718"/>
      <c r="G520" s="24">
        <f t="shared" si="87"/>
        <v>0</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2.5000000000000001E-2</v>
      </c>
      <c r="F521" s="718"/>
      <c r="G521" s="24">
        <f t="shared" si="87"/>
        <v>0</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2.5000000000000001E-2</v>
      </c>
      <c r="F522" s="718"/>
      <c r="G522" s="24">
        <f t="shared" si="87"/>
        <v>0</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2.5000000000000001E-2</v>
      </c>
      <c r="F523" s="718"/>
      <c r="G523" s="24">
        <f t="shared" si="87"/>
        <v>0</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2.5000000000000001E-2</v>
      </c>
      <c r="F524" s="718"/>
      <c r="G524" s="24">
        <f t="shared" si="87"/>
        <v>0</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32640</v>
      </c>
      <c r="C2" s="2" t="s">
        <v>133</v>
      </c>
      <c r="D2" s="241"/>
      <c r="E2" s="241"/>
      <c r="F2" s="241"/>
      <c r="G2" s="241"/>
    </row>
    <row r="3" spans="1:7" s="242" customFormat="1" ht="18" customHeight="1" thickBot="1">
      <c r="A3" s="245" t="s">
        <v>85</v>
      </c>
      <c r="B3" s="246">
        <f ca="1">ROUND(B2*10000/'数据-汇总表'!E3,0)</f>
        <v>65493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100</v>
      </c>
      <c r="D10" s="1033">
        <f>'数据-汇总表'!E6</f>
        <v>4983.7199999999993</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100</v>
      </c>
      <c r="D19" s="1037">
        <f>'数据-汇总表'!E3</f>
        <v>4983.7199999999993</v>
      </c>
      <c r="E19" s="253">
        <f>'数据-取费表'!B31</f>
        <v>200</v>
      </c>
      <c r="F19" s="273"/>
      <c r="G19" s="1" t="s">
        <v>1074</v>
      </c>
    </row>
    <row r="20" spans="1:7" s="256" customFormat="1" ht="13.5" customHeight="1">
      <c r="A20" s="949" t="s">
        <v>1057</v>
      </c>
      <c r="B20" s="252" t="s">
        <v>104</v>
      </c>
      <c r="C20" s="274">
        <f>ROUND((C5+C19)*F20,0)</f>
        <v>414</v>
      </c>
      <c r="D20" s="274"/>
      <c r="E20" s="274"/>
      <c r="F20" s="275">
        <f>'数据-取费表'!B37</f>
        <v>0.02</v>
      </c>
      <c r="G20" s="1290"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2034</v>
      </c>
      <c r="D22" s="277">
        <f ca="1">C26</f>
        <v>1E-3</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10</v>
      </c>
      <c r="D24" s="280"/>
      <c r="E24" s="280"/>
      <c r="F24" s="281"/>
      <c r="G24" s="282" t="s">
        <v>109</v>
      </c>
    </row>
    <row r="25" spans="1:7" s="256" customFormat="1" ht="24">
      <c r="A25" s="952" t="s">
        <v>793</v>
      </c>
      <c r="B25" s="257" t="s">
        <v>1058</v>
      </c>
      <c r="C25" s="1356">
        <f ca="1">ROUND(IF('数据-取费表'!B22&lt;=1,C20*F22*'数据-取费表'!B23/2,C20*(POWER((1+F22),'数据-取费表'!B23/2)-1)),0)</f>
        <v>20</v>
      </c>
      <c r="D25" s="280"/>
      <c r="E25" s="283"/>
      <c r="F25" s="281"/>
      <c r="G25" s="284" t="s">
        <v>110</v>
      </c>
    </row>
    <row r="26" spans="1:7" s="256" customFormat="1">
      <c r="A26" s="952" t="s">
        <v>795</v>
      </c>
      <c r="B26" s="257" t="s">
        <v>1060</v>
      </c>
      <c r="C26" s="280">
        <f ca="1">ROUND(IF('数据-取费表'!B22&lt;=1,F21*F22*'数据-取费表'!B23/2,F21*(POWER((1+F22),'数据-取费表'!B23/2)-1)),4)</f>
        <v>1E-3</v>
      </c>
      <c r="D26" s="280"/>
      <c r="E26" s="283"/>
      <c r="F26" s="281"/>
      <c r="G26" s="285"/>
    </row>
    <row r="27" spans="1:7" s="256" customFormat="1" ht="24.75">
      <c r="A27" s="949" t="s">
        <v>787</v>
      </c>
      <c r="B27" s="286" t="s">
        <v>112</v>
      </c>
      <c r="C27" s="287">
        <f>C28</f>
        <v>6337</v>
      </c>
      <c r="D27" s="277">
        <f>C29</f>
        <v>6.0000000000000001E-3</v>
      </c>
      <c r="E27" s="278" t="s">
        <v>126</v>
      </c>
      <c r="F27" s="288">
        <f>'数据-取费表'!Q16</f>
        <v>0.3</v>
      </c>
      <c r="G27" s="289" t="s">
        <v>1069</v>
      </c>
    </row>
    <row r="28" spans="1:7" s="256" customFormat="1" ht="13.5" customHeight="1">
      <c r="A28" s="952" t="s">
        <v>794</v>
      </c>
      <c r="B28" s="290" t="s">
        <v>1062</v>
      </c>
      <c r="C28" s="291">
        <f>ROUND((C5+C19+C20)*F27*'数据-取费表'!B21/'数据-取费表'!B20,0)</f>
        <v>6337</v>
      </c>
      <c r="D28" s="277"/>
      <c r="E28" s="278"/>
      <c r="F28" s="288"/>
      <c r="G28" s="289"/>
    </row>
    <row r="29" spans="1:7" s="256" customFormat="1" ht="13.5" customHeight="1">
      <c r="A29" s="952" t="s">
        <v>792</v>
      </c>
      <c r="B29" s="290" t="s">
        <v>1063</v>
      </c>
      <c r="C29" s="280">
        <f>ROUND(C21*F27*'数据-取费表'!B21/'数据-取费表'!B20,4)</f>
        <v>6.0000000000000001E-3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32038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504</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383</v>
      </c>
      <c r="D34" s="259"/>
      <c r="E34" s="262"/>
      <c r="F34" s="299">
        <f>IF('数据-取费表'!B24=0,1,'数据-取费表'!N16)</f>
        <v>1</v>
      </c>
      <c r="G34" s="261" t="s">
        <v>116</v>
      </c>
    </row>
    <row r="35" spans="1:7" ht="13.5" customHeight="1">
      <c r="A35" s="952" t="s">
        <v>796</v>
      </c>
      <c r="B35" s="257" t="s">
        <v>60</v>
      </c>
      <c r="C35" s="262">
        <f>ROUND(C34*F35,0)</f>
        <v>15</v>
      </c>
      <c r="D35" s="262"/>
      <c r="E35" s="262"/>
      <c r="F35" s="301">
        <f>'数据-取费表'!B33</f>
        <v>0.04</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100</v>
      </c>
      <c r="D37" s="259">
        <f>'数据-汇总表'!E3</f>
        <v>4983.7199999999993</v>
      </c>
      <c r="E37" s="291">
        <f>'数据-取费表'!B35</f>
        <v>200</v>
      </c>
      <c r="F37" s="301"/>
      <c r="G37" s="303" t="s">
        <v>119</v>
      </c>
    </row>
    <row r="38" spans="1:7" ht="13.5" customHeight="1">
      <c r="A38" s="952" t="s">
        <v>799</v>
      </c>
      <c r="B38" s="257" t="s">
        <v>63</v>
      </c>
      <c r="C38" s="262">
        <f>ROUND(C34*F38,0)</f>
        <v>6</v>
      </c>
      <c r="D38" s="262"/>
      <c r="E38" s="262"/>
      <c r="F38" s="301">
        <f>'数据-取费表'!B36</f>
        <v>1.4999999999999999E-2</v>
      </c>
      <c r="G38" s="261" t="s">
        <v>117</v>
      </c>
    </row>
    <row r="39" spans="1:7" s="256" customFormat="1" ht="13.5" customHeight="1">
      <c r="A39" s="949" t="s">
        <v>783</v>
      </c>
      <c r="B39" s="252" t="s">
        <v>104</v>
      </c>
      <c r="C39" s="274">
        <f>ROUND(C33*F20,0)</f>
        <v>10</v>
      </c>
      <c r="D39" s="274"/>
      <c r="E39" s="274"/>
      <c r="F39" s="275"/>
      <c r="G39" s="1290"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24</v>
      </c>
      <c r="D41" s="277">
        <f ca="1">C44</f>
        <v>1E-3</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24</v>
      </c>
      <c r="D42" s="280"/>
      <c r="E42" s="280"/>
      <c r="F42" s="281"/>
      <c r="G42" s="3181" t="s">
        <v>121</v>
      </c>
    </row>
    <row r="43" spans="1:7" ht="13.5" customHeight="1">
      <c r="A43" s="952" t="s">
        <v>792</v>
      </c>
      <c r="B43" s="257" t="s">
        <v>1064</v>
      </c>
      <c r="C43" s="280">
        <f ca="1">ROUND(IF('数据-取费表'!B22&lt;=1,C39*F22*'数据-取费表'!B21/2,C39*(POWER((1+F22),'数据-取费表'!B21/2)-1)),0)</f>
        <v>0</v>
      </c>
      <c r="D43" s="280"/>
      <c r="E43" s="280"/>
      <c r="F43" s="281"/>
      <c r="G43" s="3182"/>
    </row>
    <row r="44" spans="1:7" ht="13.5" customHeight="1">
      <c r="A44" s="952" t="s">
        <v>793</v>
      </c>
      <c r="B44" s="257" t="s">
        <v>1066</v>
      </c>
      <c r="C44" s="280">
        <f ca="1">ROUND(IF('数据-取费表'!B22&lt;=1,C40*F22*'数据-取费表'!B21/2,C40*(POWER((1+F22),'数据-取费表'!B21/2)-1)),4)</f>
        <v>1E-3</v>
      </c>
      <c r="D44" s="280"/>
      <c r="E44" s="280"/>
      <c r="F44" s="281"/>
      <c r="G44" s="3183"/>
    </row>
    <row r="45" spans="1:7" s="256" customFormat="1" ht="13.5" customHeight="1">
      <c r="A45" s="949" t="s">
        <v>786</v>
      </c>
      <c r="B45" s="286" t="s">
        <v>112</v>
      </c>
      <c r="C45" s="287">
        <f>C46</f>
        <v>154</v>
      </c>
      <c r="D45" s="277">
        <f>C47</f>
        <v>6.0000000000000001E-3</v>
      </c>
      <c r="E45" s="278" t="s">
        <v>129</v>
      </c>
      <c r="F45" s="288"/>
      <c r="G45" s="289" t="s">
        <v>1072</v>
      </c>
    </row>
    <row r="46" spans="1:7" s="256" customFormat="1" ht="13.5" customHeight="1">
      <c r="A46" s="952" t="s">
        <v>794</v>
      </c>
      <c r="B46" s="290" t="s">
        <v>1065</v>
      </c>
      <c r="C46" s="291">
        <f>ROUND((C33+C39)*F27,0)</f>
        <v>154</v>
      </c>
      <c r="D46" s="305"/>
      <c r="E46" s="278"/>
      <c r="F46" s="288"/>
      <c r="G46" s="289"/>
    </row>
    <row r="47" spans="1:7" s="256" customFormat="1" ht="13.5" customHeight="1">
      <c r="A47" s="952" t="s">
        <v>792</v>
      </c>
      <c r="B47" s="290" t="s">
        <v>1067</v>
      </c>
      <c r="C47" s="280">
        <f>ROUND(C40*F27,4)</f>
        <v>6.0000000000000001E-3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752</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602</v>
      </c>
      <c r="D51" s="274"/>
      <c r="E51" s="274"/>
      <c r="F51" s="306"/>
      <c r="G51" s="276" t="s">
        <v>64</v>
      </c>
    </row>
    <row r="52" spans="1:7" s="250" customFormat="1" ht="16.5" thickBot="1">
      <c r="A52" s="307" t="s">
        <v>65</v>
      </c>
      <c r="B52" s="308"/>
      <c r="C52" s="309">
        <f ca="1">C31+C51</f>
        <v>32640</v>
      </c>
      <c r="D52" s="308"/>
      <c r="E52" s="308"/>
      <c r="F52" s="308"/>
      <c r="G52" s="310"/>
    </row>
    <row r="55" spans="1:7" ht="15">
      <c r="B55" s="312" t="s">
        <v>66</v>
      </c>
      <c r="C55" s="313"/>
    </row>
    <row r="56" spans="1:7">
      <c r="B56" s="315" t="s">
        <v>67</v>
      </c>
      <c r="C56" s="316">
        <f ca="1">ROUND(C51/C52,3)</f>
        <v>1.7999999999999999E-2</v>
      </c>
    </row>
    <row r="57" spans="1:7">
      <c r="B57" s="315" t="s">
        <v>68</v>
      </c>
      <c r="C57" s="317">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16" t="s">
        <v>156</v>
      </c>
      <c r="B1" s="3316"/>
      <c r="C1" s="3316"/>
      <c r="D1" s="3316"/>
      <c r="E1" s="3316"/>
      <c r="F1" s="331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7" t="s">
        <v>169</v>
      </c>
      <c r="B2" s="3317"/>
      <c r="C2" s="3317"/>
      <c r="D2" s="3317"/>
      <c r="E2" s="3317"/>
      <c r="F2" s="331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6" t="s">
        <v>871</v>
      </c>
      <c r="B1" s="331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43398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5" t="str">
        <f>IF(项目基本情况!B9="房地产市场价值","估价结果一览表","结果表-2")</f>
        <v>估价结果一览表</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房地产市场价值</v>
      </c>
      <c r="I2" s="3016"/>
    </row>
    <row r="3" spans="1:9" ht="15">
      <c r="A3" s="3010"/>
      <c r="B3" s="3010"/>
      <c r="C3" s="3010"/>
      <c r="D3" s="1045" t="s">
        <v>1638</v>
      </c>
      <c r="E3" s="1045" t="s">
        <v>1644</v>
      </c>
      <c r="F3" s="1045" t="s">
        <v>1638</v>
      </c>
      <c r="G3" s="1045" t="s">
        <v>1639</v>
      </c>
      <c r="H3" s="1045" t="s">
        <v>1638</v>
      </c>
      <c r="I3" s="1045" t="s">
        <v>1639</v>
      </c>
    </row>
    <row r="4" spans="1:9" ht="30">
      <c r="A4" s="1974" t="str">
        <f>项目基本情况!S2</f>
        <v>北京市大兴区黄村镇兴华园8号楼-1至7层8-1房地产</v>
      </c>
      <c r="B4" s="1045">
        <f>项目基本情况!C17</f>
        <v>4983.7199999999993</v>
      </c>
      <c r="C4" s="1045">
        <f>项目基本情况!C18</f>
        <v>731.02</v>
      </c>
      <c r="D4" s="1045" t="e">
        <f ca="1">结果表!D118</f>
        <v>#REF!</v>
      </c>
      <c r="E4" s="1045" t="e">
        <f ca="1">结果表!E118</f>
        <v>#REF!</v>
      </c>
      <c r="F4" s="1045" t="e">
        <f ca="1">结果表!F118</f>
        <v>#REF!</v>
      </c>
      <c r="G4" s="1045" t="e">
        <f ca="1">结果表!G118</f>
        <v>#REF!</v>
      </c>
      <c r="H4" s="1045">
        <f ca="1">结果表!H118</f>
        <v>1962</v>
      </c>
      <c r="I4" s="1045">
        <f ca="1">结果表!I118</f>
        <v>27671</v>
      </c>
    </row>
    <row r="5" spans="1:9" ht="30" customHeight="1">
      <c r="A5" s="3010" t="s">
        <v>1640</v>
      </c>
      <c r="B5" s="3010"/>
      <c r="C5" s="3010"/>
      <c r="D5" s="3011" t="e">
        <f ca="1">结果表!D119</f>
        <v>#REF!</v>
      </c>
      <c r="E5" s="3011"/>
      <c r="F5" s="3011" t="e">
        <f ca="1">结果表!F119</f>
        <v>#REF!</v>
      </c>
      <c r="G5" s="3011"/>
      <c r="H5" s="3011" t="str">
        <f ca="1">结果表!H119</f>
        <v>壹仟玖佰陆拾贰万元整</v>
      </c>
      <c r="I5" s="3011"/>
    </row>
    <row r="6" spans="1:9" ht="15.75">
      <c r="A6" s="3009" t="str">
        <f>结果表!A120</f>
        <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
      </c>
      <c r="B8" s="3009"/>
      <c r="C8" s="3009"/>
      <c r="D8" s="3009">
        <f ca="1">结果表!D122</f>
        <v>1962</v>
      </c>
      <c r="E8" s="3009"/>
      <c r="F8" s="3009"/>
      <c r="G8" s="3009"/>
      <c r="H8" s="3009"/>
      <c r="I8" s="3009"/>
    </row>
    <row r="9" spans="1:9" ht="15">
      <c r="A9" s="3010" t="s">
        <v>1640</v>
      </c>
      <c r="B9" s="3010"/>
      <c r="C9" s="3010"/>
      <c r="D9" s="3011" t="str">
        <f ca="1">结果表!D123</f>
        <v>壹仟玖佰陆拾贰万元整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3" t="s">
        <v>1662</v>
      </c>
      <c r="B1" s="3023"/>
      <c r="C1" s="3023"/>
      <c r="D1" s="3023"/>
    </row>
    <row r="2" spans="1:4" ht="18">
      <c r="A2" s="3024" t="s">
        <v>1646</v>
      </c>
      <c r="B2" s="3024"/>
      <c r="C2" s="3024"/>
      <c r="D2" s="3024"/>
    </row>
    <row r="3" spans="1:4" ht="18.75">
      <c r="A3" s="1978" t="s">
        <v>1647</v>
      </c>
      <c r="B3" s="1978" t="s">
        <v>1648</v>
      </c>
      <c r="C3" s="1978" t="s">
        <v>1649</v>
      </c>
      <c r="D3" s="1978" t="s">
        <v>1650</v>
      </c>
    </row>
    <row r="4" spans="1:4" ht="56.25" customHeight="1">
      <c r="A4" s="1979" t="str">
        <f>项目基本情况!B4</f>
        <v>陈颖</v>
      </c>
      <c r="B4" s="1980">
        <f ca="1">项目基本情况!C4</f>
        <v>1120060040</v>
      </c>
      <c r="C4" s="1981"/>
      <c r="D4" s="1982" t="s">
        <v>1651</v>
      </c>
    </row>
    <row r="5" spans="1:4" ht="56.25" customHeight="1">
      <c r="A5" s="1979" t="str">
        <f>项目基本情况!D4</f>
        <v>叶凌</v>
      </c>
      <c r="B5" s="1980">
        <f ca="1">项目基本情况!E4</f>
        <v>1119970111</v>
      </c>
      <c r="C5" s="1983"/>
      <c r="D5" s="1982" t="s">
        <v>1651</v>
      </c>
    </row>
    <row r="6" spans="1:4" ht="18">
      <c r="A6" s="3024" t="s">
        <v>1652</v>
      </c>
      <c r="B6" s="3024"/>
      <c r="C6" s="3024"/>
      <c r="D6" s="3024"/>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2"/>
      <c r="C12" s="3022"/>
      <c r="D12" s="3022"/>
    </row>
    <row r="13" spans="1:4" ht="30" customHeight="1">
      <c r="A13" s="3017" t="str">
        <f>IF(项目基本情况!B8="抵押","3.抵押双方在办理抵押登记手续时，应使用本公司出具的正式《房地产评估报告》，特提醒报告使用者注意。","——")</f>
        <v>——</v>
      </c>
      <c r="B13" s="3022"/>
      <c r="C13" s="3022"/>
      <c r="D13" s="3022"/>
    </row>
    <row r="14" spans="1:4" ht="15.75" customHeight="1">
      <c r="A14" s="3017" t="str">
        <f>IF(项目基本情况!B8="抵押","4.本次评估估价师所知悉的法定优先受偿款情况说明如下：","——")</f>
        <v>——</v>
      </c>
      <c r="B14" s="3022"/>
      <c r="C14" s="3022"/>
      <c r="D14" s="3022"/>
    </row>
    <row r="15" spans="1:4" ht="42" customHeight="1">
      <c r="A15" s="3017" t="str">
        <f>IF(项目基本情况!B8="抵押","（1）"&amp;CONCATENATE(项目基本情况!L20,项目基本情况!L21,项目基本情况!L22),"——")</f>
        <v>——</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1658</v>
      </c>
      <c r="B22" s="3021"/>
      <c r="C22" s="3021"/>
      <c r="D22" s="3021"/>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31" t="s">
        <v>1669</v>
      </c>
      <c r="B15" s="3026" t="s">
        <v>136</v>
      </c>
      <c r="C15" s="3027"/>
    </row>
    <row r="16" spans="1:7" ht="13.5">
      <c r="A16" s="3032"/>
      <c r="B16" s="3026" t="s">
        <v>69</v>
      </c>
      <c r="C16" s="3027"/>
    </row>
    <row r="17" spans="1:3" ht="13.5">
      <c r="A17" s="3032"/>
      <c r="B17" s="3029" t="s">
        <v>1670</v>
      </c>
      <c r="C17" s="2001" t="s">
        <v>1669</v>
      </c>
    </row>
    <row r="18" spans="1:3" ht="13.5">
      <c r="A18" s="3032"/>
      <c r="B18" s="3029"/>
      <c r="C18" s="2001" t="s">
        <v>1671</v>
      </c>
    </row>
    <row r="19" spans="1:3" ht="13.5">
      <c r="A19" s="3032"/>
      <c r="B19" s="3029"/>
      <c r="C19" s="2001" t="s">
        <v>1672</v>
      </c>
    </row>
    <row r="20" spans="1:3" ht="13.5">
      <c r="A20" s="3033"/>
      <c r="B20" s="3028" t="s">
        <v>1673</v>
      </c>
      <c r="C20" s="3027"/>
    </row>
    <row r="21" spans="1:3" ht="13.5">
      <c r="A21" s="2002" t="s">
        <v>1674</v>
      </c>
      <c r="B21" s="2003"/>
      <c r="C21" s="2004"/>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1" t="s">
        <v>1680</v>
      </c>
    </row>
    <row r="26" spans="1:3" ht="13.5">
      <c r="A26" s="3030"/>
      <c r="B26" s="3029"/>
      <c r="C26" s="2001" t="s">
        <v>1681</v>
      </c>
    </row>
    <row r="27" spans="1:3" ht="13.5">
      <c r="A27" s="3030"/>
      <c r="B27" s="3029"/>
      <c r="C27" s="2001" t="s">
        <v>1682</v>
      </c>
    </row>
    <row r="28" spans="1:3" ht="13.5">
      <c r="A28" s="3030"/>
      <c r="B28" s="3029"/>
      <c r="C28" s="2001" t="s">
        <v>1683</v>
      </c>
    </row>
    <row r="29" spans="1:3" ht="13.5">
      <c r="A29" s="3030"/>
      <c r="B29" s="3029"/>
      <c r="C29" s="2001" t="s">
        <v>1684</v>
      </c>
    </row>
    <row r="30" spans="1:3" ht="13.5">
      <c r="A30" s="3030"/>
      <c r="B30" s="3029"/>
      <c r="C30" s="2001" t="s">
        <v>1685</v>
      </c>
    </row>
    <row r="31" spans="1:3" ht="13.5">
      <c r="A31" s="3030"/>
      <c r="B31" s="3029"/>
      <c r="C31" s="2001" t="s">
        <v>1686</v>
      </c>
    </row>
    <row r="32" spans="1:3" ht="13.5">
      <c r="A32" s="3030"/>
      <c r="B32" s="3029"/>
      <c r="C32" s="2001" t="s">
        <v>1687</v>
      </c>
    </row>
    <row r="33" spans="1:3" ht="13.5">
      <c r="A33" s="3030"/>
      <c r="B33" s="3029"/>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43434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t="str">
        <f ca="1">IF(C7&lt;B2,"已过期",1120050019)</f>
        <v>已过期</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3044</v>
      </c>
      <c r="B12" s="1023">
        <v>1120110054</v>
      </c>
      <c r="C12" s="2943">
        <v>43937</v>
      </c>
      <c r="D12" s="1703" t="s">
        <v>3044</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943">
        <v>44339</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34" t="s">
        <v>846</v>
      </c>
      <c r="B25" s="3034"/>
      <c r="C25" s="3034"/>
      <c r="D25" s="3034"/>
      <c r="E25" s="3034"/>
      <c r="F25" s="3034"/>
      <c r="G25" s="3034"/>
    </row>
    <row r="26" spans="1:7" s="1026" customFormat="1" ht="24" customHeight="1">
      <c r="A26" s="3035" t="s">
        <v>847</v>
      </c>
      <c r="B26" s="3035"/>
      <c r="C26" s="3036"/>
      <c r="D26" s="3037" t="s">
        <v>848</v>
      </c>
      <c r="E26" s="3035"/>
      <c r="F26" s="3035"/>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结果汇总</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(地下)</vt:lpstr>
      <vt:lpstr>成本法 (元)</vt:lpstr>
      <vt:lpstr>成本法 (地下)</vt:lpstr>
      <vt:lpstr>基准地价修正</vt:lpstr>
      <vt:lpstr>修正</vt:lpstr>
      <vt:lpstr>容积率修正</vt:lpstr>
      <vt:lpstr>基准地价（汇总）</vt:lpstr>
      <vt:lpstr>基准地价修正 (地下)</vt:lpstr>
      <vt:lpstr>租约整理</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2018-11-30T06:47:23Z</dcterms:modified>
</cp:coreProperties>
</file>