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state="hidden" r:id="rId11"/>
    <sheet name="数据-基础表" sheetId="3" state="hidden" r:id="rId12"/>
    <sheet name="抵押物清单（分楼）" sheetId="42" state="hidden" r:id="rId13"/>
    <sheet name="面积汇总" sheetId="77" state="hidden" r:id="rId14"/>
    <sheet name="数据-汇总表" sheetId="6" state="hidden" r:id="rId15"/>
    <sheet name="数据-取费表" sheetId="1" state="hidden" r:id="rId16"/>
    <sheet name="估价对象房地状况" sheetId="20" state="hidden" r:id="rId17"/>
    <sheet name="系统读取表" sheetId="74" r:id="rId18"/>
    <sheet name="结果表" sheetId="9" r:id="rId19"/>
    <sheet name="土地比较法-住宅、综合" sheetId="39" r:id="rId20"/>
    <sheet name="成本法" sheetId="68" state="hidden"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结果表!$A$1:$I$112,结果表!$J$44:$O$60</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91" i="9" l="1"/>
  <c r="C88" i="9"/>
  <c r="C146" i="77"/>
  <c r="D147" i="77"/>
  <c r="F146" i="77"/>
  <c r="E146" i="77"/>
  <c r="D146" i="77"/>
  <c r="F136" i="77"/>
  <c r="D136" i="77"/>
  <c r="F133" i="77"/>
  <c r="E133" i="77"/>
  <c r="F131" i="77"/>
  <c r="E131" i="77"/>
  <c r="E136" i="77" s="1"/>
  <c r="D129" i="77"/>
  <c r="D123" i="77"/>
  <c r="D58" i="77"/>
  <c r="D57" i="77"/>
  <c r="I7" i="39" l="1"/>
  <c r="G7" i="39"/>
  <c r="E7" i="39"/>
  <c r="F19" i="6"/>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E7" i="76"/>
  <c r="B12" i="76"/>
  <c r="B13" i="76"/>
  <c r="B8" i="76"/>
  <c r="B10" i="76"/>
  <c r="E10" i="76"/>
  <c r="B7" i="76"/>
  <c r="E9" i="76"/>
  <c r="B9" i="76"/>
  <c r="E13" i="76"/>
  <c r="E11" i="76"/>
  <c r="B11" i="76"/>
  <c r="E8"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4" i="73"/>
  <c r="D3" i="73"/>
  <c r="F6" i="73"/>
  <c r="D6" i="73"/>
  <c r="F3" i="73"/>
  <c r="F5"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Q19" i="71"/>
  <c r="F20" i="71" s="1"/>
  <c r="F21" i="71" s="1"/>
  <c r="F22" i="71" s="1"/>
  <c r="V22" i="71" s="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6" i="71" l="1"/>
  <c r="Z6"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2"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Z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U34"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50" i="3"/>
  <c r="AZ162" i="3"/>
  <c r="AZ170" i="3"/>
  <c r="AZ178" i="3"/>
  <c r="AZ186" i="3"/>
  <c r="AZ194" i="3"/>
  <c r="AZ500" i="3"/>
  <c r="BA16" i="3"/>
  <c r="AZ16" i="3" s="1"/>
  <c r="BL303" i="3"/>
  <c r="G304" i="3"/>
  <c r="BA306" i="3"/>
  <c r="AZ306" i="3" s="1"/>
  <c r="BL307" i="3"/>
  <c r="G308" i="3"/>
  <c r="BA310" i="3"/>
  <c r="BL311" i="3"/>
  <c r="AZ311" i="3" s="1"/>
  <c r="G312" i="3"/>
  <c r="BA314" i="3"/>
  <c r="BL315" i="3"/>
  <c r="G316" i="3"/>
  <c r="BA318" i="3"/>
  <c r="AZ318" i="3"/>
  <c r="BL319" i="3"/>
  <c r="G320" i="3"/>
  <c r="BA322" i="3"/>
  <c r="AZ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AZ364" i="3"/>
  <c r="BA15" i="3"/>
  <c r="BB5" i="3"/>
  <c r="E8" i="6" s="1"/>
  <c r="F27" i="6" s="1"/>
  <c r="BR5" i="3"/>
  <c r="AZ394" i="3"/>
  <c r="AZ509" i="3"/>
  <c r="G509" i="3"/>
  <c r="BL493"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AZ563" i="3"/>
  <c r="W37" i="37"/>
  <c r="W44" i="34"/>
  <c r="AC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C40" i="11"/>
  <c r="AZ227" i="3"/>
  <c r="AZ240" i="3"/>
  <c r="AZ243" i="3"/>
  <c r="AZ256" i="3"/>
  <c r="AZ259" i="3"/>
  <c r="AZ280" i="3"/>
  <c r="AZ296" i="3"/>
  <c r="AZ114" i="3"/>
  <c r="AZ130" i="3"/>
  <c r="AZ29" i="3"/>
  <c r="AZ31" i="3"/>
  <c r="AZ33" i="3"/>
  <c r="AZ45" i="3"/>
  <c r="AZ50" i="3"/>
  <c r="AZ61" i="3"/>
  <c r="AZ69" i="3"/>
  <c r="AZ82" i="3"/>
  <c r="AZ102" i="3"/>
  <c r="H74" i="43"/>
  <c r="H49" i="43"/>
  <c r="I20" i="43"/>
  <c r="F23" i="39"/>
  <c r="AA23" i="39" s="1"/>
  <c r="H27" i="36"/>
  <c r="U27" i="36" s="1"/>
  <c r="F27" i="36"/>
  <c r="AA27" i="36" s="1"/>
  <c r="H33" i="34"/>
  <c r="U33" i="34" s="1"/>
  <c r="F32" i="37"/>
  <c r="AA32" i="37" s="1"/>
  <c r="F20" i="36"/>
  <c r="AA20" i="36" s="1"/>
  <c r="J33" i="34"/>
  <c r="AC33" i="34" s="1"/>
  <c r="H23" i="39"/>
  <c r="U23" i="39" s="1"/>
  <c r="H86" i="43"/>
  <c r="H82" i="43"/>
  <c r="H87" i="43"/>
  <c r="K9" i="1"/>
  <c r="M9" i="1" s="1"/>
  <c r="O9" i="1" s="1"/>
  <c r="P9" i="1" s="1"/>
  <c r="AE9" i="1"/>
  <c r="AC38" i="39" l="1"/>
  <c r="S38" i="39"/>
  <c r="G28" i="6"/>
  <c r="U23" i="35"/>
  <c r="AB23" i="35"/>
  <c r="AC24" i="36"/>
  <c r="W24" i="36"/>
  <c r="U27" i="37"/>
  <c r="AB27" i="37"/>
  <c r="AC32" i="40"/>
  <c r="W32" i="40"/>
  <c r="S12" i="21"/>
  <c r="AA12" i="21"/>
  <c r="AC12" i="36"/>
  <c r="W12" i="36"/>
  <c r="U25" i="37"/>
  <c r="AB25" i="37"/>
  <c r="AC31" i="40"/>
  <c r="W31" i="40"/>
  <c r="W33" i="40"/>
  <c r="AC33" i="40"/>
  <c r="AA38" i="40"/>
  <c r="S38" i="40"/>
  <c r="AZ314" i="3"/>
  <c r="AZ362" i="3"/>
  <c r="AZ324" i="3"/>
  <c r="AZ569" i="3"/>
  <c r="AZ577" i="3"/>
  <c r="AZ557" i="3"/>
  <c r="AZ516" i="3"/>
  <c r="AZ524" i="3"/>
  <c r="AZ532" i="3"/>
  <c r="AZ536" i="3"/>
  <c r="AZ544" i="3"/>
  <c r="AZ554" i="3"/>
  <c r="AZ558" i="3"/>
  <c r="AZ582" i="3"/>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BL316" i="3"/>
  <c r="G318" i="3"/>
  <c r="G329" i="3"/>
  <c r="BA331" i="3"/>
  <c r="AZ331" i="3" s="1"/>
  <c r="BL332" i="3"/>
  <c r="G334" i="3"/>
  <c r="BL346" i="3"/>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AZ226" i="3" s="1"/>
  <c r="H48" i="43"/>
  <c r="H50" i="43"/>
  <c r="H75" i="43"/>
  <c r="AC11" i="39"/>
  <c r="F29" i="6"/>
  <c r="AZ330" i="3"/>
  <c r="AZ327" i="3"/>
  <c r="AZ315" i="3"/>
  <c r="AZ310" i="3"/>
  <c r="AZ371" i="3"/>
  <c r="AZ346" i="3"/>
  <c r="AZ336" i="3"/>
  <c r="AZ329" i="3"/>
  <c r="AZ321" i="3"/>
  <c r="AZ304" i="3"/>
  <c r="AZ139" i="3"/>
  <c r="AZ340" i="3"/>
  <c r="AZ308" i="3"/>
  <c r="AA25" i="21"/>
  <c r="U43" i="33"/>
  <c r="AA41" i="34"/>
  <c r="AZ521" i="3"/>
  <c r="AZ581" i="3"/>
  <c r="BL586" i="3"/>
  <c r="BL585" i="3"/>
  <c r="AZ585" i="3" s="1"/>
  <c r="G574" i="3"/>
  <c r="G558" i="3"/>
  <c r="AZ402" i="3"/>
  <c r="AZ418" i="3"/>
  <c r="AZ434" i="3"/>
  <c r="AZ443" i="3"/>
  <c r="AZ445" i="3"/>
  <c r="AZ446" i="3"/>
  <c r="AZ449" i="3"/>
  <c r="AZ450" i="3"/>
  <c r="AZ459" i="3"/>
  <c r="AZ461" i="3"/>
  <c r="AZ462" i="3"/>
  <c r="AZ476" i="3"/>
  <c r="AZ477" i="3"/>
  <c r="AZ480" i="3"/>
  <c r="AZ481" i="3"/>
  <c r="AZ316" i="3"/>
  <c r="AZ332" i="3"/>
  <c r="AZ395" i="3"/>
  <c r="AZ208" i="3"/>
  <c r="AZ211" i="3"/>
  <c r="AZ217" i="3"/>
  <c r="AZ220" i="3"/>
  <c r="AZ242" i="3"/>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BA141" i="3"/>
  <c r="AZ141" i="3" s="1"/>
  <c r="BA142" i="3"/>
  <c r="AZ142" i="3" s="1"/>
  <c r="BL143" i="3"/>
  <c r="AZ143" i="3" s="1"/>
  <c r="BA145" i="3"/>
  <c r="AZ145" i="3" s="1"/>
  <c r="BA146" i="3"/>
  <c r="AZ146" i="3" s="1"/>
  <c r="BA148" i="3"/>
  <c r="AZ148" i="3" s="1"/>
  <c r="BL149" i="3"/>
  <c r="G152" i="3"/>
  <c r="BL154" i="3"/>
  <c r="AZ154" i="3" s="1"/>
  <c r="BA156" i="3"/>
  <c r="AZ156" i="3" s="1"/>
  <c r="AZ258" i="3"/>
  <c r="AZ262"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L48" i="67"/>
  <c r="F9" i="15"/>
  <c r="M6" i="15"/>
  <c r="F37" i="15"/>
  <c r="F38" i="67"/>
  <c r="F8" i="67"/>
  <c r="M6" i="67"/>
  <c r="F37" i="67"/>
  <c r="M22" i="15"/>
  <c r="J15" i="67"/>
  <c r="F38" i="15"/>
  <c r="F36" i="67"/>
  <c r="M24" i="67"/>
  <c r="F8" i="15"/>
  <c r="M28" i="67"/>
  <c r="M23" i="15"/>
  <c r="F43" i="67"/>
  <c r="L48" i="15"/>
  <c r="C76" i="67"/>
  <c r="M26" i="67"/>
  <c r="F6" i="15"/>
  <c r="L47" i="15"/>
  <c r="L47" i="67"/>
  <c r="F40" i="67"/>
  <c r="M29" i="15"/>
  <c r="F6" i="67"/>
  <c r="F42" i="15"/>
  <c r="M9" i="67"/>
  <c r="F16" i="67"/>
  <c r="F13" i="15"/>
  <c r="F43" i="15"/>
  <c r="G1" i="73"/>
  <c r="F26" i="67"/>
  <c r="F36" i="15"/>
  <c r="F16" i="15"/>
  <c r="F7" i="15"/>
  <c r="J15" i="15"/>
  <c r="M22" i="67"/>
  <c r="F42" i="67"/>
  <c r="F26" i="15"/>
  <c r="M23" i="67"/>
  <c r="M8" i="15"/>
  <c r="M29" i="67"/>
  <c r="F13" i="67"/>
  <c r="F40" i="15"/>
  <c r="M26" i="15"/>
  <c r="M24" i="15"/>
  <c r="F7" i="67"/>
  <c r="C76" i="15"/>
  <c r="M8" i="67"/>
  <c r="M28" i="15"/>
  <c r="F9" i="67"/>
  <c r="M9" i="15"/>
  <c r="F53" i="9" l="1"/>
  <c r="F48" i="9"/>
  <c r="O52" i="9" s="1"/>
  <c r="C10" i="15"/>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C16" i="67"/>
  <c r="C16" i="15"/>
  <c r="F59" i="67"/>
  <c r="C17" i="15"/>
  <c r="F59" i="15"/>
  <c r="F31" i="15"/>
  <c r="F31" i="67"/>
  <c r="M17" i="67"/>
  <c r="M17" i="15"/>
  <c r="K16" i="1" l="1"/>
  <c r="AQ7" i="1"/>
  <c r="S5" i="43"/>
  <c r="S7" i="43"/>
  <c r="S4" i="43"/>
  <c r="S6" i="43"/>
  <c r="S3" i="43"/>
  <c r="C23" i="43"/>
  <c r="C21" i="43" s="1"/>
  <c r="S2" i="4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B6" i="76"/>
  <c r="F35" i="67"/>
  <c r="M21"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D2" i="35"/>
  <c r="D2" i="34"/>
  <c r="F20" i="31"/>
  <c r="D2" i="36"/>
  <c r="D2" i="37"/>
  <c r="E2" i="68"/>
  <c r="D2" i="33"/>
  <c r="D2" i="21"/>
  <c r="B20" i="31" l="1"/>
  <c r="B2" i="36"/>
  <c r="B3" i="36" s="1"/>
  <c r="B2" i="35"/>
  <c r="B3" i="35" s="1"/>
  <c r="B2" i="37"/>
  <c r="B3" i="37" s="1"/>
  <c r="B2" i="34"/>
  <c r="B3" i="34" s="1"/>
  <c r="B2" i="21"/>
  <c r="B3" i="21" s="1"/>
  <c r="B2" i="70"/>
  <c r="B3" i="70" s="1"/>
  <c r="B3" i="68"/>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F7" i="39"/>
  <c r="S7" i="39" s="1"/>
  <c r="H7" i="39"/>
  <c r="AB7" i="39" s="1"/>
  <c r="W7" i="39" l="1"/>
  <c r="U7" i="39"/>
  <c r="AA7" i="39"/>
  <c r="D35" i="9"/>
  <c r="D59" i="9" l="1"/>
  <c r="M55" i="9" s="1"/>
  <c r="AD3" i="71" l="1"/>
  <c r="P21" i="43" s="1"/>
  <c r="P22" i="43" l="1"/>
  <c r="P23" i="43"/>
  <c r="B71" i="39" s="1"/>
  <c r="P24" i="43"/>
  <c r="B66" i="40" s="1"/>
  <c r="P25" i="43"/>
  <c r="G23" i="9" l="1"/>
  <c r="G22" i="9" l="1"/>
  <c r="E46" i="39" s="1"/>
  <c r="I46" i="39" l="1"/>
  <c r="G46" i="39"/>
  <c r="R46" i="39"/>
  <c r="R47" i="39" s="1"/>
  <c r="E47" i="39" l="1"/>
  <c r="E53" i="39"/>
  <c r="F53" i="39" s="1"/>
  <c r="T46" i="39"/>
  <c r="T47" i="39" s="1"/>
  <c r="G47" i="39" s="1"/>
  <c r="G53" i="39"/>
  <c r="H53" i="39" s="1"/>
  <c r="I53" i="39"/>
  <c r="J53" i="39" s="1"/>
  <c r="V46" i="39"/>
  <c r="V47" i="39" s="1"/>
  <c r="I47" i="39" s="1"/>
  <c r="I52" i="39" l="1"/>
  <c r="J52" i="39" s="1"/>
  <c r="G52" i="39"/>
  <c r="H52" i="39" s="1"/>
  <c r="R48" i="39"/>
  <c r="I51" i="39"/>
  <c r="J51" i="39" s="1"/>
  <c r="G51" i="39"/>
  <c r="H51" i="39" s="1"/>
  <c r="E52" i="39"/>
  <c r="F52" i="39" s="1"/>
  <c r="E51" i="39"/>
  <c r="F51" i="39" s="1"/>
  <c r="C47" i="39" l="1"/>
  <c r="C48" i="39"/>
  <c r="B60" i="39" l="1"/>
  <c r="F60" i="39" s="1"/>
  <c r="B57" i="39"/>
  <c r="F57" i="39" s="1"/>
  <c r="B61" i="39"/>
  <c r="F61" i="39" s="1"/>
  <c r="B65" i="39"/>
  <c r="F65" i="39" s="1"/>
  <c r="B62" i="39"/>
  <c r="F62" i="39" s="1"/>
  <c r="B59" i="39"/>
  <c r="F59" i="39" s="1"/>
  <c r="B63" i="39"/>
  <c r="F63" i="39" s="1"/>
  <c r="B58" i="39"/>
  <c r="F58" i="39" s="1"/>
  <c r="B56" i="39"/>
  <c r="F56" i="39" s="1"/>
  <c r="F66" i="39" s="1"/>
  <c r="B2" i="39" s="1"/>
  <c r="B64" i="39"/>
  <c r="F64" i="39" s="1"/>
  <c r="C19" i="9"/>
  <c r="D19" i="9"/>
  <c r="D102" i="9" l="1"/>
  <c r="D21" i="9"/>
  <c r="C102" i="9"/>
  <c r="C21" i="9"/>
  <c r="D22" i="9"/>
  <c r="G19" i="9"/>
  <c r="B3" i="39"/>
  <c r="D20" i="9"/>
  <c r="C20" i="9"/>
  <c r="C103" i="9" l="1"/>
  <c r="G20" i="9"/>
  <c r="D103" i="9"/>
  <c r="C32" i="9"/>
  <c r="G21" i="9"/>
  <c r="H118" i="9" l="1"/>
  <c r="C35" i="9"/>
  <c r="F118" i="9" s="1"/>
  <c r="C34" i="9"/>
  <c r="D118" i="9" s="1"/>
  <c r="D4" i="52" l="1"/>
  <c r="B47" i="72" s="1"/>
  <c r="D119" i="9"/>
  <c r="D5" i="52" s="1"/>
  <c r="B49" i="72" s="1"/>
  <c r="G118" i="9"/>
  <c r="G4" i="52" s="1"/>
  <c r="B52" i="72" s="1"/>
  <c r="F119" i="9"/>
  <c r="F5" i="52" s="1"/>
  <c r="B53" i="72" s="1"/>
  <c r="F4" i="52"/>
  <c r="B51" i="72" s="1"/>
  <c r="D14" i="74"/>
  <c r="I118" i="9"/>
  <c r="H4" i="52"/>
  <c r="C104" i="9"/>
  <c r="H119" i="9"/>
  <c r="H5" i="52" s="1"/>
  <c r="H101" i="9"/>
  <c r="F14" i="74" l="1"/>
  <c r="B5" i="74"/>
  <c r="E14" i="74"/>
  <c r="M48" i="9"/>
  <c r="D45" i="9"/>
  <c r="D5" i="53"/>
  <c r="H107" i="9"/>
  <c r="C105" i="9"/>
  <c r="I4" i="52"/>
  <c r="H102" i="9"/>
  <c r="D7" i="53" s="1"/>
  <c r="B21" i="72" s="1"/>
  <c r="E118" i="9"/>
  <c r="E4" i="52" s="1"/>
  <c r="B48" i="72" s="1"/>
  <c r="B20" i="72" l="1"/>
  <c r="D6" i="53"/>
  <c r="B22" i="72" s="1"/>
  <c r="C5" i="74"/>
  <c r="D5" i="74"/>
  <c r="H108" i="9"/>
  <c r="D15" i="53" s="1"/>
  <c r="B31" i="72" s="1"/>
  <c r="M49" i="9"/>
  <c r="D13" i="53"/>
  <c r="D122" i="9"/>
  <c r="D55" i="9"/>
  <c r="M53" i="9" s="1"/>
  <c r="C64" i="9"/>
  <c r="C63" i="9" s="1"/>
  <c r="C67" i="9" s="1"/>
  <c r="C68" i="9" s="1"/>
  <c r="D54" i="9" s="1"/>
  <c r="C85" i="9"/>
  <c r="C72" i="9"/>
  <c r="D52" i="9"/>
  <c r="C78" i="9"/>
  <c r="C73" i="9" s="1"/>
  <c r="D53" i="9"/>
  <c r="D48" i="9" s="1"/>
  <c r="M52" i="9" s="1"/>
  <c r="C93" i="9"/>
  <c r="C86" i="9" s="1"/>
  <c r="C79" i="9" l="1"/>
  <c r="G14" i="74"/>
  <c r="B6" i="74" s="1"/>
  <c r="D123" i="9"/>
  <c r="D9" i="52" s="1"/>
  <c r="D8" i="52"/>
  <c r="L64" i="9"/>
  <c r="M64" i="9" s="1"/>
  <c r="L67" i="9"/>
  <c r="M67" i="9" s="1"/>
  <c r="L65" i="9"/>
  <c r="M65" i="9" s="1"/>
  <c r="L63" i="9"/>
  <c r="M63" i="9" s="1"/>
  <c r="L68" i="9"/>
  <c r="M68" i="9" s="1"/>
  <c r="L66" i="9"/>
  <c r="M66" i="9" s="1"/>
  <c r="C95" i="9"/>
  <c r="B30" i="72"/>
  <c r="D14" i="53"/>
  <c r="B32" i="72" s="1"/>
  <c r="C96" i="9" l="1"/>
  <c r="E96" i="9" s="1"/>
  <c r="E97" i="9" s="1"/>
  <c r="M69" i="9"/>
  <c r="N69" i="9" s="1"/>
  <c r="D6" i="74"/>
  <c r="C6" i="74"/>
  <c r="C80" i="9"/>
  <c r="E80" i="9" s="1"/>
  <c r="E81" i="9" s="1"/>
  <c r="C81" i="9" l="1"/>
  <c r="C97" i="9"/>
  <c r="D58" i="9" s="1"/>
  <c r="D56" i="9" s="1"/>
  <c r="M54" i="9" s="1"/>
  <c r="N57" i="9" s="1"/>
  <c r="N58" i="9" l="1"/>
  <c r="P57" i="9"/>
  <c r="N59" i="9"/>
  <c r="H111" i="9" l="1"/>
  <c r="N60" i="9"/>
  <c r="N61" i="9"/>
  <c r="H112" i="9" s="1"/>
  <c r="D21" i="53" s="1"/>
  <c r="B39" i="72" s="1"/>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<sst xmlns="http://schemas.openxmlformats.org/spreadsheetml/2006/main" count="7835" uniqueCount="3334">
  <si>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</si>
  <si>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</si>
  <si>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</si>
  <si>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</si>
  <si>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</si>
  <si>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</si>
  <si>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</si>
  <si>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</si>
  <si>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</si>
  <si>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</si>
  <si>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</si>
  <si>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</si>
  <si>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</si>
  <si>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</si>
  <si>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</si>
  <si>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</si>
  <si>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</si>
  <si>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</si>
  <si>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</si>
  <si>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</si>
  <si>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</si>
  <si>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</si>
  <si>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</si>
  <si>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</si>
  <si>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</si>
  <si>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</si>
  <si>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</si>
  <si>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</si>
  <si>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</si>
  <si>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</si>
  <si>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</si>
  <si>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</si>
  <si>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</si>
  <si>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</si>
  <si>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</si>
  <si>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</si>
  <si>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</si>
  <si>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</si>
  <si>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</si>
  <si>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</si>
  <si>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</si>
  <si>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</si>
  <si>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</si>
  <si>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</si>
  <si>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</si>
  <si>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</si>
  <si>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</si>
  <si>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</si>
  <si>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</si>
  <si>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</si>
  <si>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</si>
  <si>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</si>
  <si>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</si>
  <si>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</si>
  <si>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</si>
  <si>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</si>
  <si>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</si>
  <si>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</si>
  <si>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</si>
  <si>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</si>
  <si>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</si>
  <si>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</si>
  <si>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</si>
  <si>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</si>
  <si>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</si>
  <si>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</si>
  <si>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</si>
  <si>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</si>
  <si>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</si>
  <si>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</si>
  <si>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</si>
  <si>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</si>
  <si>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</si>
  <si>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</si>
  <si>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</si>
  <si>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</si>
  <si>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</si>
  <si>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</si>
  <si>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</si>
  <si>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</si>
  <si>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</si>
  <si>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</si>
  <si>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</si>
  <si>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</si>
  <si>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</si>
  <si>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</si>
  <si>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</si>
  <si>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</si>
  <si>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</si>
  <si>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</si>
  <si>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</si>
  <si>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</si>
  <si>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</si>
  <si>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</si>
  <si>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</si>
  <si>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</si>
  <si>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</si>
  <si>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</si>
  <si>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</si>
  <si>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</si>
  <si>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</si>
  <si>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</si>
  <si>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</si>
  <si>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</si>
  <si>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</si>
  <si>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</si>
  <si>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</si>
  <si>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</si>
  <si>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</si>
  <si>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</si>
  <si>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</si>
  <si>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</si>
  <si>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</si>
  <si>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</si>
  <si>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</si>
  <si>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</si>
  <si>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</si>
  <si>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</si>
  <si>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</si>
  <si>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</si>
  <si>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</si>
  <si>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</si>
  <si>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</si>
  <si>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</si>
  <si>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</si>
  <si>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</si>
  <si>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</si>
  <si>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</si>
  <si>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</si>
  <si>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</si>
  <si>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</si>
  <si>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</si>
  <si>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</si>
  <si>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</si>
  <si>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</si>
  <si>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</si>
  <si>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</si>
  <si>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</si>
  <si>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</si>
  <si>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</si>
  <si>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</si>
  <si>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</si>
  <si>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</si>
  <si>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</si>
  <si>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</si>
  <si>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</si>
  <si>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</si>
  <si>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</si>
  <si>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</si>
  <si>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</si>
  <si>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</si>
  <si>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</si>
  <si>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</si>
  <si>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</si>
  <si>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</si>
  <si>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</si>
  <si>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</si>
  <si>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</si>
  <si>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</si>
  <si>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</si>
  <si>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</si>
  <si>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</si>
  <si>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</si>
  <si>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</si>
  <si>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</si>
  <si>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</si>
  <si>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</si>
  <si>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</si>
  <si>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</si>
  <si>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</si>
  <si>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</si>
  <si>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</si>
  <si>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</si>
  <si>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</si>
  <si>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</si>
  <si>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</si>
  <si>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</si>
  <si>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</si>
  <si>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</si>
  <si>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</si>
  <si>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</si>
  <si>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</si>
  <si>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</si>
  <si>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</si>
  <si>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</si>
  <si>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</si>
  <si>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</si>
  <si>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</si>
  <si>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</si>
  <si>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</si>
  <si>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</si>
  <si>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</si>
  <si>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</si>
  <si>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</si>
  <si>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</si>
  <si>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</si>
  <si>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</si>
  <si>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</si>
  <si>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</si>
  <si>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</si>
  <si>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</si>
  <si>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</si>
  <si>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</si>
  <si>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</si>
  <si>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</si>
  <si>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</si>
  <si>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</si>
  <si>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</si>
  <si>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</si>
  <si>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</si>
  <si>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</si>
  <si>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</si>
  <si>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</si>
  <si>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</si>
  <si>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</si>
  <si>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</si>
  <si>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</si>
  <si>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</si>
  <si>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</si>
  <si>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</si>
  <si>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</si>
  <si>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</si>
  <si>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</si>
  <si>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</si>
  <si>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</si>
  <si>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</si>
  <si>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</si>
  <si>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</si>
  <si>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</si>
  <si>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</si>
  <si>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</si>
  <si>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</si>
  <si>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</si>
  <si>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</si>
  <si>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</si>
  <si>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</si>
  <si>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</si>
  <si>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</si>
  <si>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</si>
  <si>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</si>
  <si>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</si>
  <si>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</si>
  <si>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</si>
  <si>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</si>
  <si>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</si>
  <si>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</si>
  <si>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</si>
  <si>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</si>
  <si>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</si>
  <si>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</si>
  <si>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</si>
  <si>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</si>
  <si>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</si>
  <si>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</si>
  <si>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</si>
  <si>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</si>
  <si>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</si>
  <si>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</si>
  <si>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</si>
  <si>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</si>
  <si>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</si>
  <si>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</si>
  <si>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</si>
  <si>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</si>
  <si>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</si>
  <si>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</si>
  <si>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</si>
  <si>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</si>
  <si>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</si>
  <si>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</si>
  <si>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</si>
  <si>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</si>
  <si>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</si>
  <si>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</si>
  <si>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</si>
  <si>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</si>
  <si>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</si>
  <si>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</si>
  <si>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</si>
  <si>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</si>
  <si>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</si>
  <si>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</si>
  <si>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</si>
  <si>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</si>
  <si>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</si>
  <si>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</si>
  <si>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</si>
  <si>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</si>
  <si>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</si>
  <si>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</si>
  <si>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</si>
  <si>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</si>
  <si>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</si>
  <si>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</si>
  <si>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</si>
  <si>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</si>
  <si>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</si>
  <si>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</si>
  <si>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</si>
  <si>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</si>
  <si>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</si>
  <si>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</si>
  <si>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</si>
  <si>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</si>
  <si>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</si>
  <si>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</si>
  <si>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</si>
  <si>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</si>
  <si>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</si>
  <si>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</si>
  <si>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</si>
  <si>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</si>
  <si>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</si>
  <si>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</si>
  <si>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</si>
  <si>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</si>
  <si>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</si>
  <si>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</si>
  <si>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</si>
  <si>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</si>
  <si>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</si>
  <si>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</si>
  <si>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</si>
  <si>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</si>
  <si>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</si>
  <si>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</si>
  <si>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</si>
  <si>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</si>
  <si>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</si>
  <si>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</si>
  <si>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</si>
  <si>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</si>
  <si>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</si>
  <si>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</si>
  <si>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</si>
  <si>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</si>
  <si>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</si>
  <si>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</si>
  <si>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</si>
  <si>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</si>
  <si>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</si>
  <si>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</si>
  <si>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</si>
  <si>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</si>
  <si>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</si>
  <si>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</si>
  <si>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</si>
  <si>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</si>
  <si>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</si>
  <si>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</si>
  <si>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</si>
  <si>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</si>
  <si>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</si>
  <si>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</si>
  <si>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</si>
  <si>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</si>
  <si>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</si>
  <si>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</si>
  <si>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</si>
  <si>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</si>
  <si>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</si>
  <si>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</si>
  <si>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</si>
  <si>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</si>
  <si>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</si>
  <si>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</si>
  <si>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</si>
  <si>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</si>
  <si>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</si>
  <si>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</si>
  <si>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</si>
  <si>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</si>
  <si>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</si>
  <si>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</si>
  <si>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</si>
  <si>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</si>
  <si>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</si>
  <si>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</si>
  <si>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</si>
  <si>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</si>
  <si>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</si>
  <si>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</si>
  <si>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</si>
  <si>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</si>
  <si>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</si>
  <si>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</si>
  <si>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</si>
  <si>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</si>
  <si>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</si>
  <si>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</si>
  <si>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</si>
  <si>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</si>
  <si>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</si>
  <si>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</si>
  <si>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</si>
  <si>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</si>
  <si>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</si>
  <si>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</si>
  <si>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</si>
  <si>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</si>
  <si>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</si>
  <si>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</si>
  <si>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</si>
  <si>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</si>
  <si>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</si>
  <si>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</si>
  <si>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</si>
  <si>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</si>
  <si>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</si>
  <si>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</si>
  <si>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</si>
  <si>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</si>
  <si>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</si>
  <si>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</si>
  <si>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</si>
  <si>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</si>
  <si>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</si>
  <si>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</si>
  <si>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</si>
  <si>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</si>
  <si>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</si>
  <si>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</si>
  <si>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</si>
  <si>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</si>
  <si>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</si>
  <si>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</si>
  <si>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</si>
  <si>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</si>
  <si>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</si>
  <si>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</si>
  <si>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</si>
  <si>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</si>
  <si>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</si>
  <si>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</si>
  <si>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</si>
  <si>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</si>
  <si>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</si>
  <si>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</si>
  <si>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</si>
  <si>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</si>
  <si>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</si>
  <si>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</si>
  <si>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</si>
  <si>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</si>
  <si>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</si>
  <si>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</si>
  <si>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</si>
  <si>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</si>
  <si>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</si>
  <si>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</si>
  <si>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</si>
  <si>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</si>
  <si>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</si>
  <si>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</si>
  <si>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</si>
  <si>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</si>
  <si>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</si>
  <si>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</si>
  <si>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</si>
  <si>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</si>
  <si>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</si>
  <si>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</si>
  <si>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</si>
  <si>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</si>
  <si>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</si>
  <si>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</si>
  <si>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</si>
  <si>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</si>
  <si>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</si>
  <si>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</si>
  <si>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</si>
  <si>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</si>
  <si>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</si>
  <si>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</si>
  <si>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</si>
  <si>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</si>
  <si>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</si>
  <si>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</si>
  <si>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</si>
  <si>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</si>
  <si>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</si>
  <si>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</si>
  <si>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</si>
  <si>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</si>
  <si>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</si>
  <si>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</si>
  <si>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</si>
  <si>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</si>
  <si>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</si>
  <si>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</si>
  <si>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</si>
  <si>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</si>
  <si>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</si>
  <si>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</si>
  <si>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</si>
  <si>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</si>
  <si>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</si>
  <si>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</si>
  <si>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</si>
  <si>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</si>
  <si>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</si>
  <si>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</si>
  <si>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</si>
  <si>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</si>
  <si>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</si>
  <si>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</si>
  <si>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</si>
  <si>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</si>
  <si>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</si>
  <si>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</si>
  <si>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</si>
  <si>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</si>
  <si>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</si>
  <si>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</si>
  <si>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</si>
  <si>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</si>
  <si>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</si>
  <si>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</si>
  <si>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</si>
  <si>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</si>
  <si>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</si>
  <si>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</si>
  <si>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</si>
  <si>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</si>
  <si>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</si>
  <si>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</si>
  <si>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</si>
  <si>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</si>
  <si>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</si>
  <si>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</si>
  <si>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</si>
  <si>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</si>
  <si>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</si>
  <si>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</si>
  <si>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</si>
  <si>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</si>
  <si>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</si>
  <si>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</si>
  <si>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</si>
  <si>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</si>
  <si>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</si>
  <si>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</si>
  <si>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</si>
  <si>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</si>
  <si>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</si>
  <si>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</si>
  <si>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</si>
  <si>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</si>
  <si>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</si>
  <si>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</si>
  <si>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</si>
  <si>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</si>
  <si>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</si>
  <si>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</si>
  <si>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</si>
  <si>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</si>
  <si>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</si>
  <si>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</si>
  <si>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</si>
  <si>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</si>
  <si>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</si>
  <si>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</si>
  <si>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</si>
  <si>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</si>
  <si>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</si>
  <si>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</si>
  <si>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</si>
  <si>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</si>
  <si>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</si>
  <si>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</si>
  <si>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</si>
  <si>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</si>
  <si>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</si>
  <si>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</si>
  <si>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</si>
  <si>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</si>
  <si>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</si>
  <si>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</si>
  <si>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</si>
  <si>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</si>
  <si>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</si>
  <si>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</si>
  <si>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</si>
  <si>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</si>
  <si>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</si>
  <si>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</si>
  <si>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</si>
  <si>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</si>
  <si>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</si>
  <si>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</si>
  <si>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</si>
  <si>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</si>
  <si>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</si>
  <si>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</si>
  <si>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</si>
  <si>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</si>
  <si>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</si>
  <si>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</si>
  <si>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</si>
  <si>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</si>
  <si>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</si>
  <si>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</si>
  <si>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</si>
  <si>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</si>
  <si>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</si>
  <si>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</si>
  <si>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</si>
  <si>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</si>
  <si>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</si>
  <si>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</si>
  <si>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</si>
  <si>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</si>
  <si>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</si>
  <si>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</si>
  <si>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</si>
  <si>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</si>
  <si>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</si>
  <si>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</si>
  <si>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</si>
  <si>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</si>
  <si>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</si>
  <si>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</si>
  <si>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</si>
  <si>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</si>
  <si>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</si>
  <si>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</si>
  <si>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</si>
  <si>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</si>
  <si>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</si>
  <si>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</si>
  <si>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</si>
  <si>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</si>
  <si>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</si>
  <si>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</si>
  <si>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</si>
  <si>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</si>
  <si>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</si>
  <si>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</si>
  <si>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</si>
  <si>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</si>
  <si>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</si>
  <si>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</si>
  <si>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</si>
  <si>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</si>
  <si>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</si>
  <si>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</si>
  <si>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</si>
  <si>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</si>
  <si>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</si>
  <si>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</si>
  <si>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</si>
  <si>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</si>
  <si>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</si>
  <si>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</si>
  <si>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</si>
  <si>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</si>
  <si>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</si>
  <si>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</si>
  <si>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</si>
  <si>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</si>
  <si>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</si>
  <si>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</si>
  <si>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</si>
  <si>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</si>
  <si>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</si>
  <si>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</si>
  <si>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</si>
  <si>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</si>
  <si>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</si>
  <si>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</si>
  <si>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</si>
  <si>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</si>
  <si>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</si>
  <si>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</si>
  <si>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</si>
  <si>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</si>
  <si>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</si>
  <si>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</si>
  <si>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</si>
  <si>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</si>
  <si>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</si>
  <si>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</si>
  <si>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</si>
  <si>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</si>
  <si>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</si>
  <si>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</si>
  <si>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</si>
  <si>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</si>
  <si>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</si>
  <si>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</si>
  <si>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</si>
  <si>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</si>
  <si>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</si>
  <si>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</si>
  <si>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</si>
  <si>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</si>
  <si>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</si>
  <si>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</si>
  <si>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</si>
  <si>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</si>
  <si>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</si>
  <si>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</si>
  <si>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</si>
  <si>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</si>
  <si>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</si>
  <si>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</si>
  <si>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</si>
  <si>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</si>
  <si>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</si>
  <si>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</si>
  <si>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</si>
  <si>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</si>
  <si>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</si>
  <si>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</si>
  <si>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</si>
  <si>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</si>
  <si>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</si>
  <si>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</si>
  <si>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</si>
  <si>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</si>
  <si>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</si>
  <si>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</si>
  <si>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</si>
  <si>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</si>
  <si>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</si>
  <si>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</si>
  <si>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</si>
  <si>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</si>
  <si>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</si>
  <si>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</si>
  <si>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</si>
  <si>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</si>
  <si>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</si>
  <si>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</si>
  <si>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</si>
  <si>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</si>
  <si>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</si>
  <si>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</si>
  <si>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</si>
  <si>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</si>
  <si>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</si>
  <si>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</si>
  <si>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</si>
  <si>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</si>
  <si>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</si>
  <si>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</si>
  <si>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</si>
  <si>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</si>
  <si>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</si>
  <si>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</si>
  <si>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</si>
  <si>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</si>
  <si>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</si>
  <si>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</si>
  <si>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</si>
  <si>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</si>
  <si>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</si>
  <si>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</si>
  <si>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</si>
  <si>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</si>
  <si>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</si>
  <si>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</si>
  <si>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</si>
  <si>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</si>
  <si>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</si>
  <si>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</si>
  <si>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</si>
  <si>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</si>
  <si>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</si>
  <si>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</si>
  <si>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</si>
  <si>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</si>
  <si>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</si>
  <si>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</si>
  <si>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</si>
  <si>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</si>
  <si>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</si>
  <si>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</si>
  <si>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</si>
  <si>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</si>
  <si>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</si>
  <si>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</si>
  <si>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</si>
  <si>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</si>
  <si>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</si>
  <si>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</si>
  <si>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</si>
  <si>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</si>
  <si>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</si>
  <si>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</si>
  <si>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</si>
  <si>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</si>
  <si>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</si>
  <si>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</si>
  <si>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</si>
  <si>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</si>
  <si>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</si>
  <si>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</si>
  <si>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</si>
  <si>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</si>
  <si>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</si>
  <si>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</si>
  <si>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</si>
  <si>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</si>
  <si>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</si>
  <si>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</si>
  <si>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</si>
  <si>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</si>
  <si>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</si>
  <si>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</si>
  <si>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</si>
  <si>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</si>
  <si>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</si>
  <si>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</si>
  <si>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</si>
  <si>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</si>
  <si>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</si>
  <si>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</si>
  <si>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</si>
  <si>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</si>
  <si>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</si>
  <si>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</si>
  <si>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</si>
  <si>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</si>
  <si>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</si>
  <si>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</si>
  <si>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</si>
  <si>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</si>
  <si>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</si>
  <si>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</si>
  <si>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</si>
  <si>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</si>
  <si>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</si>
  <si>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</si>
  <si>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</si>
  <si>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</si>
  <si>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</si>
  <si>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</si>
  <si>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</si>
  <si>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</si>
  <si>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</si>
  <si>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</si>
  <si>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</si>
  <si>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</si>
  <si>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</si>
  <si>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</si>
  <si>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</si>
  <si>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</si>
  <si>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</si>
  <si>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</si>
  <si>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</si>
  <si>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</si>
  <si>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</si>
  <si>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</si>
  <si>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</si>
  <si>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</si>
  <si>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</si>
  <si>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</si>
  <si>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</si>
  <si>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</si>
  <si>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</si>
  <si>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</si>
  <si>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</si>
  <si>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</si>
  <si>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</si>
  <si>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</si>
  <si>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</si>
  <si>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</si>
  <si>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</si>
  <si>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</si>
  <si>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</si>
  <si>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</si>
  <si>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</si>
  <si>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</si>
  <si>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</si>
  <si>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</si>
  <si>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</si>
  <si>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</si>
  <si>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</si>
  <si>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</si>
  <si>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</si>
  <si>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</si>
  <si>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</si>
  <si>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</si>
  <si>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</si>
  <si>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</si>
  <si>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</si>
  <si>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</si>
  <si>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</si>
  <si>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</si>
  <si>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</si>
  <si>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</si>
  <si>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</si>
  <si>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</si>
  <si>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</si>
  <si>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</si>
  <si>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</si>
  <si>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</si>
  <si>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</si>
  <si>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</si>
  <si>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</si>
  <si>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</si>
  <si>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</si>
  <si>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</si>
  <si>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</si>
  <si>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</si>
  <si>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</si>
  <si>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</si>
  <si>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</si>
  <si>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</si>
  <si>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</si>
  <si>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</si>
  <si>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</si>
  <si>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</si>
  <si>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</si>
  <si>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</si>
  <si>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</si>
  <si>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</si>
  <si>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</si>
  <si>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</si>
  <si>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</si>
  <si>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</si>
  <si>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</si>
  <si>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</si>
  <si>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</si>
  <si>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</si>
  <si>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</si>
  <si>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</si>
  <si>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</si>
  <si>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</si>
  <si>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</si>
  <si>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</si>
  <si>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</si>
  <si>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</si>
  <si>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</si>
  <si>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</si>
  <si>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</si>
  <si>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</si>
  <si>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</si>
  <si>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</si>
  <si>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</si>
  <si>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</si>
  <si>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</si>
  <si>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</si>
  <si>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</si>
  <si>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</si>
  <si>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</si>
  <si>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</si>
  <si>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</si>
  <si>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</si>
  <si>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</si>
  <si>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</si>
  <si>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</si>
  <si>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</si>
  <si>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</si>
  <si>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</si>
  <si>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</si>
  <si>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</si>
  <si>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</si>
  <si>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</si>
  <si>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</si>
  <si>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</si>
  <si>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</si>
  <si>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</si>
  <si>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</si>
  <si>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</si>
  <si>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</si>
  <si>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</si>
  <si>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</si>
  <si>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</si>
  <si>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</si>
  <si>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</si>
  <si>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</si>
  <si>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</si>
  <si>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</si>
  <si>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</si>
  <si>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</si>
  <si>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</si>
  <si>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</si>
  <si>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</si>
  <si>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</si>
  <si>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</si>
  <si>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</si>
  <si>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</si>
  <si>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</si>
  <si>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</si>
  <si>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</si>
  <si>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</si>
  <si>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</si>
  <si>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</si>
  <si>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</si>
  <si>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</si>
  <si>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</si>
  <si>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</si>
  <si>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</si>
  <si>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</si>
  <si>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</si>
  <si>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</si>
  <si>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</si>
  <si>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</si>
  <si>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</si>
  <si>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</si>
  <si>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</si>
  <si>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</si>
  <si>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</si>
  <si>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</si>
  <si>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</si>
  <si>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</si>
  <si>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</si>
  <si>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</si>
  <si>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</si>
  <si>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</si>
  <si>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</si>
  <si>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</si>
  <si>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</si>
  <si>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</si>
  <si>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</si>
  <si>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</si>
  <si>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</si>
  <si>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</si>
  <si>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</si>
  <si>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</si>
  <si>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</si>
  <si>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</si>
  <si>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</si>
  <si>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</si>
  <si>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</si>
  <si>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</si>
  <si>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</si>
  <si>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</si>
  <si>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</si>
  <si>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</si>
  <si>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</si>
  <si>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</si>
  <si>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</si>
  <si>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</si>
  <si>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</si>
  <si>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</si>
  <si>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</si>
  <si>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</si>
  <si>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</si>
  <si>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</si>
  <si>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</si>
  <si>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</si>
  <si>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</si>
  <si>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</si>
  <si>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</si>
  <si>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</si>
  <si>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</si>
  <si>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</si>
  <si>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</si>
  <si>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</si>
  <si>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</si>
  <si>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</si>
  <si>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</si>
  <si>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</si>
  <si>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</si>
  <si>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</si>
  <si>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</si>
  <si>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</si>
  <si>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</si>
  <si>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</si>
  <si>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</si>
  <si>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</si>
  <si>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</si>
  <si>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</si>
  <si>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</si>
  <si>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</si>
  <si>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</si>
  <si>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</si>
  <si>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</si>
  <si>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</si>
  <si>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</si>
  <si>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</si>
  <si>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</si>
  <si>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</si>
  <si>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</si>
  <si>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</si>
  <si>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</si>
  <si>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</si>
  <si>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</si>
  <si>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</si>
  <si>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</si>
  <si>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</si>
  <si>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</si>
  <si>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</si>
  <si>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</si>
  <si>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</si>
  <si>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</si>
  <si>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</si>
  <si>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</si>
  <si>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</si>
  <si>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</si>
  <si>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</si>
  <si>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</si>
  <si>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</si>
  <si>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</si>
  <si>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</si>
  <si>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</si>
  <si>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</si>
  <si>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</si>
  <si>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</si>
  <si>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</si>
  <si>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</si>
  <si>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</si>
  <si>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</si>
  <si>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</si>
  <si>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</si>
  <si>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</si>
  <si>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</si>
  <si>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</si>
  <si>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</si>
  <si>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</si>
  <si>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</si>
  <si>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</si>
  <si>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</si>
  <si>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</si>
  <si>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</si>
  <si>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</si>
  <si>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</si>
  <si>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</si>
  <si>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</si>
  <si>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</si>
  <si>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</si>
  <si>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</si>
  <si>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</si>
  <si>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</si>
  <si>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</si>
  <si>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</si>
  <si>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</si>
  <si>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</si>
  <si>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</si>
  <si>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</si>
  <si>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</si>
  <si>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</si>
  <si>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</si>
  <si>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</si>
  <si>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</si>
  <si>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</si>
  <si>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</si>
  <si>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</si>
  <si>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</si>
  <si>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</si>
  <si>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</si>
  <si>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</si>
  <si>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</si>
  <si>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</si>
  <si>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</si>
  <si>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</si>
  <si>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</si>
  <si>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</si>
  <si>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</si>
  <si>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</si>
  <si>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</si>
  <si>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</si>
  <si>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</si>
  <si>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</si>
  <si>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</si>
  <si>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</si>
  <si>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</si>
  <si>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</si>
  <si>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</si>
  <si>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</si>
  <si>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</si>
  <si>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</si>
  <si>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</si>
  <si>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</si>
  <si>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</si>
  <si>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</si>
  <si>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</si>
  <si>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</si>
  <si>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</si>
  <si>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</si>
  <si>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</si>
  <si>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</si>
  <si>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</si>
  <si>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</si>
  <si>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</si>
  <si>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</si>
  <si>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</si>
  <si>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</si>
  <si>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</si>
  <si>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</si>
  <si>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</si>
  <si>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</si>
  <si>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</si>
  <si>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</si>
  <si>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</si>
  <si>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</si>
  <si>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</si>
  <si>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</si>
  <si>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</si>
  <si>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</si>
  <si>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</si>
  <si>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</si>
  <si>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</si>
  <si>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</si>
  <si>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</si>
  <si>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</si>
  <si>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</si>
  <si>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</si>
  <si>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</si>
  <si>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</si>
  <si>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</si>
  <si>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</si>
  <si>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</si>
  <si>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</si>
  <si>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</si>
  <si>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</si>
  <si>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</si>
  <si>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</si>
  <si>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</si>
  <si>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</si>
  <si>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</si>
  <si>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</si>
  <si>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</si>
  <si>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</si>
  <si>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</si>
  <si>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</si>
  <si>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</si>
  <si>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</si>
  <si>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</si>
  <si>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</si>
  <si>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</si>
  <si>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</si>
  <si>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</si>
  <si>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</si>
  <si>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</si>
  <si>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</si>
  <si>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</si>
  <si>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</si>
  <si>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</si>
  <si>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</si>
  <si>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</si>
  <si>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</si>
  <si>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</si>
  <si>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</si>
  <si>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</si>
  <si>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</si>
  <si>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</si>
  <si>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</si>
  <si>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</si>
  <si>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</si>
  <si>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</si>
  <si>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</si>
  <si>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</si>
  <si>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</si>
  <si>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</si>
  <si>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</si>
  <si>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</si>
  <si>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</si>
  <si>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</si>
  <si>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</si>
  <si>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</si>
  <si>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</si>
  <si>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</si>
  <si>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</si>
  <si>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</si>
  <si>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</si>
  <si>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</si>
  <si>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</si>
  <si>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</si>
  <si>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</si>
  <si>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</si>
  <si>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</si>
  <si>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</si>
  <si>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</si>
  <si>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</si>
  <si>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</si>
  <si>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</si>
  <si>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</si>
  <si>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</si>
  <si>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</si>
  <si>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</si>
  <si>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</si>
  <si>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</si>
  <si>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</si>
  <si>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</si>
  <si>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</si>
  <si>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</si>
  <si>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</si>
  <si>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</si>
  <si>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</si>
  <si>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</si>
  <si>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</si>
  <si>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</si>
  <si>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</si>
  <si>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</si>
  <si>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</si>
  <si>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</si>
  <si>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</si>
  <si>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</si>
  <si>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</si>
  <si>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</si>
  <si>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</si>
  <si>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</si>
  <si>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</si>
  <si>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</si>
  <si>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</si>
  <si>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</si>
  <si>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</si>
  <si>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</si>
  <si>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</si>
  <si>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</si>
  <si>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</si>
  <si>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</si>
  <si>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</si>
  <si>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</si>
  <si>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</si>
  <si>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</si>
  <si>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</si>
  <si>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</si>
  <si>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</si>
  <si>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</si>
  <si>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</si>
  <si>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</si>
  <si>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</si>
  <si>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</si>
  <si>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</si>
  <si>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</si>
  <si>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</si>
  <si>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</si>
  <si>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</si>
  <si>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</si>
  <si>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</si>
  <si>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</si>
  <si>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</si>
  <si>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</si>
  <si>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</si>
  <si>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</si>
  <si>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</si>
  <si>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</si>
  <si>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</si>
  <si>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</si>
  <si>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</si>
  <si>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</si>
  <si>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</si>
  <si>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</si>
  <si>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</si>
  <si>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</si>
  <si>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</si>
  <si>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</si>
  <si>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</si>
  <si>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</si>
  <si>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</si>
  <si>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</si>
  <si>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</si>
  <si>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</si>
  <si>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</si>
  <si>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</si>
  <si>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</si>
  <si>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</si>
  <si>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</si>
  <si>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</si>
  <si>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</si>
  <si>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</si>
  <si>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</si>
  <si>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</si>
  <si>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</si>
  <si>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</si>
  <si>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</si>
  <si>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</si>
  <si>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</si>
  <si>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</si>
  <si>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</si>
  <si>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</si>
  <si>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</si>
  <si>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</si>
  <si>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</si>
  <si>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</si>
  <si>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</si>
  <si>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</si>
  <si>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</si>
  <si>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</si>
  <si>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</si>
  <si>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</si>
  <si>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</si>
  <si>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</si>
  <si>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</si>
  <si>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</si>
  <si>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</si>
  <si>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</si>
  <si>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</si>
  <si>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</si>
  <si>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</si>
  <si>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</si>
  <si>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</si>
  <si>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</si>
  <si>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</si>
  <si>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</si>
  <si>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</si>
  <si>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</si>
  <si>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</si>
  <si>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</si>
  <si>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</si>
  <si>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</si>
  <si>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</si>
  <si>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</si>
  <si>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</si>
  <si>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</si>
  <si>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</si>
  <si>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</si>
  <si>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</si>
  <si>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</si>
  <si>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</si>
  <si>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</si>
  <si>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</si>
  <si>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</si>
  <si>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</si>
  <si>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</si>
  <si>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</si>
  <si>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</si>
  <si>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</si>
  <si>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</si>
  <si>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</si>
  <si>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</si>
  <si>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</si>
  <si>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</si>
  <si>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</si>
  <si>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</si>
  <si>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</si>
  <si>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</si>
  <si>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</si>
  <si>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</si>
  <si>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</si>
  <si>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</si>
  <si>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</si>
  <si>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</si>
  <si>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</si>
  <si>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</si>
  <si>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</si>
  <si>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</si>
  <si>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</si>
  <si>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</si>
  <si>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</si>
  <si>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</si>
  <si>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</si>
  <si>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</si>
  <si>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</si>
  <si>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</si>
  <si>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</si>
  <si>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</si>
  <si>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</si>
  <si>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</si>
  <si>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</si>
  <si>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</si>
  <si>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</si>
  <si>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</si>
  <si>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</si>
  <si>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</si>
  <si>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</si>
  <si>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</si>
  <si>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</si>
  <si>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</si>
  <si>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</si>
  <si>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</si>
  <si>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</si>
  <si>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</si>
  <si>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</si>
  <si>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</si>
  <si>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</si>
  <si>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</si>
  <si>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</si>
  <si>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</si>
  <si>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</si>
  <si>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</si>
  <si>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</si>
  <si>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</si>
  <si>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</si>
  <si>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</si>
  <si>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</si>
  <si>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</si>
  <si>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</si>
  <si>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</si>
  <si>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</si>
  <si>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</si>
  <si>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</si>
  <si>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</si>
  <si>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</si>
  <si>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</si>
  <si>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</si>
  <si>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</si>
  <si>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</si>
  <si>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</si>
  <si>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</si>
  <si>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</si>
  <si>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</si>
  <si>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</si>
  <si>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</si>
  <si>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</si>
  <si>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</si>
  <si>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</si>
  <si>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</si>
  <si>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</si>
  <si>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</si>
  <si>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</si>
  <si>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</si>
  <si>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</si>
  <si>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</si>
  <si>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</si>
  <si>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</si>
  <si>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</si>
  <si>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</si>
  <si>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</si>
  <si>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</si>
  <si>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</si>
  <si>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</si>
  <si>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</si>
  <si>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</si>
  <si>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</si>
  <si>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</si>
  <si>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</si>
  <si>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</si>
  <si>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</si>
  <si>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</si>
  <si>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</si>
  <si>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</si>
  <si>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</si>
  <si>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</si>
  <si>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</si>
  <si>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</si>
  <si>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</si>
  <si>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</si>
  <si>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</si>
  <si>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</si>
  <si>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</si>
  <si>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</si>
  <si>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</si>
  <si>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</si>
  <si>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</si>
  <si>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</si>
  <si>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</si>
  <si>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</si>
  <si>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</si>
  <si>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</si>
  <si>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</si>
  <si>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</si>
  <si>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</si>
  <si>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</si>
  <si>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</si>
  <si>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</si>
  <si>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</si>
  <si>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</si>
  <si>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</si>
  <si>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</si>
  <si>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</si>
  <si>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</si>
  <si>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</si>
  <si>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</si>
  <si>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</si>
  <si>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</si>
  <si>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</si>
  <si>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</si>
  <si>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</si>
  <si>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</si>
  <si>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</si>
  <si>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</si>
  <si>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</si>
  <si>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</si>
  <si>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</si>
  <si>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</si>
  <si>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</si>
  <si>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</si>
  <si>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</si>
  <si>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</si>
  <si>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</si>
  <si>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</si>
  <si>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</si>
  <si>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</si>
  <si>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</si>
  <si>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</si>
  <si>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</si>
  <si>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</si>
  <si>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</si>
  <si>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</si>
  <si>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</si>
  <si>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</si>
  <si>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</si>
  <si>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</si>
  <si>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</si>
  <si>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</si>
  <si>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</si>
  <si>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</si>
  <si>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</si>
  <si>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</si>
  <si>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</si>
  <si>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</si>
  <si>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</si>
  <si>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</si>
  <si>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</si>
  <si>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</si>
  <si>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</si>
  <si>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</si>
  <si>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</si>
  <si>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</si>
  <si>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</si>
  <si>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</si>
  <si>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</si>
  <si>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</si>
  <si>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</si>
  <si>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</si>
  <si>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</si>
  <si>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</si>
  <si>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</si>
  <si>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</si>
  <si>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</si>
  <si>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</si>
  <si>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</si>
  <si>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</si>
  <si>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</si>
  <si>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</si>
  <si>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</si>
  <si>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</si>
  <si>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</si>
  <si>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</si>
  <si>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</si>
  <si>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</si>
  <si>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</si>
  <si>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</si>
  <si>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</si>
  <si>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</si>
  <si>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</si>
  <si>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</si>
  <si>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</si>
  <si>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</si>
  <si>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</si>
  <si>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</si>
  <si>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</si>
  <si>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</si>
  <si>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</si>
  <si>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</si>
  <si>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</si>
  <si>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</si>
  <si>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</si>
  <si>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</si>
  <si>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</si>
  <si>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</si>
  <si>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</si>
  <si>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</si>
  <si>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</si>
  <si>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</si>
  <si>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</si>
  <si>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</si>
  <si>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</si>
  <si>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</si>
  <si>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</si>
  <si>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</si>
  <si>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</si>
  <si>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</si>
  <si>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</si>
  <si>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</si>
  <si>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</si>
  <si>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</si>
  <si>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</si>
  <si>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</si>
  <si>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</si>
  <si>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</si>
  <si>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</si>
  <si>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</si>
  <si>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</si>
  <si>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</si>
  <si>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</si>
  <si>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</si>
  <si>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</si>
  <si>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</si>
  <si>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</si>
  <si>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</si>
  <si>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</si>
  <si>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</si>
  <si>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</si>
  <si>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</si>
  <si>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</si>
  <si>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</si>
  <si>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</si>
  <si>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</si>
  <si>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</si>
  <si>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</si>
  <si>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</si>
  <si>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</si>
  <si>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</si>
  <si>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</si>
  <si>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</si>
  <si>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</si>
  <si>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</si>
  <si>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</si>
  <si>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</si>
  <si>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</si>
  <si>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</si>
  <si>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</si>
  <si>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</si>
  <si>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</si>
  <si>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</si>
  <si>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</si>
  <si>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</si>
  <si>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</si>
  <si>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</si>
  <si>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</si>
  <si>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</si>
  <si>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</si>
  <si>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</si>
  <si>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</si>
  <si>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</si>
  <si>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</si>
  <si>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</si>
  <si>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</si>
  <si>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</si>
  <si>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</si>
  <si>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</si>
  <si>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</si>
  <si>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</si>
  <si>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</si>
  <si>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</si>
  <si>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</si>
  <si>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</si>
  <si>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</si>
  <si>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</si>
  <si>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</si>
  <si>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</si>
  <si>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</si>
  <si>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</si>
  <si>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</si>
  <si>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</si>
  <si>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</si>
  <si>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</si>
  <si>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</si>
  <si>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</si>
  <si>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</si>
  <si>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</si>
  <si>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</si>
  <si>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</si>
  <si>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</si>
  <si>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</si>
  <si>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</si>
  <si>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</si>
  <si>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</si>
  <si>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</si>
  <si>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</si>
  <si>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</si>
  <si>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</si>
  <si>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</si>
  <si>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</si>
  <si>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</si>
  <si>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</si>
  <si>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</si>
  <si>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</si>
  <si>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</si>
  <si>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</si>
  <si>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</si>
  <si>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</si>
  <si>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</si>
  <si>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</si>
  <si>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</si>
  <si>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</si>
  <si>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</si>
  <si>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</si>
  <si>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</si>
  <si>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</si>
  <si>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</si>
  <si>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</si>
  <si>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</si>
  <si>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</si>
  <si>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</si>
  <si>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</si>
  <si>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</si>
  <si>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</si>
  <si>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</si>
  <si>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</si>
  <si>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</si>
  <si>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</si>
  <si>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</si>
  <si>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</si>
  <si>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</si>
  <si>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</si>
  <si>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</si>
  <si>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</si>
  <si>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</si>
  <si>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</si>
  <si>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</si>
  <si>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</si>
  <si>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</si>
  <si>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</si>
  <si>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</si>
  <si>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</si>
  <si>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</si>
  <si>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</si>
  <si>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</si>
  <si>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</si>
  <si>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</si>
  <si>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</si>
  <si>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</si>
  <si>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</si>
  <si>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</si>
  <si>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</si>
  <si>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</si>
  <si>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</si>
  <si>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</si>
  <si>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</si>
  <si>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</si>
  <si>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</si>
  <si>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</si>
  <si>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</si>
  <si>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</si>
  <si>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</si>
  <si>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</si>
  <si>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</si>
  <si>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</si>
  <si>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</si>
  <si>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</si>
  <si>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</si>
  <si>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</si>
  <si>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</si>
  <si>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</si>
  <si>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</si>
  <si>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</si>
  <si>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</si>
  <si>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</si>
  <si>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</si>
  <si>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</si>
  <si>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</si>
  <si>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</si>
  <si>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</si>
  <si>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</si>
  <si>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</si>
  <si>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</si>
  <si>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</si>
  <si>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</si>
  <si>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</si>
  <si>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</si>
  <si>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</si>
  <si>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</si>
  <si>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</si>
  <si>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</si>
  <si>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</si>
  <si>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</si>
  <si>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</si>
  <si>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</si>
  <si>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</si>
  <si>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</si>
  <si>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</si>
  <si>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</si>
  <si>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</si>
  <si>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</si>
  <si>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</si>
  <si>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</si>
  <si>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</si>
  <si>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</si>
  <si>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</si>
  <si>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</si>
  <si>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</si>
  <si>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</si>
  <si>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</si>
  <si>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</si>
  <si>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</si>
  <si>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</si>
  <si>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</si>
  <si>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</si>
  <si>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</si>
  <si>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</si>
  <si>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</si>
  <si>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</si>
  <si>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</si>
  <si>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</si>
  <si>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</si>
  <si>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</si>
  <si>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</si>
  <si>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</si>
  <si>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</si>
  <si>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</si>
  <si>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</si>
  <si>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</si>
  <si>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</si>
  <si>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</si>
  <si>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</si>
  <si>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</si>
  <si>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</si>
  <si>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</si>
  <si>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</si>
  <si>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</si>
  <si>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</si>
  <si>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</si>
  <si>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</si>
  <si>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</si>
  <si>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</si>
  <si>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</si>
  <si>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</si>
  <si>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</si>
  <si>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</si>
  <si>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</si>
  <si>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</si>
  <si>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</si>
  <si>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</si>
  <si>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</si>
  <si>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</si>
  <si>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</si>
  <si>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</si>
  <si>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</si>
  <si>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</si>
  <si>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</si>
  <si>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</si>
  <si>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</si>
  <si>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</si>
  <si>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</si>
  <si>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</si>
  <si>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</si>
  <si>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</si>
  <si>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</si>
  <si>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</si>
  <si>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</si>
  <si>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</si>
  <si>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</si>
  <si>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</si>
  <si>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</si>
  <si>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</si>
  <si>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</si>
  <si>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</si>
  <si>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</si>
  <si>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</si>
  <si>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</si>
  <si>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</si>
  <si>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</si>
  <si>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</si>
  <si>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</si>
  <si>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</si>
  <si>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</si>
  <si>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</si>
  <si>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</si>
  <si>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</si>
  <si>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</si>
  <si>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</si>
  <si>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</si>
  <si>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</si>
  <si>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</si>
  <si>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</si>
  <si>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</si>
  <si>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</si>
  <si>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</si>
  <si>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</si>
  <si>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</si>
  <si>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</si>
  <si>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</si>
  <si>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</si>
  <si>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</si>
  <si>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</si>
  <si>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</si>
  <si>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</si>
  <si>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</si>
  <si>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</si>
  <si>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</si>
  <si>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</si>
  <si>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</si>
  <si>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</si>
  <si>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</si>
  <si>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</si>
  <si>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</si>
  <si>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</si>
  <si>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</si>
  <si>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</si>
  <si>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</si>
  <si>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</si>
  <si>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</si>
  <si>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</si>
  <si>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</si>
  <si>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</si>
  <si>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</si>
  <si>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</si>
  <si>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</si>
  <si>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</si>
  <si>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</si>
  <si>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</si>
  <si>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</si>
  <si>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</si>
  <si>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</si>
  <si>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</si>
  <si>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</si>
  <si>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</si>
  <si>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</si>
  <si>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</si>
  <si>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</si>
  <si>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</si>
  <si>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</si>
  <si>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</si>
  <si>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</si>
  <si>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</si>
  <si>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</si>
  <si>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</si>
  <si>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</si>
  <si>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</si>
  <si>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</si>
  <si>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</si>
  <si>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</si>
  <si>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</si>
  <si>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</si>
  <si>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</si>
  <si>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</si>
  <si>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</si>
  <si>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</si>
  <si>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</si>
  <si>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</si>
  <si>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</si>
  <si>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</si>
  <si>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</si>
  <si>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</si>
  <si>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</si>
  <si>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</si>
  <si>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</si>
  <si>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</si>
  <si>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</si>
  <si>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</si>
  <si>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</si>
  <si>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</si>
  <si>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</si>
  <si>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</si>
  <si>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</si>
  <si>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</si>
  <si>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</si>
  <si>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</si>
  <si>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</si>
  <si>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</si>
  <si>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</si>
  <si>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</si>
  <si>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</si>
  <si>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</si>
  <si>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</si>
  <si>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</si>
  <si>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</si>
  <si>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</si>
  <si>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</si>
  <si>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</si>
  <si>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</si>
  <si>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</si>
  <si>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</si>
  <si>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</si>
  <si>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</si>
  <si>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</si>
  <si>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</si>
  <si>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</si>
  <si>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</si>
  <si>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</si>
  <si>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</si>
  <si>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</si>
  <si>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</si>
  <si>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</si>
  <si>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</si>
  <si>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</si>
  <si>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</si>
  <si>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</si>
  <si>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</si>
  <si>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</si>
  <si>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</si>
  <si>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</si>
  <si>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</si>
  <si>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</si>
  <si>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</si>
  <si>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</si>
  <si>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</si>
  <si>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</si>
  <si>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</si>
  <si>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</si>
  <si>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</si>
  <si>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</si>
  <si>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</si>
  <si>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</si>
  <si>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</si>
  <si>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</si>
  <si>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</si>
  <si>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</si>
  <si>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</si>
  <si>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</si>
  <si>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</si>
  <si>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</si>
  <si>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</si>
  <si>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</si>
  <si>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</si>
  <si>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</si>
  <si>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</si>
  <si>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</si>
  <si>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</si>
  <si>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</si>
  <si>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</si>
  <si>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</si>
  <si>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</si>
  <si>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</si>
  <si>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</si>
  <si>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</si>
  <si>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</si>
  <si>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</si>
  <si>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</si>
  <si>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</si>
  <si>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</si>
  <si>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</si>
  <si>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</si>
  <si>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</si>
  <si>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</si>
  <si>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</si>
  <si>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</si>
  <si>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</si>
  <si>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</si>
  <si>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</si>
  <si>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</si>
  <si>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</si>
  <si>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</si>
  <si>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</si>
  <si>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</si>
  <si>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</si>
  <si>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</si>
  <si>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</si>
  <si>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</si>
  <si>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</si>
  <si>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</si>
  <si>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</si>
  <si>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</si>
  <si>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</si>
  <si>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</si>
  <si>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</si>
  <si>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</si>
  <si>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</si>
  <si>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</si>
  <si>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</si>
  <si>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</si>
  <si>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</si>
  <si>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</si>
  <si>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</si>
  <si>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</si>
  <si>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</si>
  <si>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</si>
  <si>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</si>
  <si>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</si>
  <si>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</si>
  <si>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</si>
  <si>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</si>
  <si>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</si>
  <si>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</si>
  <si>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</si>
  <si>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</si>
  <si>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</si>
  <si>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</si>
  <si>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</si>
  <si>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</si>
  <si>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</si>
  <si>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</si>
  <si>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</si>
  <si>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</si>
  <si>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</si>
  <si>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</si>
  <si>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</si>
  <si>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</si>
  <si>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</si>
  <si>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</si>
  <si>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</si>
  <si>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</si>
  <si>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</si>
  <si>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</si>
  <si>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</si>
  <si>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</si>
  <si>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</si>
  <si>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</si>
  <si>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</si>
  <si>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</si>
  <si>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</si>
  <si>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</si>
  <si>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</si>
  <si>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</si>
  <si>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</si>
  <si>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</si>
  <si>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</si>
  <si>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</si>
  <si>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</si>
  <si>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</si>
  <si>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</si>
  <si>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</si>
  <si>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</si>
  <si>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</si>
  <si>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</si>
  <si>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</si>
  <si>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</si>
  <si>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</si>
  <si>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</si>
  <si>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</si>
  <si>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</si>
  <si>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</si>
  <si>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</si>
  <si>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</si>
  <si>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</si>
  <si>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</si>
  <si>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</si>
  <si>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</si>
  <si>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</si>
  <si>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</si>
  <si>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</si>
  <si>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</si>
  <si>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</si>
  <si>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</si>
  <si>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</si>
  <si>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</si>
  <si>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</si>
  <si>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</si>
  <si>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</si>
  <si>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</si>
  <si>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</si>
  <si>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</si>
  <si>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</si>
  <si>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</si>
  <si>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</si>
  <si>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</si>
  <si>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</si>
  <si>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</si>
  <si>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</si>
  <si>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</si>
  <si>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</si>
  <si>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</si>
  <si>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</si>
  <si>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</si>
  <si>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</si>
  <si>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</si>
  <si>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</si>
  <si>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</si>
  <si>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</si>
  <si>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</si>
  <si>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</si>
  <si>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</si>
  <si>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</si>
  <si>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</si>
  <si>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</si>
  <si>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</si>
  <si>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</si>
  <si>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</si>
  <si>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</si>
  <si>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</si>
  <si>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</si>
  <si>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</si>
  <si>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</si>
  <si>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</si>
  <si>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</si>
  <si>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</si>
  <si>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</si>
  <si>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</si>
  <si>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</si>
  <si>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</si>
  <si>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</si>
  <si>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</si>
  <si>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</si>
  <si>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</si>
  <si>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</si>
  <si>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</si>
  <si>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</si>
  <si>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</si>
  <si>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</si>
  <si>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</si>
  <si>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</si>
  <si>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</si>
  <si>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</si>
  <si>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</si>
  <si>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</si>
  <si>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</si>
  <si>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</si>
  <si>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</si>
  <si>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</si>
  <si>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</si>
  <si>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</si>
  <si>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</si>
  <si>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</si>
  <si>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</si>
  <si>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</si>
  <si>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</si>
  <si>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</si>
  <si>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</si>
  <si>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</si>
  <si>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</si>
  <si>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</si>
  <si>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</si>
  <si>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</si>
  <si>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</si>
  <si>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</si>
  <si>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</si>
  <si>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</si>
  <si>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</si>
  <si>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</si>
  <si>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</si>
  <si>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</si>
  <si>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</si>
  <si>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</si>
  <si>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</si>
  <si>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</si>
  <si>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</si>
  <si>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</si>
  <si>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</si>
  <si>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</si>
  <si>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</si>
  <si>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</si>
  <si>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</si>
  <si>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</si>
  <si>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</si>
  <si>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</si>
  <si>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</si>
  <si>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</si>
  <si>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</si>
  <si>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</si>
  <si>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</si>
  <si>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</si>
  <si>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</si>
  <si>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</si>
  <si>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</si>
  <si>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</si>
  <si>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</si>
  <si>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</si>
  <si>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</si>
  <si>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</si>
  <si>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</si>
  <si>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</si>
  <si>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</si>
  <si>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</si>
  <si>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</si>
  <si>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</si>
  <si>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</si>
  <si>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</si>
  <si>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</si>
  <si>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</si>
  <si>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</si>
  <si>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</si>
  <si>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</si>
  <si>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</si>
  <si>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</si>
  <si>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</si>
  <si>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</si>
  <si>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</si>
  <si>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</si>
  <si>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</si>
  <si>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</si>
  <si>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</si>
  <si>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</si>
  <si>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</si>
  <si>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</si>
  <si>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</si>
  <si>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</si>
  <si>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</si>
  <si>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</si>
  <si>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</si>
  <si>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</si>
  <si>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</si>
  <si>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</si>
  <si>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</si>
  <si>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</si>
  <si>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</si>
  <si>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</si>
  <si>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</si>
  <si>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</si>
  <si>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</si>
  <si>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</si>
  <si>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</si>
  <si>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</si>
  <si>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</si>
  <si>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</si>
  <si>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</si>
  <si>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</si>
  <si>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</si>
  <si>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</si>
  <si>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</si>
  <si>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</si>
  <si>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</si>
  <si>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</si>
  <si>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</si>
  <si>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</si>
  <si>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</si>
  <si>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</si>
  <si>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</si>
  <si>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</si>
  <si>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</si>
  <si>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</si>
  <si>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</si>
  <si>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</si>
  <si>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</si>
  <si>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</si>
  <si>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</si>
  <si>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</si>
  <si>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</si>
  <si>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</si>
  <si>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</si>
  <si>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</si>
  <si>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</si>
  <si>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</si>
  <si>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</si>
  <si>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</si>
  <si>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</si>
  <si>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</si>
  <si>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</si>
  <si>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</si>
  <si>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</si>
  <si>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</si>
  <si>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</si>
  <si>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</si>
  <si>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</si>
  <si>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</si>
  <si>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</si>
  <si>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</si>
  <si>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</si>
  <si>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</si>
  <si>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</si>
  <si>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</si>
  <si>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</si>
  <si>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</si>
  <si>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</si>
  <si>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</si>
  <si>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</si>
  <si>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</si>
  <si>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</si>
  <si>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</si>
  <si>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</si>
  <si>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</si>
  <si>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</si>
  <si>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</si>
  <si>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</si>
  <si>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</si>
  <si>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</si>
  <si>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</si>
  <si>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</si>
  <si>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</si>
  <si>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</si>
  <si>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</si>
  <si>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</si>
  <si>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</si>
  <si>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</si>
  <si>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</si>
  <si>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</si>
  <si>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</si>
  <si>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</si>
  <si>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</si>
  <si>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</si>
  <si>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</si>
  <si>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</si>
  <si>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</si>
  <si>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</si>
  <si>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</si>
  <si>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</si>
  <si>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</si>
  <si>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</si>
  <si>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</si>
  <si>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</si>
  <si>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</si>
  <si>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</si>
  <si>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</si>
  <si>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</si>
  <si>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</si>
  <si>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</si>
  <si>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</si>
  <si>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</si>
  <si>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</si>
  <si>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</si>
  <si>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</si>
  <si>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</si>
  <si>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</si>
  <si>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</si>
  <si>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</si>
  <si>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</si>
  <si>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</si>
  <si>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</si>
  <si>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</si>
  <si>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</si>
  <si>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</si>
  <si>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</si>
  <si>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</si>
  <si>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</si>
  <si>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</si>
  <si>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</si>
  <si>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</si>
  <si>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</si>
  <si>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</si>
  <si>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</si>
  <si>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</si>
  <si>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</si>
  <si>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</si>
  <si>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</si>
  <si>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</si>
  <si>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</si>
  <si>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</si>
  <si>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</si>
  <si>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</si>
  <si>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</si>
  <si>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</si>
  <si>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</si>
  <si>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</si>
  <si>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</si>
  <si>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</si>
  <si>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</si>
  <si>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</si>
  <si>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</si>
  <si>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</si>
  <si>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</si>
  <si>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</si>
  <si>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</si>
  <si>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</si>
  <si>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</si>
  <si>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</si>
  <si>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</si>
  <si>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</si>
  <si>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</si>
  <si>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</si>
  <si>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</si>
  <si>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</si>
  <si>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</si>
  <si>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</si>
  <si>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</si>
  <si>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</si>
  <si>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</si>
  <si>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</si>
  <si>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</si>
  <si>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</si>
  <si>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</si>
  <si>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</si>
  <si>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</si>
  <si>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</si>
  <si>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</si>
  <si>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</si>
  <si>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</si>
  <si>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</si>
  <si>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</si>
  <si>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</si>
  <si>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</si>
  <si>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</si>
  <si>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</si>
  <si>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</si>
  <si>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</si>
  <si>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</si>
  <si>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</si>
  <si>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</si>
  <si>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</si>
  <si>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</si>
  <si>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</si>
  <si>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</si>
  <si>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</si>
  <si>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</si>
  <si>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</si>
  <si>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</si>
  <si>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</si>
  <si>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</si>
  <si>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</si>
  <si>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</si>
  <si>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</si>
  <si>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</si>
  <si>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</si>
  <si>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</si>
  <si>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</si>
  <si>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</si>
  <si>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</si>
  <si>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</si>
  <si>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</si>
  <si>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</si>
  <si>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</si>
  <si>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</si>
  <si>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</si>
  <si>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</si>
  <si>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</si>
  <si>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</si>
  <si>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</si>
  <si>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</si>
  <si>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</si>
  <si>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</si>
  <si>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</si>
  <si>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</si>
  <si>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</si>
  <si>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</si>
  <si>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</si>
  <si>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</si>
  <si>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</si>
  <si>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</si>
  <si>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</si>
  <si>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</si>
  <si>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</si>
  <si>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</si>
  <si>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</si>
  <si>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</si>
  <si>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</si>
  <si>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</si>
  <si>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</si>
  <si>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</si>
  <si>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</si>
  <si>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</si>
  <si>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</si>
  <si>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</si>
  <si>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</si>
  <si>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</si>
  <si>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</si>
  <si>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</si>
  <si>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</si>
  <si>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</si>
  <si>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</si>
  <si>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</si>
  <si>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</si>
  <si>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</si>
  <si>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</si>
  <si>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</si>
  <si>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</si>
  <si>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</si>
  <si>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</si>
  <si>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</si>
  <si>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</si>
  <si>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</si>
  <si>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</si>
  <si>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</si>
  <si>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</si>
  <si>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</si>
  <si>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</si>
  <si>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</si>
  <si>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</si>
  <si>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</si>
  <si>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</si>
  <si>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</si>
  <si>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</si>
  <si>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</si>
  <si>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</si>
  <si>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</si>
  <si>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</si>
  <si>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</si>
  <si>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</si>
  <si>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</si>
  <si>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</si>
  <si>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</si>
  <si>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</si>
  <si>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</si>
  <si>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</si>
  <si>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</si>
  <si>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</si>
  <si>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</si>
  <si>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</si>
  <si>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</si>
  <si>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</si>
  <si>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</si>
  <si>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</si>
  <si>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</si>
  <si>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</si>
  <si>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</si>
  <si>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</si>
  <si>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</si>
  <si>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</si>
  <si>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</si>
  <si>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</si>
  <si>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</si>
  <si>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</si>
  <si>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</si>
  <si>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</si>
  <si>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</si>
  <si>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</si>
  <si>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</si>
  <si>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</si>
  <si>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</si>
  <si>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</si>
  <si>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</si>
  <si>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</si>
  <si>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</si>
  <si>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</si>
  <si>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</si>
  <si>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</si>
  <si>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</si>
  <si>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</si>
  <si>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</si>
  <si>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</si>
  <si>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</si>
  <si>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</si>
  <si>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</si>
  <si>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</si>
  <si>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</si>
  <si>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</si>
  <si>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</si>
  <si>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</si>
  <si>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</si>
  <si>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</si>
  <si>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</si>
  <si>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</si>
  <si>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</si>
  <si>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</si>
  <si>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</si>
  <si>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</si>
  <si>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</si>
  <si>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</si>
  <si>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</si>
  <si>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</si>
  <si>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</si>
  <si>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</si>
  <si>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</si>
  <si>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</si>
  <si>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</si>
  <si>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</si>
  <si>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</si>
  <si>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</si>
  <si>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</si>
  <si>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</si>
  <si>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</si>
  <si>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</si>
  <si>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</si>
  <si>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</si>
  <si>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</si>
  <si>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</si>
  <si>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</si>
  <si>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</si>
  <si>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</si>
  <si>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</si>
  <si>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</si>
  <si>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</si>
  <si>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</si>
  <si>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</si>
  <si>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</si>
  <si>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</si>
  <si>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</si>
  <si>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</si>
  <si>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</si>
  <si>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</si>
  <si>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</si>
  <si>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</si>
  <si>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</si>
  <si>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</si>
  <si>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</si>
  <si>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</si>
  <si>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</si>
  <si>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</si>
  <si>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</si>
  <si>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</si>
  <si>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</si>
  <si>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</si>
  <si>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</si>
  <si>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</si>
  <si>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</si>
  <si>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</si>
  <si>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</si>
  <si>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</si>
  <si>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</si>
  <si>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</si>
  <si>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</si>
  <si>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</si>
  <si>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</si>
  <si>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</si>
  <si>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</si>
  <si>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</si>
  <si>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</si>
  <si>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</si>
  <si>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</si>
  <si>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</si>
  <si>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</si>
  <si>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</si>
  <si>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</si>
  <si>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</si>
  <si>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</si>
  <si>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</si>
  <si>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</si>
  <si>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</si>
  <si>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</si>
  <si>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</si>
  <si>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</si>
  <si>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</si>
  <si>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</si>
  <si>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</si>
  <si>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</si>
  <si>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</si>
  <si>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</si>
  <si>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</si>
  <si>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</si>
  <si>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</si>
  <si>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</si>
  <si>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</si>
  <si>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</si>
  <si>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</si>
  <si>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</si>
  <si>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</si>
  <si>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</si>
  <si>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</si>
  <si>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</si>
  <si>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</si>
  <si>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</si>
  <si>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</si>
  <si>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</si>
  <si>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</si>
  <si>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</si>
  <si>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</si>
  <si>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</si>
  <si>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</si>
  <si>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</si>
  <si>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</si>
  <si>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</si>
  <si>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</si>
  <si>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</si>
  <si>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</si>
  <si>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</si>
  <si>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</si>
  <si>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</si>
  <si>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</si>
  <si>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</si>
  <si>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</si>
  <si>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</si>
  <si>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</si>
  <si>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</si>
  <si>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</si>
  <si>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</si>
  <si>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</si>
  <si>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</si>
  <si>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</si>
  <si>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</si>
  <si>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</si>
  <si>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</si>
  <si>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</si>
  <si>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</si>
  <si>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</si>
  <si>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</si>
  <si>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</si>
  <si>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</si>
  <si>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</si>
  <si>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</si>
  <si>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</si>
  <si>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</si>
  <si>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</si>
  <si>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</si>
  <si>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</si>
  <si>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</si>
  <si>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</si>
  <si>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</si>
  <si>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</si>
  <si>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</si>
  <si>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</si>
  <si>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</si>
  <si>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</si>
  <si>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</si>
  <si>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</si>
  <si>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</si>
  <si>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</si>
  <si>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</si>
  <si>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</si>
  <si>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</si>
  <si>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</si>
  <si>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</si>
  <si>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</si>
  <si>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</si>
  <si>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</si>
  <si>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</si>
  <si>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</si>
  <si>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</si>
  <si>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</si>
  <si>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</si>
  <si>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</si>
  <si>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</si>
  <si>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</si>
  <si>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</si>
  <si>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</si>
  <si>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</si>
  <si>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</si>
  <si>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</si>
  <si>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</si>
  <si>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</si>
  <si>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</si>
  <si>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</si>
  <si>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</si>
  <si>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</si>
  <si>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</si>
  <si>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</si>
  <si>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</si>
  <si>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</si>
  <si>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</si>
  <si>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</si>
  <si>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</si>
  <si>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</si>
  <si>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</si>
  <si>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</si>
  <si>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</si>
  <si>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</si>
  <si>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</si>
  <si>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</si>
  <si>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</si>
  <si>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</si>
  <si>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</si>
  <si>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</si>
  <si>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</si>
  <si>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</si>
  <si>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</si>
  <si>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</si>
  <si>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</si>
  <si>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</si>
  <si>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</si>
  <si>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</si>
  <si>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</si>
  <si>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</si>
  <si>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</si>
  <si>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</si>
  <si>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</si>
  <si>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</si>
  <si>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</si>
  <si>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</si>
  <si>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</si>
  <si>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</si>
  <si>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</si>
  <si>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</si>
  <si>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</si>
  <si>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</si>
  <si>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</si>
  <si>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</si>
  <si>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</si>
  <si>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</si>
  <si>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</si>
  <si>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</si>
  <si>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</si>
  <si>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</si>
  <si>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</si>
  <si>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</si>
  <si>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</si>
  <si>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</si>
  <si>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</si>
  <si>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</si>
  <si>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</si>
  <si>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</si>
  <si>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</si>
  <si>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</si>
  <si>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</si>
  <si>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</si>
  <si>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</si>
  <si>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</si>
  <si>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</si>
  <si>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</si>
  <si>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</si>
  <si>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</si>
  <si>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</si>
  <si>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</si>
  <si>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</si>
  <si>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</si>
  <si>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</si>
  <si>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</si>
  <si>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</si>
  <si>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</si>
  <si>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</si>
  <si>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</si>
  <si>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</si>
  <si>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</si>
  <si>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</si>
  <si>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</si>
  <si>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</si>
  <si>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</si>
  <si>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</si>
  <si>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</si>
  <si>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</si>
  <si>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</si>
  <si>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</si>
  <si>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</si>
  <si>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</si>
  <si>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</si>
  <si>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</si>
  <si>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</si>
  <si>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</si>
  <si>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</si>
  <si>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</si>
  <si>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</si>
  <si>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</si>
  <si>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</si>
  <si>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</si>
  <si>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</si>
  <si>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</si>
  <si>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</si>
  <si>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</si>
  <si>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</si>
  <si>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</si>
  <si>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</si>
  <si>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</si>
  <si>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</si>
  <si>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</si>
  <si>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</si>
  <si>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</si>
  <si>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</si>
  <si>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</si>
  <si>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</si>
  <si>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</si>
  <si>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</si>
  <si>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</si>
  <si>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</si>
  <si>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</si>
  <si>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</si>
  <si>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</si>
  <si>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</si>
  <si>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</si>
  <si>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</si>
  <si>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</si>
  <si>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</si>
  <si>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</si>
  <si>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</si>
  <si>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</si>
  <si>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</si>
  <si>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</si>
  <si>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</si>
  <si>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</si>
  <si>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</si>
  <si>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</si>
  <si>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</si>
  <si>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</si>
  <si>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</si>
  <si>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</si>
  <si>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</si>
  <si>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</si>
  <si>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</si>
  <si>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</si>
  <si>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</si>
  <si>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</si>
  <si>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</si>
  <si>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</si>
  <si>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</si>
  <si>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</si>
  <si>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</si>
  <si>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</si>
  <si>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</si>
  <si>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</si>
  <si>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</si>
  <si>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</si>
  <si>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</si>
  <si>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</si>
  <si>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</si>
  <si>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</si>
  <si>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</si>
  <si>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</si>
  <si>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</si>
  <si>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</si>
  <si>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</si>
  <si>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</si>
  <si>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</si>
  <si>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</si>
  <si>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</si>
  <si>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</si>
  <si>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</si>
  <si>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</si>
  <si>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</si>
  <si>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</si>
  <si>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</si>
  <si>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</si>
  <si>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</si>
  <si>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</si>
  <si>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</si>
  <si>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</si>
  <si>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</si>
  <si>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</si>
  <si>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</si>
  <si>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</si>
  <si>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</si>
  <si>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</si>
  <si>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</si>
  <si>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</si>
  <si>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</si>
  <si>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</si>
  <si>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</si>
  <si>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</si>
  <si>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</si>
  <si>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</si>
  <si>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</si>
  <si>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</si>
  <si>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</si>
  <si>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</si>
  <si>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</si>
  <si>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</si>
  <si>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</si>
  <si>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</si>
  <si>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</si>
  <si>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</si>
  <si>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</si>
  <si>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是</t>
  </si>
  <si>
    <t>地上</t>
  </si>
  <si>
    <t>公寓</t>
  </si>
  <si>
    <t>总价</t>
    <phoneticPr fontId="8" type="noConversion"/>
  </si>
  <si>
    <t>土地比较法-住宅、综合</t>
  </si>
  <si>
    <t>情况3</t>
  </si>
  <si>
    <t>自行开发建设</t>
  </si>
  <si>
    <t>非个人房产</t>
  </si>
  <si>
    <t>出让金+开发费</t>
  </si>
  <si>
    <t>抵押</t>
  </si>
  <si>
    <t>房地产抵押价值</t>
  </si>
  <si>
    <t>序号</t>
    <phoneticPr fontId="144" type="noConversion"/>
  </si>
  <si>
    <t>房屋所有权证号</t>
    <phoneticPr fontId="144" type="noConversion"/>
  </si>
  <si>
    <t>坐落</t>
    <phoneticPr fontId="144" type="noConversion"/>
  </si>
  <si>
    <t>面积</t>
    <phoneticPr fontId="144" type="noConversion"/>
  </si>
  <si>
    <t>总层数</t>
    <phoneticPr fontId="144" type="noConversion"/>
  </si>
  <si>
    <t>用途</t>
    <phoneticPr fontId="144" type="noConversion"/>
  </si>
  <si>
    <t>所有权人</t>
    <phoneticPr fontId="144" type="noConversion"/>
  </si>
  <si>
    <r>
      <t>X京房权证海字第</t>
    </r>
    <r>
      <rPr>
        <sz val="11"/>
        <color theme="1"/>
        <rFont val="宋体"/>
        <family val="3"/>
        <charset val="134"/>
        <scheme val="minor"/>
      </rPr>
      <t>437291号</t>
    </r>
    <phoneticPr fontId="144" type="noConversion"/>
  </si>
  <si>
    <r>
      <t>海淀区栖云路9号院</t>
    </r>
    <r>
      <rPr>
        <sz val="11"/>
        <color theme="1"/>
        <rFont val="宋体"/>
        <family val="3"/>
        <charset val="134"/>
        <scheme val="minor"/>
      </rPr>
      <t>14号楼</t>
    </r>
    <phoneticPr fontId="144" type="noConversion"/>
  </si>
  <si>
    <r>
      <t>3（</t>
    </r>
    <r>
      <rPr>
        <sz val="11"/>
        <color theme="1"/>
        <rFont val="宋体"/>
        <family val="3"/>
        <charset val="134"/>
        <scheme val="minor"/>
      </rPr>
      <t>-1）</t>
    </r>
    <phoneticPr fontId="144" type="noConversion"/>
  </si>
  <si>
    <t>客房</t>
    <phoneticPr fontId="144" type="noConversion"/>
  </si>
  <si>
    <t>北京旷怡园房地产有限公司</t>
    <phoneticPr fontId="144" type="noConversion"/>
  </si>
  <si>
    <r>
      <t>X京房权证海字第</t>
    </r>
    <r>
      <rPr>
        <sz val="11"/>
        <color theme="1"/>
        <rFont val="宋体"/>
        <family val="3"/>
        <charset val="134"/>
        <scheme val="minor"/>
      </rPr>
      <t>437292号</t>
    </r>
    <r>
      <rPr>
        <sz val="11"/>
        <color theme="1"/>
        <rFont val="宋体"/>
        <family val="2"/>
        <charset val="134"/>
        <scheme val="minor"/>
      </rPr>
      <t/>
    </r>
  </si>
  <si>
    <r>
      <t>海淀区栖云路9号院</t>
    </r>
    <r>
      <rPr>
        <sz val="11"/>
        <color theme="1"/>
        <rFont val="宋体"/>
        <family val="3"/>
        <charset val="134"/>
        <scheme val="minor"/>
      </rPr>
      <t>15号楼</t>
    </r>
    <r>
      <rPr>
        <sz val="11"/>
        <color theme="1"/>
        <rFont val="宋体"/>
        <family val="2"/>
        <charset val="134"/>
        <scheme val="minor"/>
      </rPr>
      <t/>
    </r>
  </si>
  <si>
    <r>
      <t>X京房权证海字第435634号</t>
    </r>
    <r>
      <rPr>
        <sz val="11"/>
        <color theme="1"/>
        <rFont val="宋体"/>
        <family val="2"/>
        <charset val="134"/>
        <scheme val="minor"/>
      </rPr>
      <t/>
    </r>
    <phoneticPr fontId="144" type="noConversion"/>
  </si>
  <si>
    <r>
      <t>海淀区栖云路9号院</t>
    </r>
    <r>
      <rPr>
        <sz val="11"/>
        <color theme="1"/>
        <rFont val="宋体"/>
        <family val="3"/>
        <charset val="134"/>
        <scheme val="minor"/>
      </rPr>
      <t>16号楼</t>
    </r>
    <r>
      <rPr>
        <sz val="11"/>
        <color theme="1"/>
        <rFont val="宋体"/>
        <family val="2"/>
        <charset val="134"/>
        <scheme val="minor"/>
      </rPr>
      <t/>
    </r>
  </si>
  <si>
    <r>
      <t>X京房权证海字第437293号</t>
    </r>
    <r>
      <rPr>
        <sz val="11"/>
        <color theme="1"/>
        <rFont val="宋体"/>
        <family val="2"/>
        <charset val="134"/>
        <scheme val="minor"/>
      </rPr>
      <t/>
    </r>
    <phoneticPr fontId="144" type="noConversion"/>
  </si>
  <si>
    <r>
      <t>海淀区栖云路9号院</t>
    </r>
    <r>
      <rPr>
        <sz val="11"/>
        <color theme="1"/>
        <rFont val="宋体"/>
        <family val="3"/>
        <charset val="134"/>
        <scheme val="minor"/>
      </rPr>
      <t>17号楼</t>
    </r>
    <r>
      <rPr>
        <sz val="11"/>
        <color theme="1"/>
        <rFont val="宋体"/>
        <family val="2"/>
        <charset val="134"/>
        <scheme val="minor"/>
      </rPr>
      <t/>
    </r>
  </si>
  <si>
    <r>
      <t>3（</t>
    </r>
    <r>
      <rPr>
        <sz val="11"/>
        <color theme="1"/>
        <rFont val="宋体"/>
        <family val="3"/>
        <charset val="134"/>
        <scheme val="minor"/>
      </rPr>
      <t>-1）</t>
    </r>
    <r>
      <rPr>
        <sz val="11"/>
        <color theme="1"/>
        <rFont val="宋体"/>
        <family val="2"/>
        <charset val="134"/>
        <scheme val="minor"/>
      </rPr>
      <t/>
    </r>
  </si>
  <si>
    <t>X京房权证海字第437294号</t>
  </si>
  <si>
    <r>
      <t>海淀区栖云路9号院</t>
    </r>
    <r>
      <rPr>
        <sz val="11"/>
        <color theme="1"/>
        <rFont val="宋体"/>
        <family val="3"/>
        <charset val="134"/>
        <scheme val="minor"/>
      </rPr>
      <t>18号楼</t>
    </r>
    <r>
      <rPr>
        <sz val="11"/>
        <color theme="1"/>
        <rFont val="宋体"/>
        <family val="2"/>
        <charset val="134"/>
        <scheme val="minor"/>
      </rPr>
      <t/>
    </r>
  </si>
  <si>
    <t>X京房权证海字第437295号</t>
  </si>
  <si>
    <r>
      <t>海淀区栖云路9号院</t>
    </r>
    <r>
      <rPr>
        <sz val="11"/>
        <color theme="1"/>
        <rFont val="宋体"/>
        <family val="3"/>
        <charset val="134"/>
        <scheme val="minor"/>
      </rPr>
      <t>19号楼</t>
    </r>
    <r>
      <rPr>
        <sz val="11"/>
        <color theme="1"/>
        <rFont val="宋体"/>
        <family val="2"/>
        <charset val="134"/>
        <scheme val="minor"/>
      </rPr>
      <t/>
    </r>
  </si>
  <si>
    <t>X京房权证海字第437296号</t>
  </si>
  <si>
    <r>
      <t>海淀区栖云路9号院</t>
    </r>
    <r>
      <rPr>
        <sz val="11"/>
        <color theme="1"/>
        <rFont val="宋体"/>
        <family val="3"/>
        <charset val="134"/>
        <scheme val="minor"/>
      </rPr>
      <t>20号楼</t>
    </r>
    <r>
      <rPr>
        <sz val="11"/>
        <color theme="1"/>
        <rFont val="宋体"/>
        <family val="2"/>
        <charset val="134"/>
        <scheme val="minor"/>
      </rPr>
      <t/>
    </r>
  </si>
  <si>
    <t>X京房权证海字第437297号</t>
  </si>
  <si>
    <r>
      <t>海淀区栖云路9号院</t>
    </r>
    <r>
      <rPr>
        <sz val="11"/>
        <color theme="1"/>
        <rFont val="宋体"/>
        <family val="3"/>
        <charset val="134"/>
        <scheme val="minor"/>
      </rPr>
      <t>21号楼</t>
    </r>
    <r>
      <rPr>
        <sz val="11"/>
        <color theme="1"/>
        <rFont val="宋体"/>
        <family val="2"/>
        <charset val="134"/>
        <scheme val="minor"/>
      </rPr>
      <t/>
    </r>
  </si>
  <si>
    <t>X京房权证海字第437298号</t>
  </si>
  <si>
    <r>
      <t>海淀区栖云路9号院</t>
    </r>
    <r>
      <rPr>
        <sz val="11"/>
        <color theme="1"/>
        <rFont val="宋体"/>
        <family val="3"/>
        <charset val="134"/>
        <scheme val="minor"/>
      </rPr>
      <t>22号楼</t>
    </r>
    <r>
      <rPr>
        <sz val="11"/>
        <color theme="1"/>
        <rFont val="宋体"/>
        <family val="2"/>
        <charset val="134"/>
        <scheme val="minor"/>
      </rPr>
      <t/>
    </r>
  </si>
  <si>
    <t>X京房权证海字第437299号</t>
  </si>
  <si>
    <r>
      <t>海淀区栖云路9号院</t>
    </r>
    <r>
      <rPr>
        <sz val="11"/>
        <color theme="1"/>
        <rFont val="宋体"/>
        <family val="3"/>
        <charset val="134"/>
        <scheme val="minor"/>
      </rPr>
      <t>23号楼</t>
    </r>
    <r>
      <rPr>
        <sz val="11"/>
        <color theme="1"/>
        <rFont val="宋体"/>
        <family val="2"/>
        <charset val="134"/>
        <scheme val="minor"/>
      </rPr>
      <t/>
    </r>
  </si>
  <si>
    <r>
      <t>X京房权证海字第435637号</t>
    </r>
    <r>
      <rPr>
        <sz val="11"/>
        <color theme="1"/>
        <rFont val="宋体"/>
        <family val="2"/>
        <charset val="134"/>
        <scheme val="minor"/>
      </rPr>
      <t/>
    </r>
    <phoneticPr fontId="144" type="noConversion"/>
  </si>
  <si>
    <r>
      <t>海淀区栖云路9号院</t>
    </r>
    <r>
      <rPr>
        <sz val="11"/>
        <color theme="1"/>
        <rFont val="宋体"/>
        <family val="3"/>
        <charset val="134"/>
        <scheme val="minor"/>
      </rPr>
      <t>24号楼</t>
    </r>
    <r>
      <rPr>
        <sz val="11"/>
        <color theme="1"/>
        <rFont val="宋体"/>
        <family val="2"/>
        <charset val="134"/>
        <scheme val="minor"/>
      </rPr>
      <t/>
    </r>
  </si>
  <si>
    <r>
      <t>X京房权证海字第435635号</t>
    </r>
    <r>
      <rPr>
        <sz val="11"/>
        <color theme="1"/>
        <rFont val="宋体"/>
        <family val="2"/>
        <charset val="134"/>
        <scheme val="minor"/>
      </rPr>
      <t/>
    </r>
    <phoneticPr fontId="144" type="noConversion"/>
  </si>
  <si>
    <r>
      <t>海淀区栖云路9号院</t>
    </r>
    <r>
      <rPr>
        <sz val="11"/>
        <color theme="1"/>
        <rFont val="宋体"/>
        <family val="3"/>
        <charset val="134"/>
        <scheme val="minor"/>
      </rPr>
      <t>25号楼</t>
    </r>
    <r>
      <rPr>
        <sz val="11"/>
        <color theme="1"/>
        <rFont val="宋体"/>
        <family val="2"/>
        <charset val="134"/>
        <scheme val="minor"/>
      </rPr>
      <t/>
    </r>
  </si>
  <si>
    <t>X京房权证海字第435636号</t>
  </si>
  <si>
    <r>
      <t>海淀区栖云路9号院</t>
    </r>
    <r>
      <rPr>
        <sz val="11"/>
        <color theme="1"/>
        <rFont val="宋体"/>
        <family val="3"/>
        <charset val="134"/>
        <scheme val="minor"/>
      </rPr>
      <t>26号楼</t>
    </r>
    <r>
      <rPr>
        <sz val="11"/>
        <color theme="1"/>
        <rFont val="宋体"/>
        <family val="2"/>
        <charset val="134"/>
        <scheme val="minor"/>
      </rPr>
      <t/>
    </r>
  </si>
  <si>
    <r>
      <t>X京房权证海字第435633号</t>
    </r>
    <r>
      <rPr>
        <sz val="11"/>
        <color theme="1"/>
        <rFont val="宋体"/>
        <family val="2"/>
        <charset val="134"/>
        <scheme val="minor"/>
      </rPr>
      <t/>
    </r>
    <phoneticPr fontId="144" type="noConversion"/>
  </si>
  <si>
    <r>
      <t>海淀区栖云路9号院</t>
    </r>
    <r>
      <rPr>
        <sz val="11"/>
        <color theme="1"/>
        <rFont val="宋体"/>
        <family val="3"/>
        <charset val="134"/>
        <scheme val="minor"/>
      </rPr>
      <t>27号楼</t>
    </r>
    <r>
      <rPr>
        <sz val="11"/>
        <color theme="1"/>
        <rFont val="宋体"/>
        <family val="2"/>
        <charset val="134"/>
        <scheme val="minor"/>
      </rPr>
      <t/>
    </r>
  </si>
  <si>
    <r>
      <t>X京房权证海字第435641号</t>
    </r>
    <r>
      <rPr>
        <sz val="11"/>
        <color theme="1"/>
        <rFont val="宋体"/>
        <family val="2"/>
        <charset val="134"/>
        <scheme val="minor"/>
      </rPr>
      <t/>
    </r>
    <phoneticPr fontId="144" type="noConversion"/>
  </si>
  <si>
    <r>
      <t>海淀区栖云路9号院</t>
    </r>
    <r>
      <rPr>
        <sz val="11"/>
        <color theme="1"/>
        <rFont val="宋体"/>
        <family val="3"/>
        <charset val="134"/>
        <scheme val="minor"/>
      </rPr>
      <t>28号楼</t>
    </r>
    <r>
      <rPr>
        <sz val="11"/>
        <color theme="1"/>
        <rFont val="宋体"/>
        <family val="2"/>
        <charset val="134"/>
        <scheme val="minor"/>
      </rPr>
      <t/>
    </r>
  </si>
  <si>
    <r>
      <t>X京房权证海字第435638号</t>
    </r>
    <r>
      <rPr>
        <sz val="11"/>
        <color theme="1"/>
        <rFont val="宋体"/>
        <family val="2"/>
        <charset val="134"/>
        <scheme val="minor"/>
      </rPr>
      <t/>
    </r>
    <phoneticPr fontId="144" type="noConversion"/>
  </si>
  <si>
    <r>
      <t>海淀区栖云路9号院</t>
    </r>
    <r>
      <rPr>
        <sz val="11"/>
        <color theme="1"/>
        <rFont val="宋体"/>
        <family val="3"/>
        <charset val="134"/>
        <scheme val="minor"/>
      </rPr>
      <t>29号楼</t>
    </r>
    <r>
      <rPr>
        <sz val="11"/>
        <color theme="1"/>
        <rFont val="宋体"/>
        <family val="2"/>
        <charset val="134"/>
        <scheme val="minor"/>
      </rPr>
      <t/>
    </r>
  </si>
  <si>
    <t>X京房权证海字第437300号</t>
    <phoneticPr fontId="144" type="noConversion"/>
  </si>
  <si>
    <r>
      <t>海淀区栖云路9号院</t>
    </r>
    <r>
      <rPr>
        <sz val="11"/>
        <color theme="1"/>
        <rFont val="宋体"/>
        <family val="3"/>
        <charset val="134"/>
        <scheme val="minor"/>
      </rPr>
      <t>30号楼</t>
    </r>
    <r>
      <rPr>
        <sz val="11"/>
        <color theme="1"/>
        <rFont val="宋体"/>
        <family val="2"/>
        <charset val="134"/>
        <scheme val="minor"/>
      </rPr>
      <t/>
    </r>
  </si>
  <si>
    <t>X京房权证海字第437301号</t>
  </si>
  <si>
    <r>
      <t>海淀区栖云路9号院</t>
    </r>
    <r>
      <rPr>
        <sz val="11"/>
        <color theme="1"/>
        <rFont val="宋体"/>
        <family val="3"/>
        <charset val="134"/>
        <scheme val="minor"/>
      </rPr>
      <t>31号楼</t>
    </r>
    <r>
      <rPr>
        <sz val="11"/>
        <color theme="1"/>
        <rFont val="宋体"/>
        <family val="2"/>
        <charset val="134"/>
        <scheme val="minor"/>
      </rPr>
      <t/>
    </r>
  </si>
  <si>
    <t>X京房权证海字第437302号</t>
  </si>
  <si>
    <r>
      <t>海淀区栖云路9号院</t>
    </r>
    <r>
      <rPr>
        <sz val="11"/>
        <color theme="1"/>
        <rFont val="宋体"/>
        <family val="3"/>
        <charset val="134"/>
        <scheme val="minor"/>
      </rPr>
      <t>32号楼</t>
    </r>
    <r>
      <rPr>
        <sz val="11"/>
        <color theme="1"/>
        <rFont val="宋体"/>
        <family val="2"/>
        <charset val="134"/>
        <scheme val="minor"/>
      </rPr>
      <t/>
    </r>
  </si>
  <si>
    <t>X京房权证海字第437303号</t>
  </si>
  <si>
    <r>
      <t>海淀区栖云路9号院</t>
    </r>
    <r>
      <rPr>
        <sz val="11"/>
        <color theme="1"/>
        <rFont val="宋体"/>
        <family val="3"/>
        <charset val="134"/>
        <scheme val="minor"/>
      </rPr>
      <t>33号楼</t>
    </r>
    <r>
      <rPr>
        <sz val="11"/>
        <color theme="1"/>
        <rFont val="宋体"/>
        <family val="2"/>
        <charset val="134"/>
        <scheme val="minor"/>
      </rPr>
      <t/>
    </r>
  </si>
  <si>
    <r>
      <t>X京房权证海字第435640号</t>
    </r>
    <r>
      <rPr>
        <sz val="11"/>
        <color theme="1"/>
        <rFont val="宋体"/>
        <family val="2"/>
        <charset val="134"/>
        <scheme val="minor"/>
      </rPr>
      <t/>
    </r>
    <phoneticPr fontId="144" type="noConversion"/>
  </si>
  <si>
    <r>
      <t>海淀区栖云路9号院</t>
    </r>
    <r>
      <rPr>
        <sz val="11"/>
        <color theme="1"/>
        <rFont val="宋体"/>
        <family val="3"/>
        <charset val="134"/>
        <scheme val="minor"/>
      </rPr>
      <t>34号楼</t>
    </r>
    <r>
      <rPr>
        <sz val="11"/>
        <color theme="1"/>
        <rFont val="宋体"/>
        <family val="2"/>
        <charset val="134"/>
        <scheme val="minor"/>
      </rPr>
      <t/>
    </r>
  </si>
  <si>
    <r>
      <t>X京房权证海字第435639号</t>
    </r>
    <r>
      <rPr>
        <sz val="11"/>
        <color theme="1"/>
        <rFont val="宋体"/>
        <family val="2"/>
        <charset val="134"/>
        <scheme val="minor"/>
      </rPr>
      <t/>
    </r>
    <phoneticPr fontId="144" type="noConversion"/>
  </si>
  <si>
    <r>
      <t>海淀区栖云路9号院</t>
    </r>
    <r>
      <rPr>
        <sz val="11"/>
        <color theme="1"/>
        <rFont val="宋体"/>
        <family val="3"/>
        <charset val="134"/>
        <scheme val="minor"/>
      </rPr>
      <t>35号楼</t>
    </r>
    <r>
      <rPr>
        <sz val="11"/>
        <color theme="1"/>
        <rFont val="宋体"/>
        <family val="2"/>
        <charset val="134"/>
        <scheme val="minor"/>
      </rPr>
      <t/>
    </r>
  </si>
  <si>
    <t>X京房权证海字第437304号</t>
    <phoneticPr fontId="144" type="noConversion"/>
  </si>
  <si>
    <r>
      <t>海淀区栖云路9号院</t>
    </r>
    <r>
      <rPr>
        <sz val="11"/>
        <color theme="1"/>
        <rFont val="宋体"/>
        <family val="3"/>
        <charset val="134"/>
        <scheme val="minor"/>
      </rPr>
      <t>36号楼</t>
    </r>
    <r>
      <rPr>
        <sz val="11"/>
        <color theme="1"/>
        <rFont val="宋体"/>
        <family val="2"/>
        <charset val="134"/>
        <scheme val="minor"/>
      </rPr>
      <t/>
    </r>
  </si>
  <si>
    <t>X京房权证海字第437305号</t>
  </si>
  <si>
    <r>
      <t>海淀区栖云路9号院</t>
    </r>
    <r>
      <rPr>
        <sz val="11"/>
        <color theme="1"/>
        <rFont val="宋体"/>
        <family val="3"/>
        <charset val="134"/>
        <scheme val="minor"/>
      </rPr>
      <t>37号楼</t>
    </r>
    <r>
      <rPr>
        <sz val="11"/>
        <color theme="1"/>
        <rFont val="宋体"/>
        <family val="2"/>
        <charset val="134"/>
        <scheme val="minor"/>
      </rPr>
      <t/>
    </r>
  </si>
  <si>
    <t>X京房权证海字第437306号</t>
  </si>
  <si>
    <r>
      <t>海淀区栖云路9号院</t>
    </r>
    <r>
      <rPr>
        <sz val="11"/>
        <color theme="1"/>
        <rFont val="宋体"/>
        <family val="3"/>
        <charset val="134"/>
        <scheme val="minor"/>
      </rPr>
      <t>38号楼</t>
    </r>
    <r>
      <rPr>
        <sz val="11"/>
        <color theme="1"/>
        <rFont val="宋体"/>
        <family val="2"/>
        <charset val="134"/>
        <scheme val="minor"/>
      </rPr>
      <t/>
    </r>
  </si>
  <si>
    <r>
      <t>X京房权证海字第435616号</t>
    </r>
    <r>
      <rPr>
        <sz val="11"/>
        <color theme="1"/>
        <rFont val="宋体"/>
        <family val="2"/>
        <charset val="134"/>
        <scheme val="minor"/>
      </rPr>
      <t/>
    </r>
    <phoneticPr fontId="144" type="noConversion"/>
  </si>
  <si>
    <r>
      <t>海淀区栖云路9号院</t>
    </r>
    <r>
      <rPr>
        <sz val="11"/>
        <color theme="1"/>
        <rFont val="宋体"/>
        <family val="3"/>
        <charset val="134"/>
        <scheme val="minor"/>
      </rPr>
      <t>39号楼</t>
    </r>
    <r>
      <rPr>
        <sz val="11"/>
        <color theme="1"/>
        <rFont val="宋体"/>
        <family val="2"/>
        <charset val="134"/>
        <scheme val="minor"/>
      </rPr>
      <t/>
    </r>
  </si>
  <si>
    <t>X京房权证海字第437307号</t>
    <phoneticPr fontId="144" type="noConversion"/>
  </si>
  <si>
    <r>
      <t>海淀区栖云路9号院</t>
    </r>
    <r>
      <rPr>
        <sz val="11"/>
        <color theme="1"/>
        <rFont val="宋体"/>
        <family val="3"/>
        <charset val="134"/>
        <scheme val="minor"/>
      </rPr>
      <t>40号楼</t>
    </r>
    <r>
      <rPr>
        <sz val="11"/>
        <color theme="1"/>
        <rFont val="宋体"/>
        <family val="2"/>
        <charset val="134"/>
        <scheme val="minor"/>
      </rPr>
      <t/>
    </r>
  </si>
  <si>
    <t>X京房权证海字第437308号</t>
  </si>
  <si>
    <r>
      <t>海淀区栖云路9号院</t>
    </r>
    <r>
      <rPr>
        <sz val="11"/>
        <color theme="1"/>
        <rFont val="宋体"/>
        <family val="3"/>
        <charset val="134"/>
        <scheme val="minor"/>
      </rPr>
      <t>41号楼</t>
    </r>
    <r>
      <rPr>
        <sz val="11"/>
        <color theme="1"/>
        <rFont val="宋体"/>
        <family val="2"/>
        <charset val="134"/>
        <scheme val="minor"/>
      </rPr>
      <t/>
    </r>
  </si>
  <si>
    <t>X京房权证海字第437309号</t>
  </si>
  <si>
    <r>
      <t>海淀区栖云路9号院</t>
    </r>
    <r>
      <rPr>
        <sz val="11"/>
        <color theme="1"/>
        <rFont val="宋体"/>
        <family val="3"/>
        <charset val="134"/>
        <scheme val="minor"/>
      </rPr>
      <t>42号楼</t>
    </r>
    <r>
      <rPr>
        <sz val="11"/>
        <color theme="1"/>
        <rFont val="宋体"/>
        <family val="2"/>
        <charset val="134"/>
        <scheme val="minor"/>
      </rPr>
      <t/>
    </r>
  </si>
  <si>
    <t>X京房权证海字第437310号</t>
  </si>
  <si>
    <r>
      <t>海淀区栖云路9号院</t>
    </r>
    <r>
      <rPr>
        <sz val="11"/>
        <color theme="1"/>
        <rFont val="宋体"/>
        <family val="3"/>
        <charset val="134"/>
        <scheme val="minor"/>
      </rPr>
      <t>43号楼</t>
    </r>
    <r>
      <rPr>
        <sz val="11"/>
        <color theme="1"/>
        <rFont val="宋体"/>
        <family val="2"/>
        <charset val="134"/>
        <scheme val="minor"/>
      </rPr>
      <t/>
    </r>
  </si>
  <si>
    <t>X京房权证海字第437311号</t>
  </si>
  <si>
    <r>
      <t>海淀区栖云路9号院</t>
    </r>
    <r>
      <rPr>
        <sz val="11"/>
        <color theme="1"/>
        <rFont val="宋体"/>
        <family val="3"/>
        <charset val="134"/>
        <scheme val="minor"/>
      </rPr>
      <t>44号楼</t>
    </r>
    <r>
      <rPr>
        <sz val="11"/>
        <color theme="1"/>
        <rFont val="宋体"/>
        <family val="2"/>
        <charset val="134"/>
        <scheme val="minor"/>
      </rPr>
      <t/>
    </r>
  </si>
  <si>
    <r>
      <t>X京房权证海字第435648号</t>
    </r>
    <r>
      <rPr>
        <sz val="11"/>
        <color theme="1"/>
        <rFont val="宋体"/>
        <family val="2"/>
        <charset val="134"/>
        <scheme val="minor"/>
      </rPr>
      <t/>
    </r>
    <phoneticPr fontId="144" type="noConversion"/>
  </si>
  <si>
    <r>
      <t>海淀区栖云路9号院</t>
    </r>
    <r>
      <rPr>
        <sz val="11"/>
        <color theme="1"/>
        <rFont val="宋体"/>
        <family val="3"/>
        <charset val="134"/>
        <scheme val="minor"/>
      </rPr>
      <t>45号楼</t>
    </r>
    <r>
      <rPr>
        <sz val="11"/>
        <color theme="1"/>
        <rFont val="宋体"/>
        <family val="2"/>
        <charset val="134"/>
        <scheme val="minor"/>
      </rPr>
      <t/>
    </r>
  </si>
  <si>
    <t>X京房权证海字第437312号</t>
    <phoneticPr fontId="144" type="noConversion"/>
  </si>
  <si>
    <r>
      <t>海淀区栖云路9号院</t>
    </r>
    <r>
      <rPr>
        <sz val="11"/>
        <color theme="1"/>
        <rFont val="宋体"/>
        <family val="3"/>
        <charset val="134"/>
        <scheme val="minor"/>
      </rPr>
      <t>46号楼</t>
    </r>
    <r>
      <rPr>
        <sz val="11"/>
        <color theme="1"/>
        <rFont val="宋体"/>
        <family val="2"/>
        <charset val="134"/>
        <scheme val="minor"/>
      </rPr>
      <t/>
    </r>
  </si>
  <si>
    <t>X京房权证海字第437313号</t>
  </si>
  <si>
    <r>
      <t>海淀区栖云路9号院</t>
    </r>
    <r>
      <rPr>
        <sz val="11"/>
        <color theme="1"/>
        <rFont val="宋体"/>
        <family val="3"/>
        <charset val="134"/>
        <scheme val="minor"/>
      </rPr>
      <t>47号楼</t>
    </r>
    <r>
      <rPr>
        <sz val="11"/>
        <color theme="1"/>
        <rFont val="宋体"/>
        <family val="2"/>
        <charset val="134"/>
        <scheme val="minor"/>
      </rPr>
      <t/>
    </r>
  </si>
  <si>
    <t>X京房权证海字第437314号</t>
  </si>
  <si>
    <r>
      <t>海淀区栖云路9号院</t>
    </r>
    <r>
      <rPr>
        <sz val="11"/>
        <color theme="1"/>
        <rFont val="宋体"/>
        <family val="3"/>
        <charset val="134"/>
        <scheme val="minor"/>
      </rPr>
      <t>48号楼</t>
    </r>
    <r>
      <rPr>
        <sz val="11"/>
        <color theme="1"/>
        <rFont val="宋体"/>
        <family val="2"/>
        <charset val="134"/>
        <scheme val="minor"/>
      </rPr>
      <t/>
    </r>
  </si>
  <si>
    <t>X京房权证海字第433261号</t>
    <phoneticPr fontId="144" type="noConversion"/>
  </si>
  <si>
    <r>
      <t>海淀区栖云路9号院</t>
    </r>
    <r>
      <rPr>
        <sz val="11"/>
        <color theme="1"/>
        <rFont val="宋体"/>
        <family val="3"/>
        <charset val="134"/>
        <scheme val="minor"/>
      </rPr>
      <t>49号楼</t>
    </r>
    <r>
      <rPr>
        <sz val="11"/>
        <color theme="1"/>
        <rFont val="宋体"/>
        <family val="2"/>
        <charset val="134"/>
        <scheme val="minor"/>
      </rPr>
      <t/>
    </r>
  </si>
  <si>
    <t>X京房权证海字第431792号</t>
    <phoneticPr fontId="144" type="noConversion"/>
  </si>
  <si>
    <r>
      <t>海淀区栖云路9号院</t>
    </r>
    <r>
      <rPr>
        <sz val="11"/>
        <color theme="1"/>
        <rFont val="宋体"/>
        <family val="3"/>
        <charset val="134"/>
        <scheme val="minor"/>
      </rPr>
      <t>50号楼</t>
    </r>
    <r>
      <rPr>
        <sz val="11"/>
        <color theme="1"/>
        <rFont val="宋体"/>
        <family val="2"/>
        <charset val="134"/>
        <scheme val="minor"/>
      </rPr>
      <t/>
    </r>
  </si>
  <si>
    <r>
      <t>X京房权证海字第435647号</t>
    </r>
    <r>
      <rPr>
        <sz val="11"/>
        <color theme="1"/>
        <rFont val="宋体"/>
        <family val="2"/>
        <charset val="134"/>
        <scheme val="minor"/>
      </rPr>
      <t/>
    </r>
    <phoneticPr fontId="144" type="noConversion"/>
  </si>
  <si>
    <r>
      <t>海淀区栖云路9号院</t>
    </r>
    <r>
      <rPr>
        <sz val="11"/>
        <color theme="1"/>
        <rFont val="宋体"/>
        <family val="3"/>
        <charset val="134"/>
        <scheme val="minor"/>
      </rPr>
      <t>51号楼</t>
    </r>
    <r>
      <rPr>
        <sz val="11"/>
        <color theme="1"/>
        <rFont val="宋体"/>
        <family val="2"/>
        <charset val="134"/>
        <scheme val="minor"/>
      </rPr>
      <t/>
    </r>
  </si>
  <si>
    <r>
      <t>X京房权证海字第435645号</t>
    </r>
    <r>
      <rPr>
        <sz val="11"/>
        <color theme="1"/>
        <rFont val="宋体"/>
        <family val="2"/>
        <charset val="134"/>
        <scheme val="minor"/>
      </rPr>
      <t/>
    </r>
    <phoneticPr fontId="144" type="noConversion"/>
  </si>
  <si>
    <r>
      <t>海淀区栖云路9号院</t>
    </r>
    <r>
      <rPr>
        <sz val="11"/>
        <color theme="1"/>
        <rFont val="宋体"/>
        <family val="3"/>
        <charset val="134"/>
        <scheme val="minor"/>
      </rPr>
      <t>52号楼</t>
    </r>
    <r>
      <rPr>
        <sz val="11"/>
        <color theme="1"/>
        <rFont val="宋体"/>
        <family val="2"/>
        <charset val="134"/>
        <scheme val="minor"/>
      </rPr>
      <t/>
    </r>
  </si>
  <si>
    <r>
      <t>X京房权证海字第435649号</t>
    </r>
    <r>
      <rPr>
        <sz val="11"/>
        <color theme="1"/>
        <rFont val="宋体"/>
        <family val="2"/>
        <charset val="134"/>
        <scheme val="minor"/>
      </rPr>
      <t/>
    </r>
    <phoneticPr fontId="144" type="noConversion"/>
  </si>
  <si>
    <r>
      <t>海淀区栖云路9号院</t>
    </r>
    <r>
      <rPr>
        <sz val="11"/>
        <color theme="1"/>
        <rFont val="宋体"/>
        <family val="3"/>
        <charset val="134"/>
        <scheme val="minor"/>
      </rPr>
      <t>53号楼</t>
    </r>
    <r>
      <rPr>
        <sz val="11"/>
        <color theme="1"/>
        <rFont val="宋体"/>
        <family val="2"/>
        <charset val="134"/>
        <scheme val="minor"/>
      </rPr>
      <t/>
    </r>
  </si>
  <si>
    <t>X京房权证海字第437315号</t>
    <phoneticPr fontId="144" type="noConversion"/>
  </si>
  <si>
    <r>
      <t>海淀区栖云路9号院</t>
    </r>
    <r>
      <rPr>
        <sz val="11"/>
        <color theme="1"/>
        <rFont val="宋体"/>
        <family val="3"/>
        <charset val="134"/>
        <scheme val="minor"/>
      </rPr>
      <t>54号楼</t>
    </r>
    <r>
      <rPr>
        <sz val="11"/>
        <color theme="1"/>
        <rFont val="宋体"/>
        <family val="2"/>
        <charset val="134"/>
        <scheme val="minor"/>
      </rPr>
      <t/>
    </r>
  </si>
  <si>
    <t>X京房权证海字第437316号</t>
  </si>
  <si>
    <r>
      <t>海淀区栖云路9号院</t>
    </r>
    <r>
      <rPr>
        <sz val="11"/>
        <color theme="1"/>
        <rFont val="宋体"/>
        <family val="3"/>
        <charset val="134"/>
        <scheme val="minor"/>
      </rPr>
      <t>55号楼</t>
    </r>
    <r>
      <rPr>
        <sz val="11"/>
        <color theme="1"/>
        <rFont val="宋体"/>
        <family val="2"/>
        <charset val="134"/>
        <scheme val="minor"/>
      </rPr>
      <t/>
    </r>
  </si>
  <si>
    <r>
      <t>X京房权证海字第435644号</t>
    </r>
    <r>
      <rPr>
        <sz val="11"/>
        <color theme="1"/>
        <rFont val="宋体"/>
        <family val="2"/>
        <charset val="134"/>
        <scheme val="minor"/>
      </rPr>
      <t/>
    </r>
    <phoneticPr fontId="144" type="noConversion"/>
  </si>
  <si>
    <r>
      <t>海淀区栖云路9号院</t>
    </r>
    <r>
      <rPr>
        <sz val="11"/>
        <color theme="1"/>
        <rFont val="宋体"/>
        <family val="3"/>
        <charset val="134"/>
        <scheme val="minor"/>
      </rPr>
      <t>56号楼</t>
    </r>
    <r>
      <rPr>
        <sz val="11"/>
        <color theme="1"/>
        <rFont val="宋体"/>
        <family val="2"/>
        <charset val="134"/>
        <scheme val="minor"/>
      </rPr>
      <t/>
    </r>
  </si>
  <si>
    <t>X京房权证海字第437317号</t>
    <phoneticPr fontId="144" type="noConversion"/>
  </si>
  <si>
    <r>
      <t>海淀区栖云路9号院</t>
    </r>
    <r>
      <rPr>
        <sz val="11"/>
        <color theme="1"/>
        <rFont val="宋体"/>
        <family val="3"/>
        <charset val="134"/>
        <scheme val="minor"/>
      </rPr>
      <t>57号楼</t>
    </r>
    <r>
      <rPr>
        <sz val="11"/>
        <color theme="1"/>
        <rFont val="宋体"/>
        <family val="2"/>
        <charset val="134"/>
        <scheme val="minor"/>
      </rPr>
      <t/>
    </r>
  </si>
  <si>
    <t>X京房权证海字第437318号</t>
  </si>
  <si>
    <r>
      <t>海淀区栖云路9号院</t>
    </r>
    <r>
      <rPr>
        <sz val="11"/>
        <color theme="1"/>
        <rFont val="宋体"/>
        <family val="3"/>
        <charset val="134"/>
        <scheme val="minor"/>
      </rPr>
      <t>58号楼</t>
    </r>
    <r>
      <rPr>
        <sz val="11"/>
        <color theme="1"/>
        <rFont val="宋体"/>
        <family val="2"/>
        <charset val="134"/>
        <scheme val="minor"/>
      </rPr>
      <t/>
    </r>
  </si>
  <si>
    <t>X京房权证海字第437319号</t>
  </si>
  <si>
    <r>
      <t>海淀区栖云路9号院</t>
    </r>
    <r>
      <rPr>
        <sz val="11"/>
        <color theme="1"/>
        <rFont val="宋体"/>
        <family val="3"/>
        <charset val="134"/>
        <scheme val="minor"/>
      </rPr>
      <t>59号楼</t>
    </r>
    <r>
      <rPr>
        <sz val="11"/>
        <color theme="1"/>
        <rFont val="宋体"/>
        <family val="2"/>
        <charset val="134"/>
        <scheme val="minor"/>
      </rPr>
      <t/>
    </r>
  </si>
  <si>
    <t>X京房权证海字第437320号</t>
  </si>
  <si>
    <r>
      <t>海淀区栖云路9号院</t>
    </r>
    <r>
      <rPr>
        <sz val="11"/>
        <color theme="1"/>
        <rFont val="宋体"/>
        <family val="3"/>
        <charset val="134"/>
        <scheme val="minor"/>
      </rPr>
      <t>60号楼</t>
    </r>
    <r>
      <rPr>
        <sz val="11"/>
        <color theme="1"/>
        <rFont val="宋体"/>
        <family val="2"/>
        <charset val="134"/>
        <scheme val="minor"/>
      </rPr>
      <t/>
    </r>
  </si>
  <si>
    <r>
      <t>X京房权证海字第435615号</t>
    </r>
    <r>
      <rPr>
        <sz val="11"/>
        <color theme="1"/>
        <rFont val="宋体"/>
        <family val="2"/>
        <charset val="134"/>
        <scheme val="minor"/>
      </rPr>
      <t/>
    </r>
    <phoneticPr fontId="144" type="noConversion"/>
  </si>
  <si>
    <r>
      <t>海淀区栖云路9号院</t>
    </r>
    <r>
      <rPr>
        <sz val="11"/>
        <color theme="1"/>
        <rFont val="宋体"/>
        <family val="3"/>
        <charset val="134"/>
        <scheme val="minor"/>
      </rPr>
      <t>61号楼</t>
    </r>
    <r>
      <rPr>
        <sz val="11"/>
        <color theme="1"/>
        <rFont val="宋体"/>
        <family val="2"/>
        <charset val="134"/>
        <scheme val="minor"/>
      </rPr>
      <t/>
    </r>
  </si>
  <si>
    <r>
      <t>X京房权证海字第435643号</t>
    </r>
    <r>
      <rPr>
        <sz val="11"/>
        <color theme="1"/>
        <rFont val="宋体"/>
        <family val="2"/>
        <charset val="134"/>
        <scheme val="minor"/>
      </rPr>
      <t/>
    </r>
    <phoneticPr fontId="144" type="noConversion"/>
  </si>
  <si>
    <r>
      <t>海淀区栖云路9号院</t>
    </r>
    <r>
      <rPr>
        <sz val="11"/>
        <color theme="1"/>
        <rFont val="宋体"/>
        <family val="3"/>
        <charset val="134"/>
        <scheme val="minor"/>
      </rPr>
      <t>62号楼</t>
    </r>
    <r>
      <rPr>
        <sz val="11"/>
        <color theme="1"/>
        <rFont val="宋体"/>
        <family val="2"/>
        <charset val="134"/>
        <scheme val="minor"/>
      </rPr>
      <t/>
    </r>
  </si>
  <si>
    <r>
      <t>X京房权证海字第435646号</t>
    </r>
    <r>
      <rPr>
        <sz val="11"/>
        <color theme="1"/>
        <rFont val="宋体"/>
        <family val="2"/>
        <charset val="134"/>
        <scheme val="minor"/>
      </rPr>
      <t/>
    </r>
    <phoneticPr fontId="144" type="noConversion"/>
  </si>
  <si>
    <r>
      <t>海淀区栖云路9号院</t>
    </r>
    <r>
      <rPr>
        <sz val="11"/>
        <color theme="1"/>
        <rFont val="宋体"/>
        <family val="3"/>
        <charset val="134"/>
        <scheme val="minor"/>
      </rPr>
      <t>63号楼</t>
    </r>
    <r>
      <rPr>
        <sz val="11"/>
        <color theme="1"/>
        <rFont val="宋体"/>
        <family val="2"/>
        <charset val="134"/>
        <scheme val="minor"/>
      </rPr>
      <t/>
    </r>
  </si>
  <si>
    <t>X京房权证海字第433145号</t>
    <phoneticPr fontId="144" type="noConversion"/>
  </si>
  <si>
    <r>
      <t>海淀区栖云路9号院</t>
    </r>
    <r>
      <rPr>
        <sz val="11"/>
        <color theme="1"/>
        <rFont val="宋体"/>
        <family val="3"/>
        <charset val="134"/>
        <scheme val="minor"/>
      </rPr>
      <t>64号楼</t>
    </r>
    <r>
      <rPr>
        <sz val="11"/>
        <color theme="1"/>
        <rFont val="宋体"/>
        <family val="2"/>
        <charset val="134"/>
        <scheme val="minor"/>
      </rPr>
      <t/>
    </r>
  </si>
  <si>
    <t>X京房权证海字第437321号</t>
    <phoneticPr fontId="144" type="noConversion"/>
  </si>
  <si>
    <r>
      <t>海淀区栖云路9号院</t>
    </r>
    <r>
      <rPr>
        <sz val="11"/>
        <color theme="1"/>
        <rFont val="宋体"/>
        <family val="3"/>
        <charset val="134"/>
        <scheme val="minor"/>
      </rPr>
      <t>65号楼</t>
    </r>
    <r>
      <rPr>
        <sz val="11"/>
        <color theme="1"/>
        <rFont val="宋体"/>
        <family val="2"/>
        <charset val="134"/>
        <scheme val="minor"/>
      </rPr>
      <t/>
    </r>
  </si>
  <si>
    <t>X京房权证海字第437322号</t>
  </si>
  <si>
    <r>
      <t>海淀区栖云路9号院</t>
    </r>
    <r>
      <rPr>
        <sz val="11"/>
        <color theme="1"/>
        <rFont val="宋体"/>
        <family val="3"/>
        <charset val="134"/>
        <scheme val="minor"/>
      </rPr>
      <t>66号楼</t>
    </r>
    <r>
      <rPr>
        <sz val="11"/>
        <color theme="1"/>
        <rFont val="宋体"/>
        <family val="2"/>
        <charset val="134"/>
        <scheme val="minor"/>
      </rPr>
      <t/>
    </r>
  </si>
  <si>
    <t>X京房权证海字第437323号</t>
  </si>
  <si>
    <r>
      <t>海淀区栖云路9号院</t>
    </r>
    <r>
      <rPr>
        <sz val="11"/>
        <color theme="1"/>
        <rFont val="宋体"/>
        <family val="3"/>
        <charset val="134"/>
        <scheme val="minor"/>
      </rPr>
      <t>67号楼</t>
    </r>
    <r>
      <rPr>
        <sz val="11"/>
        <color theme="1"/>
        <rFont val="宋体"/>
        <family val="2"/>
        <charset val="134"/>
        <scheme val="minor"/>
      </rPr>
      <t/>
    </r>
  </si>
  <si>
    <t>X京房权证海字第437324号</t>
  </si>
  <si>
    <r>
      <t>海淀区栖云路9号院</t>
    </r>
    <r>
      <rPr>
        <sz val="11"/>
        <color theme="1"/>
        <rFont val="宋体"/>
        <family val="3"/>
        <charset val="134"/>
        <scheme val="minor"/>
      </rPr>
      <t>68号楼</t>
    </r>
    <r>
      <rPr>
        <sz val="11"/>
        <color theme="1"/>
        <rFont val="宋体"/>
        <family val="2"/>
        <charset val="134"/>
        <scheme val="minor"/>
      </rPr>
      <t/>
    </r>
  </si>
  <si>
    <t>总计</t>
    <phoneticPr fontId="144" type="noConversion"/>
  </si>
  <si>
    <t>已售</t>
    <phoneticPr fontId="144" type="noConversion"/>
  </si>
  <si>
    <t>依据</t>
    <phoneticPr fontId="144" type="noConversion"/>
  </si>
  <si>
    <t>楼号</t>
    <phoneticPr fontId="144" type="noConversion"/>
  </si>
  <si>
    <t>建筑层数</t>
    <phoneticPr fontId="144" type="noConversion"/>
  </si>
  <si>
    <t>有竣工备案2013年</t>
    <phoneticPr fontId="144" type="noConversion"/>
  </si>
  <si>
    <r>
      <t>有竣工备案2</t>
    </r>
    <r>
      <rPr>
        <sz val="11"/>
        <color theme="1"/>
        <rFont val="宋体"/>
        <family val="3"/>
        <charset val="134"/>
        <scheme val="minor"/>
      </rPr>
      <t>016年</t>
    </r>
    <phoneticPr fontId="144" type="noConversion"/>
  </si>
  <si>
    <t>房产测绘成果备案表</t>
    <phoneticPr fontId="144" type="noConversion"/>
  </si>
  <si>
    <r>
      <t>1</t>
    </r>
    <r>
      <rPr>
        <sz val="11"/>
        <color theme="1"/>
        <rFont val="宋体"/>
        <family val="3"/>
        <charset val="134"/>
        <scheme val="minor"/>
      </rPr>
      <t>#</t>
    </r>
    <phoneticPr fontId="144" type="noConversion"/>
  </si>
  <si>
    <t>64#</t>
    <phoneticPr fontId="144" type="noConversion"/>
  </si>
  <si>
    <r>
      <t>2#</t>
    </r>
    <r>
      <rPr>
        <sz val="11"/>
        <color theme="1"/>
        <rFont val="宋体"/>
        <family val="3"/>
        <charset val="134"/>
        <scheme val="minor"/>
      </rPr>
      <t/>
    </r>
  </si>
  <si>
    <t>65#</t>
  </si>
  <si>
    <r>
      <t>3#</t>
    </r>
    <r>
      <rPr>
        <sz val="11"/>
        <color theme="1"/>
        <rFont val="宋体"/>
        <family val="3"/>
        <charset val="134"/>
        <scheme val="minor"/>
      </rPr>
      <t/>
    </r>
  </si>
  <si>
    <t>66#</t>
  </si>
  <si>
    <r>
      <t>4#</t>
    </r>
    <r>
      <rPr>
        <sz val="11"/>
        <color theme="1"/>
        <rFont val="宋体"/>
        <family val="3"/>
        <charset val="134"/>
        <scheme val="minor"/>
      </rPr>
      <t/>
    </r>
  </si>
  <si>
    <t>67#</t>
  </si>
  <si>
    <r>
      <t>5#</t>
    </r>
    <r>
      <rPr>
        <sz val="11"/>
        <color theme="1"/>
        <rFont val="宋体"/>
        <family val="3"/>
        <charset val="134"/>
        <scheme val="minor"/>
      </rPr>
      <t/>
    </r>
  </si>
  <si>
    <t>68#</t>
  </si>
  <si>
    <r>
      <t>6#</t>
    </r>
    <r>
      <rPr>
        <sz val="11"/>
        <color theme="1"/>
        <rFont val="宋体"/>
        <family val="3"/>
        <charset val="134"/>
        <scheme val="minor"/>
      </rPr>
      <t/>
    </r>
  </si>
  <si>
    <t>69#</t>
  </si>
  <si>
    <r>
      <t>7#</t>
    </r>
    <r>
      <rPr>
        <sz val="11"/>
        <color theme="1"/>
        <rFont val="宋体"/>
        <family val="3"/>
        <charset val="134"/>
        <scheme val="minor"/>
      </rPr>
      <t/>
    </r>
  </si>
  <si>
    <t>70#</t>
  </si>
  <si>
    <r>
      <t>8#</t>
    </r>
    <r>
      <rPr>
        <sz val="11"/>
        <color theme="1"/>
        <rFont val="宋体"/>
        <family val="3"/>
        <charset val="134"/>
        <scheme val="minor"/>
      </rPr>
      <t/>
    </r>
  </si>
  <si>
    <t>71#</t>
  </si>
  <si>
    <r>
      <t>9#</t>
    </r>
    <r>
      <rPr>
        <sz val="11"/>
        <color theme="1"/>
        <rFont val="宋体"/>
        <family val="3"/>
        <charset val="134"/>
        <scheme val="minor"/>
      </rPr>
      <t/>
    </r>
  </si>
  <si>
    <t>72#</t>
  </si>
  <si>
    <r>
      <t>10#</t>
    </r>
    <r>
      <rPr>
        <sz val="11"/>
        <color theme="1"/>
        <rFont val="宋体"/>
        <family val="3"/>
        <charset val="134"/>
        <scheme val="minor"/>
      </rPr>
      <t/>
    </r>
  </si>
  <si>
    <t>73#</t>
  </si>
  <si>
    <r>
      <t>11#</t>
    </r>
    <r>
      <rPr>
        <sz val="11"/>
        <color theme="1"/>
        <rFont val="宋体"/>
        <family val="3"/>
        <charset val="134"/>
        <scheme val="minor"/>
      </rPr>
      <t/>
    </r>
  </si>
  <si>
    <t>74#</t>
  </si>
  <si>
    <r>
      <t>12#</t>
    </r>
    <r>
      <rPr>
        <sz val="11"/>
        <color theme="1"/>
        <rFont val="宋体"/>
        <family val="3"/>
        <charset val="134"/>
        <scheme val="minor"/>
      </rPr>
      <t/>
    </r>
  </si>
  <si>
    <t>75#</t>
  </si>
  <si>
    <r>
      <t>13#</t>
    </r>
    <r>
      <rPr>
        <sz val="11"/>
        <color theme="1"/>
        <rFont val="宋体"/>
        <family val="3"/>
        <charset val="134"/>
        <scheme val="minor"/>
      </rPr>
      <t/>
    </r>
  </si>
  <si>
    <t>76#</t>
  </si>
  <si>
    <r>
      <t>14#</t>
    </r>
    <r>
      <rPr>
        <sz val="11"/>
        <color theme="1"/>
        <rFont val="宋体"/>
        <family val="3"/>
        <charset val="134"/>
        <scheme val="minor"/>
      </rPr>
      <t/>
    </r>
  </si>
  <si>
    <t>77#</t>
  </si>
  <si>
    <r>
      <t>15#</t>
    </r>
    <r>
      <rPr>
        <sz val="11"/>
        <color theme="1"/>
        <rFont val="宋体"/>
        <family val="3"/>
        <charset val="134"/>
        <scheme val="minor"/>
      </rPr>
      <t/>
    </r>
  </si>
  <si>
    <t>78#</t>
  </si>
  <si>
    <r>
      <t>16#</t>
    </r>
    <r>
      <rPr>
        <sz val="11"/>
        <color theme="1"/>
        <rFont val="宋体"/>
        <family val="3"/>
        <charset val="134"/>
        <scheme val="minor"/>
      </rPr>
      <t/>
    </r>
  </si>
  <si>
    <t>79#</t>
  </si>
  <si>
    <r>
      <t>17#</t>
    </r>
    <r>
      <rPr>
        <sz val="11"/>
        <color theme="1"/>
        <rFont val="宋体"/>
        <family val="3"/>
        <charset val="134"/>
        <scheme val="minor"/>
      </rPr>
      <t/>
    </r>
  </si>
  <si>
    <t>80#</t>
  </si>
  <si>
    <r>
      <t>18#</t>
    </r>
    <r>
      <rPr>
        <sz val="11"/>
        <color theme="1"/>
        <rFont val="宋体"/>
        <family val="3"/>
        <charset val="134"/>
        <scheme val="minor"/>
      </rPr>
      <t/>
    </r>
  </si>
  <si>
    <t>81#</t>
  </si>
  <si>
    <r>
      <t>19#</t>
    </r>
    <r>
      <rPr>
        <sz val="11"/>
        <color theme="1"/>
        <rFont val="宋体"/>
        <family val="3"/>
        <charset val="134"/>
        <scheme val="minor"/>
      </rPr>
      <t/>
    </r>
  </si>
  <si>
    <t>82#</t>
  </si>
  <si>
    <r>
      <t>20#</t>
    </r>
    <r>
      <rPr>
        <sz val="11"/>
        <color theme="1"/>
        <rFont val="宋体"/>
        <family val="3"/>
        <charset val="134"/>
        <scheme val="minor"/>
      </rPr>
      <t/>
    </r>
  </si>
  <si>
    <t>83#</t>
  </si>
  <si>
    <r>
      <t>21#</t>
    </r>
    <r>
      <rPr>
        <sz val="11"/>
        <color theme="1"/>
        <rFont val="宋体"/>
        <family val="3"/>
        <charset val="134"/>
        <scheme val="minor"/>
      </rPr>
      <t/>
    </r>
  </si>
  <si>
    <t>84#</t>
  </si>
  <si>
    <r>
      <t>22#</t>
    </r>
    <r>
      <rPr>
        <sz val="11"/>
        <color theme="1"/>
        <rFont val="宋体"/>
        <family val="3"/>
        <charset val="134"/>
        <scheme val="minor"/>
      </rPr>
      <t/>
    </r>
  </si>
  <si>
    <t>85#</t>
  </si>
  <si>
    <r>
      <t>23#</t>
    </r>
    <r>
      <rPr>
        <sz val="11"/>
        <color theme="1"/>
        <rFont val="宋体"/>
        <family val="3"/>
        <charset val="134"/>
        <scheme val="minor"/>
      </rPr>
      <t/>
    </r>
  </si>
  <si>
    <t>86#</t>
  </si>
  <si>
    <r>
      <t>24#</t>
    </r>
    <r>
      <rPr>
        <sz val="11"/>
        <color theme="1"/>
        <rFont val="宋体"/>
        <family val="3"/>
        <charset val="134"/>
        <scheme val="minor"/>
      </rPr>
      <t/>
    </r>
  </si>
  <si>
    <t>87#</t>
  </si>
  <si>
    <r>
      <t>25#</t>
    </r>
    <r>
      <rPr>
        <sz val="11"/>
        <color theme="1"/>
        <rFont val="宋体"/>
        <family val="3"/>
        <charset val="134"/>
        <scheme val="minor"/>
      </rPr>
      <t/>
    </r>
  </si>
  <si>
    <t>88#</t>
  </si>
  <si>
    <r>
      <t>26#</t>
    </r>
    <r>
      <rPr>
        <sz val="11"/>
        <color theme="1"/>
        <rFont val="宋体"/>
        <family val="3"/>
        <charset val="134"/>
        <scheme val="minor"/>
      </rPr>
      <t/>
    </r>
  </si>
  <si>
    <t>89#</t>
  </si>
  <si>
    <r>
      <t>27#</t>
    </r>
    <r>
      <rPr>
        <sz val="11"/>
        <color theme="1"/>
        <rFont val="宋体"/>
        <family val="3"/>
        <charset val="134"/>
        <scheme val="minor"/>
      </rPr>
      <t/>
    </r>
  </si>
  <si>
    <t>90#</t>
  </si>
  <si>
    <r>
      <t>28#</t>
    </r>
    <r>
      <rPr>
        <sz val="11"/>
        <color theme="1"/>
        <rFont val="宋体"/>
        <family val="3"/>
        <charset val="134"/>
        <scheme val="minor"/>
      </rPr>
      <t/>
    </r>
  </si>
  <si>
    <t>91#</t>
  </si>
  <si>
    <r>
      <t>29#</t>
    </r>
    <r>
      <rPr>
        <sz val="11"/>
        <color theme="1"/>
        <rFont val="宋体"/>
        <family val="3"/>
        <charset val="134"/>
        <scheme val="minor"/>
      </rPr>
      <t/>
    </r>
  </si>
  <si>
    <t>92#</t>
  </si>
  <si>
    <r>
      <t>30#</t>
    </r>
    <r>
      <rPr>
        <sz val="11"/>
        <color theme="1"/>
        <rFont val="宋体"/>
        <family val="3"/>
        <charset val="134"/>
        <scheme val="minor"/>
      </rPr>
      <t/>
    </r>
  </si>
  <si>
    <t>93#</t>
  </si>
  <si>
    <r>
      <t>31#</t>
    </r>
    <r>
      <rPr>
        <sz val="11"/>
        <color theme="1"/>
        <rFont val="宋体"/>
        <family val="3"/>
        <charset val="134"/>
        <scheme val="minor"/>
      </rPr>
      <t/>
    </r>
  </si>
  <si>
    <t>94#</t>
  </si>
  <si>
    <r>
      <t>32#</t>
    </r>
    <r>
      <rPr>
        <sz val="11"/>
        <color theme="1"/>
        <rFont val="宋体"/>
        <family val="3"/>
        <charset val="134"/>
        <scheme val="minor"/>
      </rPr>
      <t/>
    </r>
  </si>
  <si>
    <t>95#</t>
  </si>
  <si>
    <r>
      <t>33#</t>
    </r>
    <r>
      <rPr>
        <sz val="11"/>
        <color theme="1"/>
        <rFont val="宋体"/>
        <family val="3"/>
        <charset val="134"/>
        <scheme val="minor"/>
      </rPr>
      <t/>
    </r>
  </si>
  <si>
    <t>96#</t>
  </si>
  <si>
    <r>
      <t>34#</t>
    </r>
    <r>
      <rPr>
        <sz val="11"/>
        <color theme="1"/>
        <rFont val="宋体"/>
        <family val="3"/>
        <charset val="134"/>
        <scheme val="minor"/>
      </rPr>
      <t/>
    </r>
  </si>
  <si>
    <t>97#</t>
  </si>
  <si>
    <r>
      <t>35#</t>
    </r>
    <r>
      <rPr>
        <sz val="11"/>
        <color theme="1"/>
        <rFont val="宋体"/>
        <family val="3"/>
        <charset val="134"/>
        <scheme val="minor"/>
      </rPr>
      <t/>
    </r>
  </si>
  <si>
    <t>98#</t>
  </si>
  <si>
    <r>
      <t>36#</t>
    </r>
    <r>
      <rPr>
        <sz val="11"/>
        <color theme="1"/>
        <rFont val="宋体"/>
        <family val="3"/>
        <charset val="134"/>
        <scheme val="minor"/>
      </rPr>
      <t/>
    </r>
  </si>
  <si>
    <t>99#</t>
  </si>
  <si>
    <r>
      <t>37#</t>
    </r>
    <r>
      <rPr>
        <sz val="11"/>
        <color theme="1"/>
        <rFont val="宋体"/>
        <family val="3"/>
        <charset val="134"/>
        <scheme val="minor"/>
      </rPr>
      <t/>
    </r>
  </si>
  <si>
    <t>100#</t>
  </si>
  <si>
    <r>
      <t>38#</t>
    </r>
    <r>
      <rPr>
        <sz val="11"/>
        <color theme="1"/>
        <rFont val="宋体"/>
        <family val="3"/>
        <charset val="134"/>
        <scheme val="minor"/>
      </rPr>
      <t/>
    </r>
  </si>
  <si>
    <t>101#</t>
  </si>
  <si>
    <r>
      <t>39#</t>
    </r>
    <r>
      <rPr>
        <sz val="11"/>
        <color theme="1"/>
        <rFont val="宋体"/>
        <family val="3"/>
        <charset val="134"/>
        <scheme val="minor"/>
      </rPr>
      <t/>
    </r>
  </si>
  <si>
    <t>102#</t>
  </si>
  <si>
    <r>
      <t>40#</t>
    </r>
    <r>
      <rPr>
        <sz val="11"/>
        <color theme="1"/>
        <rFont val="宋体"/>
        <family val="3"/>
        <charset val="134"/>
        <scheme val="minor"/>
      </rPr>
      <t/>
    </r>
  </si>
  <si>
    <t>103#</t>
  </si>
  <si>
    <r>
      <t>41#</t>
    </r>
    <r>
      <rPr>
        <sz val="11"/>
        <color theme="1"/>
        <rFont val="宋体"/>
        <family val="3"/>
        <charset val="134"/>
        <scheme val="minor"/>
      </rPr>
      <t/>
    </r>
  </si>
  <si>
    <t>104#</t>
  </si>
  <si>
    <r>
      <t>42#</t>
    </r>
    <r>
      <rPr>
        <sz val="11"/>
        <color theme="1"/>
        <rFont val="宋体"/>
        <family val="3"/>
        <charset val="134"/>
        <scheme val="minor"/>
      </rPr>
      <t/>
    </r>
  </si>
  <si>
    <t>105#</t>
  </si>
  <si>
    <r>
      <t>43#</t>
    </r>
    <r>
      <rPr>
        <sz val="11"/>
        <color theme="1"/>
        <rFont val="宋体"/>
        <family val="3"/>
        <charset val="134"/>
        <scheme val="minor"/>
      </rPr>
      <t/>
    </r>
  </si>
  <si>
    <t>106#</t>
  </si>
  <si>
    <r>
      <t>44#</t>
    </r>
    <r>
      <rPr>
        <sz val="11"/>
        <color theme="1"/>
        <rFont val="宋体"/>
        <family val="3"/>
        <charset val="134"/>
        <scheme val="minor"/>
      </rPr>
      <t/>
    </r>
  </si>
  <si>
    <t>107#</t>
  </si>
  <si>
    <r>
      <t>45#</t>
    </r>
    <r>
      <rPr>
        <sz val="11"/>
        <color theme="1"/>
        <rFont val="宋体"/>
        <family val="3"/>
        <charset val="134"/>
        <scheme val="minor"/>
      </rPr>
      <t/>
    </r>
  </si>
  <si>
    <t>108#</t>
  </si>
  <si>
    <r>
      <t>46#</t>
    </r>
    <r>
      <rPr>
        <sz val="11"/>
        <color theme="1"/>
        <rFont val="宋体"/>
        <family val="3"/>
        <charset val="134"/>
        <scheme val="minor"/>
      </rPr>
      <t/>
    </r>
  </si>
  <si>
    <t>109#</t>
  </si>
  <si>
    <r>
      <t>47#</t>
    </r>
    <r>
      <rPr>
        <sz val="11"/>
        <color theme="1"/>
        <rFont val="宋体"/>
        <family val="3"/>
        <charset val="134"/>
        <scheme val="minor"/>
      </rPr>
      <t/>
    </r>
  </si>
  <si>
    <t>110#</t>
  </si>
  <si>
    <r>
      <t>48#</t>
    </r>
    <r>
      <rPr>
        <sz val="11"/>
        <color theme="1"/>
        <rFont val="宋体"/>
        <family val="3"/>
        <charset val="134"/>
        <scheme val="minor"/>
      </rPr>
      <t/>
    </r>
  </si>
  <si>
    <t>111#</t>
  </si>
  <si>
    <r>
      <t>49#</t>
    </r>
    <r>
      <rPr>
        <sz val="11"/>
        <color theme="1"/>
        <rFont val="宋体"/>
        <family val="3"/>
        <charset val="134"/>
        <scheme val="minor"/>
      </rPr>
      <t/>
    </r>
    <phoneticPr fontId="144" type="noConversion"/>
  </si>
  <si>
    <t>112#</t>
  </si>
  <si>
    <r>
      <t>49#</t>
    </r>
    <r>
      <rPr>
        <sz val="11"/>
        <color theme="1"/>
        <rFont val="宋体"/>
        <family val="3"/>
        <charset val="134"/>
        <scheme val="minor"/>
      </rPr>
      <t/>
    </r>
  </si>
  <si>
    <r>
      <t>50#</t>
    </r>
    <r>
      <rPr>
        <sz val="11"/>
        <color theme="1"/>
        <rFont val="宋体"/>
        <family val="3"/>
        <charset val="134"/>
        <scheme val="minor"/>
      </rPr>
      <t/>
    </r>
  </si>
  <si>
    <t>113#</t>
  </si>
  <si>
    <r>
      <t>51#</t>
    </r>
    <r>
      <rPr>
        <sz val="11"/>
        <color theme="1"/>
        <rFont val="宋体"/>
        <family val="3"/>
        <charset val="134"/>
        <scheme val="minor"/>
      </rPr>
      <t/>
    </r>
  </si>
  <si>
    <t>114#</t>
  </si>
  <si>
    <r>
      <t>52#</t>
    </r>
    <r>
      <rPr>
        <sz val="11"/>
        <color theme="1"/>
        <rFont val="宋体"/>
        <family val="3"/>
        <charset val="134"/>
        <scheme val="minor"/>
      </rPr>
      <t/>
    </r>
  </si>
  <si>
    <t>115#</t>
  </si>
  <si>
    <r>
      <t>53#</t>
    </r>
    <r>
      <rPr>
        <sz val="11"/>
        <color theme="1"/>
        <rFont val="宋体"/>
        <family val="3"/>
        <charset val="134"/>
        <scheme val="minor"/>
      </rPr>
      <t/>
    </r>
  </si>
  <si>
    <t>116#</t>
  </si>
  <si>
    <r>
      <t>54#</t>
    </r>
    <r>
      <rPr>
        <sz val="11"/>
        <color theme="1"/>
        <rFont val="宋体"/>
        <family val="3"/>
        <charset val="134"/>
        <scheme val="minor"/>
      </rPr>
      <t/>
    </r>
  </si>
  <si>
    <t>117#</t>
  </si>
  <si>
    <r>
      <t>55#</t>
    </r>
    <r>
      <rPr>
        <sz val="11"/>
        <color theme="1"/>
        <rFont val="宋体"/>
        <family val="3"/>
        <charset val="134"/>
        <scheme val="minor"/>
      </rPr>
      <t/>
    </r>
  </si>
  <si>
    <t>118#</t>
  </si>
  <si>
    <r>
      <t>56#</t>
    </r>
    <r>
      <rPr>
        <sz val="11"/>
        <color theme="1"/>
        <rFont val="宋体"/>
        <family val="3"/>
        <charset val="134"/>
        <scheme val="minor"/>
      </rPr>
      <t/>
    </r>
  </si>
  <si>
    <r>
      <t>57#</t>
    </r>
    <r>
      <rPr>
        <sz val="11"/>
        <color theme="1"/>
        <rFont val="宋体"/>
        <family val="3"/>
        <charset val="134"/>
        <scheme val="minor"/>
      </rPr>
      <t/>
    </r>
  </si>
  <si>
    <r>
      <t>58#</t>
    </r>
    <r>
      <rPr>
        <sz val="11"/>
        <color theme="1"/>
        <rFont val="宋体"/>
        <family val="3"/>
        <charset val="134"/>
        <scheme val="minor"/>
      </rPr>
      <t/>
    </r>
  </si>
  <si>
    <r>
      <t>59#</t>
    </r>
    <r>
      <rPr>
        <sz val="11"/>
        <color theme="1"/>
        <rFont val="宋体"/>
        <family val="3"/>
        <charset val="134"/>
        <scheme val="minor"/>
      </rPr>
      <t/>
    </r>
  </si>
  <si>
    <r>
      <t>60#</t>
    </r>
    <r>
      <rPr>
        <sz val="11"/>
        <color theme="1"/>
        <rFont val="宋体"/>
        <family val="3"/>
        <charset val="134"/>
        <scheme val="minor"/>
      </rPr>
      <t/>
    </r>
  </si>
  <si>
    <r>
      <t>61#</t>
    </r>
    <r>
      <rPr>
        <sz val="11"/>
        <color theme="1"/>
        <rFont val="宋体"/>
        <family val="3"/>
        <charset val="134"/>
        <scheme val="minor"/>
      </rPr>
      <t/>
    </r>
  </si>
  <si>
    <r>
      <t>62#</t>
    </r>
    <r>
      <rPr>
        <sz val="11"/>
        <color theme="1"/>
        <rFont val="宋体"/>
        <family val="3"/>
        <charset val="134"/>
        <scheme val="minor"/>
      </rPr>
      <t/>
    </r>
  </si>
  <si>
    <r>
      <t>63#</t>
    </r>
    <r>
      <rPr>
        <sz val="11"/>
        <color theme="1"/>
        <rFont val="宋体"/>
        <family val="3"/>
        <charset val="134"/>
        <scheme val="minor"/>
      </rPr>
      <t/>
    </r>
  </si>
  <si>
    <t>合计</t>
    <phoneticPr fontId="144" type="noConversion"/>
  </si>
  <si>
    <t>无竣工</t>
    <phoneticPr fontId="144" type="noConversion"/>
  </si>
  <si>
    <t>119#</t>
    <phoneticPr fontId="144" type="noConversion"/>
  </si>
  <si>
    <t>120#</t>
    <phoneticPr fontId="144" type="noConversion"/>
  </si>
  <si>
    <t>121#</t>
    <phoneticPr fontId="144" type="noConversion"/>
  </si>
  <si>
    <t>楼层</t>
    <phoneticPr fontId="144" type="noConversion"/>
  </si>
  <si>
    <r>
      <t>3（</t>
    </r>
    <r>
      <rPr>
        <sz val="11"/>
        <color theme="1"/>
        <rFont val="宋体"/>
        <family val="3"/>
        <charset val="134"/>
        <scheme val="minor"/>
      </rPr>
      <t>-2</t>
    </r>
    <r>
      <rPr>
        <sz val="11"/>
        <color theme="1"/>
        <rFont val="宋体"/>
        <family val="3"/>
        <charset val="134"/>
        <scheme val="minor"/>
      </rPr>
      <t>）</t>
    </r>
    <phoneticPr fontId="144" type="noConversion"/>
  </si>
  <si>
    <t>地上面积</t>
    <phoneticPr fontId="144" type="noConversion"/>
  </si>
  <si>
    <t>地下面积</t>
    <phoneticPr fontId="144" type="noConversion"/>
  </si>
  <si>
    <t>人防面积</t>
    <phoneticPr fontId="144" type="noConversion"/>
  </si>
  <si>
    <r>
      <t>规证0</t>
    </r>
    <r>
      <rPr>
        <sz val="11"/>
        <color theme="1"/>
        <rFont val="宋体"/>
        <family val="3"/>
        <charset val="134"/>
        <scheme val="minor"/>
      </rPr>
      <t>043</t>
    </r>
    <phoneticPr fontId="144" type="noConversion"/>
  </si>
  <si>
    <r>
      <t>1</t>
    </r>
    <r>
      <rPr>
        <sz val="11"/>
        <color theme="1"/>
        <rFont val="宋体"/>
        <family val="3"/>
        <charset val="134"/>
        <scheme val="minor"/>
      </rPr>
      <t>22#</t>
    </r>
    <phoneticPr fontId="144" type="noConversion"/>
  </si>
  <si>
    <r>
      <t>3（-3</t>
    </r>
    <r>
      <rPr>
        <sz val="11"/>
        <color theme="1"/>
        <rFont val="宋体"/>
        <family val="3"/>
        <charset val="134"/>
        <scheme val="minor"/>
      </rPr>
      <t>）</t>
    </r>
    <phoneticPr fontId="144" type="noConversion"/>
  </si>
  <si>
    <t>规证0110</t>
    <phoneticPr fontId="144" type="noConversion"/>
  </si>
  <si>
    <t>123#地下游泳馆</t>
    <phoneticPr fontId="144" type="noConversion"/>
  </si>
  <si>
    <t>规证0096</t>
    <phoneticPr fontId="144" type="noConversion"/>
  </si>
  <si>
    <t>123#</t>
    <phoneticPr fontId="144" type="noConversion"/>
  </si>
  <si>
    <t>130#地下锅炉房</t>
    <phoneticPr fontId="144" type="noConversion"/>
  </si>
  <si>
    <t>131#人防</t>
    <phoneticPr fontId="144" type="noConversion"/>
  </si>
  <si>
    <t>土地证</t>
    <phoneticPr fontId="144" type="noConversion"/>
  </si>
  <si>
    <t>可售面积</t>
    <phoneticPr fontId="144" type="noConversion"/>
  </si>
  <si>
    <t>已售面积</t>
    <phoneticPr fontId="144" type="noConversion"/>
  </si>
  <si>
    <t>总计</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</si>
</sst>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4"/>
      <color theme="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28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177" fontId="81" fillId="0" borderId="1" xfId="1" applyNumberFormat="1" applyFont="1" applyFill="1" applyBorder="1" applyAlignment="1" applyProtection="1">
      <alignment vertical="center"/>
      <protection locked="0" hidden="1"/>
    </xf>
    <xf numFmtId="0" fontId="172" fillId="6" borderId="13" xfId="12" applyFont="1" applyFill="1" applyBorder="1" applyAlignment="1" applyProtection="1">
      <alignment horizontal="center" vertical="center" wrapText="1"/>
      <protection locked="0"/>
    </xf>
    <xf numFmtId="0" fontId="100" fillId="0" borderId="0" xfId="10" applyFont="1">
      <alignment vertical="center"/>
    </xf>
    <xf numFmtId="0" fontId="100" fillId="0" borderId="0" xfId="10">
      <alignment vertical="center"/>
    </xf>
    <xf numFmtId="0" fontId="100" fillId="8" borderId="0" xfId="10" applyFill="1">
      <alignment vertical="center"/>
    </xf>
    <xf numFmtId="0" fontId="100" fillId="8" borderId="0" xfId="10" applyFont="1" applyFill="1">
      <alignment vertical="center"/>
    </xf>
    <xf numFmtId="0" fontId="100" fillId="9" borderId="0" xfId="10" applyFill="1">
      <alignment vertical="center"/>
    </xf>
    <xf numFmtId="2" fontId="100" fillId="9" borderId="0" xfId="10" applyNumberFormat="1" applyFill="1">
      <alignment vertical="center"/>
    </xf>
    <xf numFmtId="0" fontId="100" fillId="0" borderId="0" xfId="10" applyFont="1" applyAlignment="1">
      <alignment horizontal="left" vertical="center"/>
    </xf>
    <xf numFmtId="0" fontId="100" fillId="0" borderId="0" xfId="10" applyAlignment="1">
      <alignment horizontal="left" vertical="center"/>
    </xf>
    <xf numFmtId="0" fontId="255" fillId="0" borderId="0" xfId="10" applyFont="1" applyAlignment="1">
      <alignment horizontal="justify"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25151;&#21450;&#31459;&#24037;&#37096;&#2099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12;&#24314;&#21450;&#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出让金及契税"/>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现房</v>
          </cell>
          <cell r="F19">
            <v>111321.54</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19">
          <cell r="G19">
            <v>333556</v>
          </cell>
        </row>
      </sheetData>
      <sheetData sheetId="19">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写字楼</v>
          </cell>
          <cell r="D101" t="str">
            <v>独栋</v>
          </cell>
        </row>
        <row r="106">
          <cell r="B106" t="str">
            <v>建筑结构</v>
          </cell>
          <cell r="C106" t="str">
            <v>钢混</v>
          </cell>
          <cell r="D106" t="str">
            <v>砖混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简单装修</v>
          </cell>
          <cell r="F123" t="str">
            <v>毛坯</v>
          </cell>
        </row>
      </sheetData>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成本法"/>
      <sheetName val="成本法 (元)"/>
      <sheetName val="基准地价修正-商业"/>
      <sheetName val="基准地价修正-办公"/>
      <sheetName val="基准地价（汇总）"/>
      <sheetName val="假设开发法"/>
      <sheetName val="收益法"/>
      <sheetName val="收益法 (元)"/>
      <sheetName val="收益法（汇总）"/>
      <sheetName val="收益法-酒店"/>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F19">
            <v>44582.11</v>
          </cell>
          <cell r="G19">
            <v>30492</v>
          </cell>
        </row>
        <row r="20">
          <cell r="F20">
            <v>2848.11</v>
          </cell>
        </row>
      </sheetData>
      <sheetData sheetId="15"/>
      <sheetData sheetId="16"/>
      <sheetData sheetId="17"/>
      <sheetData sheetId="18">
        <row r="19">
          <cell r="G19">
            <v>127138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出让金及契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313336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成本法"/>
      <sheetName val="成本法 (元)"/>
      <sheetName val="基准地价修正-商业"/>
      <sheetName val="基准地价修正-办公"/>
      <sheetName val="基准地价（汇总）"/>
      <sheetName val="假设开发法"/>
      <sheetName val="收益法"/>
      <sheetName val="收益法 (元)"/>
      <sheetName val="收益法（汇总）"/>
      <sheetName val="收益法-酒店"/>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109695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G10" sqref="G10"/>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出让国有建设用地使用权及在建建筑物房地产抵押价值预评估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受贵公司委托，我公司对出让国有建设用地使用权及在建建筑物房地产抵押价值进行了预评估。</v>
      </c>
    </row>
    <row r="7" spans="1:2" s="1596" customFormat="1">
      <c r="A7" s="1594" t="s">
        <v>1264</v>
      </c>
      <c r="B7" s="1595" t="str">
        <f>'预评函-1'!A7</f>
        <v>估价对象为出让国有建设用地使用权及在建建筑物房地产，为所有。根据《国有土地使用证》[]，估价对象（分摊）出让国有建设用地使用权面积为10000平方米，建筑面积为10000平方米。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出让国有建设用地使用权及在建建筑物房地产,属开发建设的，该项目尚在开发建设中。根据《国有土地使用证》[]，估价对象（分摊）出让国有建设用地使用权面积为10000平方米，规划建筑面积为10000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2018年5月11日（评估专业人员实地查勘之日）</v>
      </c>
    </row>
    <row r="13" spans="1:2" s="1596" customFormat="1">
      <c r="A13" s="1594" t="s">
        <v>1227</v>
      </c>
      <c r="B13" s="1595" t="str">
        <f>'预评函-1'!A18</f>
        <v>本次估价的“房地产价值”是指在正常市场情况下，在价值时点2018年5月11日，估价对象规划用途为，土地取得方式为，假定未设立法定优先受偿款下的房地产市场价值。</v>
      </c>
    </row>
    <row r="14" spans="1:2" s="1596" customFormat="1">
      <c r="A14" s="1594" t="s">
        <v>1228</v>
      </c>
      <c r="B14" s="15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423031</v>
      </c>
    </row>
    <row r="21" spans="1:2" s="1596" customFormat="1">
      <c r="A21" s="1594" t="s">
        <v>1235</v>
      </c>
      <c r="B21" s="1595">
        <f ca="1">'预评函-2'!D7</f>
        <v>423031</v>
      </c>
    </row>
    <row r="22" spans="1:2" s="1596" customFormat="1">
      <c r="A22" s="1594" t="s">
        <v>1236</v>
      </c>
      <c r="B22" s="1595" t="str">
        <f ca="1">'预评函-2'!D6</f>
        <v>肆拾贰亿叁仟零叁拾壹万元整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423031</v>
      </c>
    </row>
    <row r="31" spans="1:2" s="1596" customFormat="1">
      <c r="A31" s="1594" t="s">
        <v>1274</v>
      </c>
      <c r="B31" s="1595">
        <f ca="1">'预评函-2'!D15</f>
        <v>423031</v>
      </c>
    </row>
    <row r="32" spans="1:2" s="1596" customFormat="1">
      <c r="A32" s="1594" t="s">
        <v>1241</v>
      </c>
      <c r="B32" s="1595" t="str">
        <f ca="1">'预评函-2'!D14</f>
        <v>肆拾贰亿叁仟零叁拾壹万元整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387284</v>
      </c>
    </row>
    <row r="39" spans="1:2" s="1596" customFormat="1">
      <c r="A39" s="1594" t="s">
        <v>1243</v>
      </c>
      <c r="B39" s="1595">
        <f ca="1">'预评函-2'!D21</f>
        <v>387284</v>
      </c>
    </row>
    <row r="40" spans="1:2" s="1596" customFormat="1">
      <c r="A40" s="1594" t="s">
        <v>1244</v>
      </c>
      <c r="B40" s="1595" t="str">
        <f ca="1">'预评函-2'!D20</f>
        <v>叁拾捌亿柒仟贰佰捌拾肆万元整</v>
      </c>
    </row>
    <row r="41" spans="1:2" s="1596" customFormat="1">
      <c r="A41" s="1594" t="s">
        <v>1290</v>
      </c>
      <c r="B41" s="1595" t="str">
        <f>'预评函-3'!A4</f>
        <v>出让国有建设用地使用权及在建建筑物房地产</v>
      </c>
    </row>
    <row r="42" spans="1:2" s="1596" customFormat="1">
      <c r="A42" s="1594" t="s">
        <v>1288</v>
      </c>
      <c r="B42" s="1595" t="str">
        <f>'预评函-3'!B2</f>
        <v>建筑面积</v>
      </c>
    </row>
    <row r="43" spans="1:2" s="1596" customFormat="1">
      <c r="A43" s="1594" t="s">
        <v>1289</v>
      </c>
      <c r="B43" s="1595">
        <f>'预评函-3'!B4</f>
        <v>10000</v>
      </c>
    </row>
    <row r="44" spans="1:2" s="1596" customFormat="1">
      <c r="A44" s="1594" t="s">
        <v>1273</v>
      </c>
      <c r="B44" s="1595" t="str">
        <f>'预评函-3'!C2</f>
        <v>(分摊)土地面积</v>
      </c>
    </row>
    <row r="45" spans="1:2" s="1596" customFormat="1">
      <c r="A45" s="1594" t="s">
        <v>1245</v>
      </c>
      <c r="B45" s="1595">
        <f>'预评函-3'!C4</f>
        <v>10000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0" sqref="G1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1281</v>
      </c>
    </row>
    <row r="55" spans="1:4">
      <c r="A55" s="3003"/>
      <c r="B55" s="2025" t="s">
        <v>865</v>
      </c>
      <c r="C55" s="2022" t="s">
        <v>1282</v>
      </c>
    </row>
    <row r="56" spans="1:4">
      <c r="A56" s="3003"/>
      <c r="B56" s="2025" t="s">
        <v>866</v>
      </c>
      <c r="C56" s="2022" t="s">
        <v>1286</v>
      </c>
    </row>
    <row r="57" spans="1:4">
      <c r="A57" s="300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0" sqref="G1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04" t="str">
        <f>IF(B10="北京市","北京市",C10)&amp;F10&amp;IF(结果表!G1="在建","出让国有建设用地使用权及在建建筑物",IF(结果表!G1="土地","出让国有建设用地使用权",))&amp;B9&amp;"预评估"</f>
        <v>出让国有建设用地使用权及在建建筑物房地产抵押价值预评估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1778</v>
      </c>
      <c r="B3" s="2039">
        <v>43231</v>
      </c>
      <c r="C3" s="2040" t="s">
        <v>1779</v>
      </c>
      <c r="D3" s="2039">
        <v>43231</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3061</v>
      </c>
      <c r="C8" s="2059"/>
      <c r="D8" s="3007" t="s">
        <v>1785</v>
      </c>
      <c r="E8" s="2060" t="s">
        <v>3062</v>
      </c>
      <c r="F8" s="2061"/>
      <c r="G8" s="2029"/>
      <c r="H8" s="2029"/>
      <c r="I8" s="2029"/>
      <c r="J8" s="2045"/>
      <c r="K8" s="2046"/>
      <c r="L8" s="2031"/>
      <c r="M8" s="2031"/>
      <c r="N8" s="2032"/>
      <c r="O8" s="2033"/>
      <c r="P8" s="2032"/>
      <c r="Q8" s="2032"/>
      <c r="R8" s="2032"/>
    </row>
    <row r="9" spans="1:19" ht="18" customHeight="1" thickBot="1">
      <c r="A9" s="2043" t="s">
        <v>1786</v>
      </c>
      <c r="B9" s="2062" t="s">
        <v>3062</v>
      </c>
      <c r="C9" s="2063"/>
      <c r="D9" s="3008"/>
      <c r="E9" s="2062" t="s">
        <v>1285</v>
      </c>
      <c r="F9" s="2064"/>
      <c r="G9" s="2065"/>
      <c r="H9" s="2065"/>
      <c r="I9" s="2065"/>
      <c r="J9" s="2045"/>
      <c r="K9" s="2057"/>
      <c r="L9" s="2031"/>
      <c r="M9" s="2031"/>
      <c r="N9" s="2032"/>
      <c r="O9" s="2033"/>
      <c r="P9" s="2032"/>
      <c r="Q9" s="2032"/>
      <c r="R9" s="2032"/>
    </row>
    <row r="10" spans="1:19" ht="18" customHeight="1" thickTop="1">
      <c r="A10" s="2066" t="s">
        <v>1787</v>
      </c>
      <c r="B10" s="2067"/>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43231</v>
      </c>
      <c r="F13" s="2083">
        <v>43231</v>
      </c>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1800</v>
      </c>
      <c r="D15" s="1052">
        <f>IF(B12="出让",IF(D13="","",ROUNDDOWN(MIN((D13-$D$3)/365,D14),2)),D14)</f>
        <v>0</v>
      </c>
      <c r="E15" s="1052">
        <f>IF(B12="出让",IF(E13="","",ROUNDDOWN(MIN((E13-$D$3)/365,E14),2)),E14)</f>
        <v>40</v>
      </c>
      <c r="F15" s="1052">
        <f>IF(B12="出让",IF(F13="","",ROUNDDOWN(MIN((F13-$D$3)/365,F14),2)),F14)</f>
        <v>0</v>
      </c>
      <c r="G15" s="1052">
        <f>IF(B12="出让",IF(G13="","",ROUNDDOWN(MIN((G13-$D$3)/365,G14),2)),G14)</f>
        <v>0</v>
      </c>
      <c r="H15" s="1052">
        <f>IF(B12="出让",IF(H13="","",ROUNDDOWN(MIN((H13-$D$3)/365,H14),2)),H14)</f>
        <v>0</v>
      </c>
      <c r="I15" s="1052">
        <f>IF(B12="出让",IF(I13="","",ROUNDDOWN(MIN((I13-$D$3)/365,I14),2)),I14)</f>
        <v>0</v>
      </c>
      <c r="J15" s="2045"/>
      <c r="K15" s="2086"/>
      <c r="L15" s="2087"/>
      <c r="M15" s="2087"/>
      <c r="N15" s="2088"/>
      <c r="O15" s="2087"/>
      <c r="P15" s="2088"/>
      <c r="Q15" s="2032"/>
      <c r="R15" s="2032"/>
    </row>
    <row r="16" spans="1:19" ht="30.75" customHeight="1">
      <c r="A16" s="2069" t="s">
        <v>1801</v>
      </c>
      <c r="B16" s="3014"/>
      <c r="C16" s="3015"/>
      <c r="D16" s="3016"/>
      <c r="E16" s="2089" t="s">
        <v>1802</v>
      </c>
      <c r="F16" s="3017"/>
      <c r="G16" s="3018"/>
      <c r="H16" s="3018"/>
      <c r="I16" s="3019"/>
      <c r="J16" s="2032"/>
      <c r="K16" s="2086"/>
      <c r="L16" s="2087"/>
      <c r="M16" s="2087"/>
      <c r="N16" s="2088"/>
      <c r="O16" s="2087"/>
      <c r="P16" s="2088"/>
      <c r="Q16" s="2032"/>
      <c r="R16" s="2032"/>
    </row>
    <row r="17" spans="1:22" ht="18" customHeight="1">
      <c r="A17" s="2090" t="s">
        <v>1803</v>
      </c>
      <c r="B17" s="2038" t="s">
        <v>1804</v>
      </c>
      <c r="C17" s="1057">
        <f>'数据-汇总表'!E3</f>
        <v>10000</v>
      </c>
      <c r="D17" s="2091" t="s">
        <v>1805</v>
      </c>
      <c r="E17" s="3020" t="s">
        <v>1806</v>
      </c>
      <c r="F17" s="3021"/>
      <c r="G17" s="3021"/>
      <c r="H17" s="3021"/>
      <c r="I17" s="3022"/>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10000</v>
      </c>
      <c r="D18" s="2094" t="s">
        <v>1805</v>
      </c>
      <c r="E18" s="3023" t="s">
        <v>1809</v>
      </c>
      <c r="F18" s="3024"/>
      <c r="G18" s="3024"/>
      <c r="H18" s="3024"/>
      <c r="I18" s="3025"/>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10" t="s">
        <v>1814</v>
      </c>
      <c r="C20" s="3011"/>
      <c r="D20" s="3012" t="s">
        <v>1815</v>
      </c>
      <c r="E20" s="3013"/>
      <c r="F20" s="2101" t="s">
        <v>1816</v>
      </c>
      <c r="G20" s="2045"/>
      <c r="H20" s="2045"/>
      <c r="I20" s="2045"/>
      <c r="J20" s="2045"/>
      <c r="K20" s="300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7"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7"/>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7"/>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8"/>
      <c r="B30" s="2038" t="s">
        <v>1833</v>
      </c>
      <c r="C30" s="3029"/>
      <c r="D30" s="303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1"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26" t="s">
        <v>1843</v>
      </c>
      <c r="T34" s="2138" t="str">
        <f>NUMBERSTRING(7-K34,1)&amp;"通"</f>
        <v>七通</v>
      </c>
      <c r="U34" s="2032"/>
      <c r="V34" s="2032"/>
    </row>
    <row r="35" spans="1:22" ht="18" customHeight="1">
      <c r="A35" s="2139"/>
      <c r="B35" s="3033" t="s">
        <v>1844</v>
      </c>
      <c r="C35" s="3033"/>
      <c r="D35" s="3033"/>
      <c r="E35" s="3033"/>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G10" sqref="G10"/>
      <selection pane="topRight" activeCell="G10" sqref="G10"/>
      <selection pane="bottomLeft" activeCell="G10" sqref="G10"/>
      <selection pane="bottomRight" activeCell="G10" sqref="G10"/>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10000</v>
      </c>
      <c r="B3" s="14">
        <f>IF(C3="否",G5-AT5,G5)</f>
        <v>10000</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10000</v>
      </c>
      <c r="H5" s="16">
        <f t="shared" ref="H5:AT5" si="0">SUM(H13:H656)</f>
        <v>10000</v>
      </c>
      <c r="I5" s="16">
        <f t="shared" si="0"/>
        <v>10000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10000</v>
      </c>
      <c r="BA5" s="18">
        <f t="shared" si="1"/>
        <v>10000</v>
      </c>
      <c r="BB5" s="18">
        <f t="shared" si="1"/>
        <v>10000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10000</v>
      </c>
      <c r="F6" s="16" t="s">
        <v>1</v>
      </c>
      <c r="G6" s="16" t="s">
        <v>2</v>
      </c>
      <c r="H6" s="20">
        <f>SUMIF(I$12:AB$12,"总值",I6:AB6)</f>
        <v>10000</v>
      </c>
      <c r="I6" s="16">
        <f t="shared" ref="I6:AB6" si="2">ROUND($A$3*I5/$B$3,2)</f>
        <v>10000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10000</v>
      </c>
      <c r="AZ6" s="16" t="s">
        <v>3</v>
      </c>
      <c r="BA6" s="16">
        <f>ROUND($AY$6*BA5/$AZ$5,2)</f>
        <v>10000</v>
      </c>
      <c r="BB6" s="16">
        <f>ROUND($AY$6*BB5/$AZ$5,2)</f>
        <v>10000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3053</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3054</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公寓</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3052</v>
      </c>
      <c r="E13" s="16">
        <f>IF($C$3="是",ROUND($A$3*G13/$B$3,2),ROUND($A$3*(G13-AT13)/$B$3,2))</f>
        <v>10000</v>
      </c>
      <c r="F13" s="32"/>
      <c r="G13" s="33">
        <f>H13+AC13+AT13</f>
        <v>10000</v>
      </c>
      <c r="H13" s="20">
        <f>SUMIF(I$12:AB$12,"总值",I13:AB13)</f>
        <v>10000</v>
      </c>
      <c r="I13" s="2218">
        <v>10000</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10000</v>
      </c>
      <c r="AZ13" s="16">
        <f>BA13+BL13</f>
        <v>10000</v>
      </c>
      <c r="BA13" s="16">
        <f>SUM(BB13:BK13)</f>
        <v>10000</v>
      </c>
      <c r="BB13" s="16">
        <f>IF($D13="是",I13-J13,0)</f>
        <v>10000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7"/>
  <sheetViews>
    <sheetView topLeftCell="A121" zoomScale="85" zoomScaleNormal="85" workbookViewId="0">
      <selection activeCell="G10" sqref="G10"/>
    </sheetView>
  </sheetViews>
  <sheetFormatPr defaultRowHeight="13.5"/>
  <cols>
    <col min="1" max="1" width="7.25" style="2952" customWidth="1"/>
    <col min="2" max="2" width="23.875" style="2952" customWidth="1"/>
    <col min="3" max="3" width="26.875" style="2952" customWidth="1"/>
    <col min="4" max="4" width="10.125" style="2952" customWidth="1"/>
    <col min="5" max="6" width="9" style="2952"/>
    <col min="7" max="7" width="24.5" style="2952" customWidth="1"/>
    <col min="8" max="16384" width="9" style="2952"/>
  </cols>
  <sheetData>
    <row r="1" spans="1:7">
      <c r="A1" s="2951" t="s">
        <v>3063</v>
      </c>
      <c r="B1" s="2951" t="s">
        <v>3064</v>
      </c>
      <c r="C1" s="2951" t="s">
        <v>3065</v>
      </c>
      <c r="D1" s="2951" t="s">
        <v>3066</v>
      </c>
      <c r="E1" s="2951" t="s">
        <v>3067</v>
      </c>
      <c r="F1" s="2951" t="s">
        <v>3068</v>
      </c>
      <c r="G1" s="2951" t="s">
        <v>3069</v>
      </c>
    </row>
    <row r="2" spans="1:7">
      <c r="A2" s="2952">
        <v>1</v>
      </c>
      <c r="B2" s="2951" t="s">
        <v>3070</v>
      </c>
      <c r="C2" s="2951" t="s">
        <v>3071</v>
      </c>
      <c r="D2" s="2952">
        <v>970.11</v>
      </c>
      <c r="E2" s="2951" t="s">
        <v>3072</v>
      </c>
      <c r="F2" s="2951" t="s">
        <v>3073</v>
      </c>
      <c r="G2" s="2951" t="s">
        <v>3074</v>
      </c>
    </row>
    <row r="3" spans="1:7">
      <c r="A3" s="2952">
        <v>2</v>
      </c>
      <c r="B3" s="2951" t="s">
        <v>3075</v>
      </c>
      <c r="C3" s="2951" t="s">
        <v>3076</v>
      </c>
      <c r="D3" s="2952">
        <v>970.11</v>
      </c>
      <c r="E3" s="2951" t="s">
        <v>3072</v>
      </c>
      <c r="F3" s="2951" t="s">
        <v>3073</v>
      </c>
      <c r="G3" s="2951" t="s">
        <v>3074</v>
      </c>
    </row>
    <row r="4" spans="1:7">
      <c r="A4" s="2952">
        <v>3</v>
      </c>
      <c r="B4" s="2951" t="s">
        <v>3077</v>
      </c>
      <c r="C4" s="2951" t="s">
        <v>3078</v>
      </c>
      <c r="D4" s="2952">
        <v>970.11</v>
      </c>
      <c r="E4" s="2951" t="s">
        <v>3072</v>
      </c>
      <c r="F4" s="2951" t="s">
        <v>3073</v>
      </c>
      <c r="G4" s="2951" t="s">
        <v>3074</v>
      </c>
    </row>
    <row r="5" spans="1:7">
      <c r="A5" s="2952">
        <v>4</v>
      </c>
      <c r="B5" s="2951" t="s">
        <v>3079</v>
      </c>
      <c r="C5" s="2951" t="s">
        <v>3080</v>
      </c>
      <c r="D5" s="2952">
        <v>970.11</v>
      </c>
      <c r="E5" s="2951" t="s">
        <v>3081</v>
      </c>
      <c r="F5" s="2951" t="s">
        <v>3073</v>
      </c>
      <c r="G5" s="2951" t="s">
        <v>3074</v>
      </c>
    </row>
    <row r="6" spans="1:7">
      <c r="A6" s="2952">
        <v>5</v>
      </c>
      <c r="B6" s="2951" t="s">
        <v>3082</v>
      </c>
      <c r="C6" s="2951" t="s">
        <v>3083</v>
      </c>
      <c r="D6" s="2952">
        <v>970.03</v>
      </c>
      <c r="E6" s="2951" t="s">
        <v>3081</v>
      </c>
      <c r="F6" s="2951" t="s">
        <v>3073</v>
      </c>
      <c r="G6" s="2951" t="s">
        <v>3074</v>
      </c>
    </row>
    <row r="7" spans="1:7">
      <c r="A7" s="2952">
        <v>6</v>
      </c>
      <c r="B7" s="2951" t="s">
        <v>3084</v>
      </c>
      <c r="C7" s="2951" t="s">
        <v>3085</v>
      </c>
      <c r="D7" s="2952">
        <v>970.03</v>
      </c>
      <c r="E7" s="2951" t="s">
        <v>3081</v>
      </c>
      <c r="F7" s="2951" t="s">
        <v>3073</v>
      </c>
      <c r="G7" s="2951" t="s">
        <v>3074</v>
      </c>
    </row>
    <row r="8" spans="1:7">
      <c r="A8" s="2952">
        <v>7</v>
      </c>
      <c r="B8" s="2951" t="s">
        <v>3086</v>
      </c>
      <c r="C8" s="2951" t="s">
        <v>3087</v>
      </c>
      <c r="D8" s="2952">
        <v>970.03</v>
      </c>
      <c r="E8" s="2951" t="s">
        <v>3081</v>
      </c>
      <c r="F8" s="2951" t="s">
        <v>3073</v>
      </c>
      <c r="G8" s="2951" t="s">
        <v>3074</v>
      </c>
    </row>
    <row r="9" spans="1:7">
      <c r="A9" s="2952">
        <v>8</v>
      </c>
      <c r="B9" s="2951" t="s">
        <v>3088</v>
      </c>
      <c r="C9" s="2951" t="s">
        <v>3089</v>
      </c>
      <c r="D9" s="2952">
        <v>970.03</v>
      </c>
      <c r="E9" s="2951" t="s">
        <v>3081</v>
      </c>
      <c r="F9" s="2951" t="s">
        <v>3073</v>
      </c>
      <c r="G9" s="2951" t="s">
        <v>3074</v>
      </c>
    </row>
    <row r="10" spans="1:7">
      <c r="A10" s="2952">
        <v>9</v>
      </c>
      <c r="B10" s="2951" t="s">
        <v>3090</v>
      </c>
      <c r="C10" s="2951" t="s">
        <v>3091</v>
      </c>
      <c r="D10" s="2952">
        <v>970.03</v>
      </c>
      <c r="E10" s="2951" t="s">
        <v>3081</v>
      </c>
      <c r="F10" s="2951" t="s">
        <v>3073</v>
      </c>
      <c r="G10" s="2951" t="s">
        <v>3074</v>
      </c>
    </row>
    <row r="11" spans="1:7">
      <c r="A11" s="2952">
        <v>10</v>
      </c>
      <c r="B11" s="2951" t="s">
        <v>3092</v>
      </c>
      <c r="C11" s="2951" t="s">
        <v>3093</v>
      </c>
      <c r="D11" s="2952">
        <v>970.03</v>
      </c>
      <c r="E11" s="2951" t="s">
        <v>3081</v>
      </c>
      <c r="F11" s="2951" t="s">
        <v>3073</v>
      </c>
      <c r="G11" s="2951" t="s">
        <v>3074</v>
      </c>
    </row>
    <row r="12" spans="1:7">
      <c r="A12" s="2952">
        <v>11</v>
      </c>
      <c r="B12" s="2951" t="s">
        <v>3094</v>
      </c>
      <c r="C12" s="2951" t="s">
        <v>3095</v>
      </c>
      <c r="D12" s="2952">
        <v>1262.97</v>
      </c>
      <c r="E12" s="2951" t="s">
        <v>3081</v>
      </c>
      <c r="F12" s="2951" t="s">
        <v>3073</v>
      </c>
      <c r="G12" s="2951" t="s">
        <v>3074</v>
      </c>
    </row>
    <row r="13" spans="1:7" s="2953" customFormat="1">
      <c r="A13" s="2953">
        <v>12</v>
      </c>
      <c r="B13" s="2954" t="s">
        <v>3096</v>
      </c>
      <c r="C13" s="2954" t="s">
        <v>3097</v>
      </c>
      <c r="D13" s="2953">
        <v>1262.97</v>
      </c>
      <c r="E13" s="2954" t="s">
        <v>3081</v>
      </c>
      <c r="F13" s="2954" t="s">
        <v>3073</v>
      </c>
      <c r="G13" s="2954" t="s">
        <v>3074</v>
      </c>
    </row>
    <row r="14" spans="1:7">
      <c r="A14" s="2952">
        <v>13</v>
      </c>
      <c r="B14" s="2951" t="s">
        <v>3098</v>
      </c>
      <c r="C14" s="2951" t="s">
        <v>3099</v>
      </c>
      <c r="D14" s="2952">
        <v>1262.97</v>
      </c>
      <c r="E14" s="2951" t="s">
        <v>3081</v>
      </c>
      <c r="F14" s="2951" t="s">
        <v>3073</v>
      </c>
      <c r="G14" s="2951" t="s">
        <v>3074</v>
      </c>
    </row>
    <row r="15" spans="1:7">
      <c r="A15" s="2952">
        <v>14</v>
      </c>
      <c r="B15" s="2951" t="s">
        <v>3100</v>
      </c>
      <c r="C15" s="2951" t="s">
        <v>3101</v>
      </c>
      <c r="D15" s="2952">
        <v>1262.97</v>
      </c>
      <c r="E15" s="2951" t="s">
        <v>3081</v>
      </c>
      <c r="F15" s="2951" t="s">
        <v>3073</v>
      </c>
      <c r="G15" s="2951" t="s">
        <v>3074</v>
      </c>
    </row>
    <row r="16" spans="1:7">
      <c r="A16" s="2952">
        <v>15</v>
      </c>
      <c r="B16" s="2951" t="s">
        <v>3102</v>
      </c>
      <c r="C16" s="2951" t="s">
        <v>3103</v>
      </c>
      <c r="D16" s="2952">
        <v>1262.97</v>
      </c>
      <c r="E16" s="2951" t="s">
        <v>3081</v>
      </c>
      <c r="F16" s="2951" t="s">
        <v>3073</v>
      </c>
      <c r="G16" s="2951" t="s">
        <v>3074</v>
      </c>
    </row>
    <row r="17" spans="1:7">
      <c r="A17" s="2952">
        <v>16</v>
      </c>
      <c r="B17" s="2951" t="s">
        <v>3104</v>
      </c>
      <c r="C17" s="2951" t="s">
        <v>3105</v>
      </c>
      <c r="D17" s="2952">
        <v>1262.97</v>
      </c>
      <c r="E17" s="2951" t="s">
        <v>3081</v>
      </c>
      <c r="F17" s="2951" t="s">
        <v>3073</v>
      </c>
      <c r="G17" s="2951" t="s">
        <v>3074</v>
      </c>
    </row>
    <row r="18" spans="1:7">
      <c r="A18" s="2952">
        <v>17</v>
      </c>
      <c r="B18" s="2951" t="s">
        <v>3106</v>
      </c>
      <c r="C18" s="2951" t="s">
        <v>3107</v>
      </c>
      <c r="D18" s="2952">
        <v>1262.97</v>
      </c>
      <c r="E18" s="2951" t="s">
        <v>3081</v>
      </c>
      <c r="F18" s="2951" t="s">
        <v>3073</v>
      </c>
      <c r="G18" s="2951" t="s">
        <v>3074</v>
      </c>
    </row>
    <row r="19" spans="1:7">
      <c r="A19" s="2952">
        <v>18</v>
      </c>
      <c r="B19" s="2951" t="s">
        <v>3108</v>
      </c>
      <c r="C19" s="2951" t="s">
        <v>3109</v>
      </c>
      <c r="D19" s="2952">
        <v>956.62</v>
      </c>
      <c r="E19" s="2951" t="s">
        <v>3081</v>
      </c>
      <c r="F19" s="2951" t="s">
        <v>3073</v>
      </c>
      <c r="G19" s="2951" t="s">
        <v>3074</v>
      </c>
    </row>
    <row r="20" spans="1:7">
      <c r="A20" s="2952">
        <v>19</v>
      </c>
      <c r="B20" s="2951" t="s">
        <v>3110</v>
      </c>
      <c r="C20" s="2951" t="s">
        <v>3111</v>
      </c>
      <c r="D20" s="2952">
        <v>970.05</v>
      </c>
      <c r="E20" s="2951" t="s">
        <v>3081</v>
      </c>
      <c r="F20" s="2951" t="s">
        <v>3073</v>
      </c>
      <c r="G20" s="2951" t="s">
        <v>3074</v>
      </c>
    </row>
    <row r="21" spans="1:7">
      <c r="A21" s="2952">
        <v>20</v>
      </c>
      <c r="B21" s="2951" t="s">
        <v>3112</v>
      </c>
      <c r="C21" s="2951" t="s">
        <v>3113</v>
      </c>
      <c r="D21" s="2952">
        <v>970.05</v>
      </c>
      <c r="E21" s="2951" t="s">
        <v>3081</v>
      </c>
      <c r="F21" s="2951" t="s">
        <v>3073</v>
      </c>
      <c r="G21" s="2951" t="s">
        <v>3074</v>
      </c>
    </row>
    <row r="22" spans="1:7">
      <c r="A22" s="2952">
        <v>21</v>
      </c>
      <c r="B22" s="2951" t="s">
        <v>3114</v>
      </c>
      <c r="C22" s="2951" t="s">
        <v>3115</v>
      </c>
      <c r="D22" s="2952">
        <v>956.62</v>
      </c>
      <c r="E22" s="2951" t="s">
        <v>3081</v>
      </c>
      <c r="F22" s="2951" t="s">
        <v>3073</v>
      </c>
      <c r="G22" s="2951" t="s">
        <v>3074</v>
      </c>
    </row>
    <row r="23" spans="1:7">
      <c r="A23" s="2952">
        <v>22</v>
      </c>
      <c r="B23" s="2951" t="s">
        <v>3116</v>
      </c>
      <c r="C23" s="2951" t="s">
        <v>3117</v>
      </c>
      <c r="D23" s="2952">
        <v>956.62</v>
      </c>
      <c r="E23" s="2951" t="s">
        <v>3081</v>
      </c>
      <c r="F23" s="2951" t="s">
        <v>3073</v>
      </c>
      <c r="G23" s="2951" t="s">
        <v>3074</v>
      </c>
    </row>
    <row r="24" spans="1:7">
      <c r="A24" s="2952">
        <v>23</v>
      </c>
      <c r="B24" s="2951" t="s">
        <v>3118</v>
      </c>
      <c r="C24" s="2951" t="s">
        <v>3119</v>
      </c>
      <c r="D24" s="2952">
        <v>956.62</v>
      </c>
      <c r="E24" s="2951" t="s">
        <v>3081</v>
      </c>
      <c r="F24" s="2951" t="s">
        <v>3073</v>
      </c>
      <c r="G24" s="2951" t="s">
        <v>3074</v>
      </c>
    </row>
    <row r="25" spans="1:7">
      <c r="A25" s="2952">
        <v>24</v>
      </c>
      <c r="B25" s="2951" t="s">
        <v>3120</v>
      </c>
      <c r="C25" s="2951" t="s">
        <v>3121</v>
      </c>
      <c r="D25" s="2952">
        <v>956.62</v>
      </c>
      <c r="E25" s="2951" t="s">
        <v>3081</v>
      </c>
      <c r="F25" s="2951" t="s">
        <v>3073</v>
      </c>
      <c r="G25" s="2951" t="s">
        <v>3074</v>
      </c>
    </row>
    <row r="26" spans="1:7">
      <c r="A26" s="2952">
        <v>25</v>
      </c>
      <c r="B26" s="2951" t="s">
        <v>3122</v>
      </c>
      <c r="C26" s="2951" t="s">
        <v>3123</v>
      </c>
      <c r="D26" s="2952">
        <v>956.62</v>
      </c>
      <c r="E26" s="2951" t="s">
        <v>3081</v>
      </c>
      <c r="F26" s="2951" t="s">
        <v>3073</v>
      </c>
      <c r="G26" s="2951" t="s">
        <v>3074</v>
      </c>
    </row>
    <row r="27" spans="1:7">
      <c r="A27" s="2952">
        <v>26</v>
      </c>
      <c r="B27" s="2951" t="s">
        <v>3124</v>
      </c>
      <c r="C27" s="2951" t="s">
        <v>3125</v>
      </c>
      <c r="D27" s="2952">
        <v>956.62</v>
      </c>
      <c r="E27" s="2951" t="s">
        <v>3081</v>
      </c>
      <c r="F27" s="2951" t="s">
        <v>3073</v>
      </c>
      <c r="G27" s="2951" t="s">
        <v>3074</v>
      </c>
    </row>
    <row r="28" spans="1:7">
      <c r="A28" s="2952">
        <v>27</v>
      </c>
      <c r="B28" s="2951" t="s">
        <v>3126</v>
      </c>
      <c r="C28" s="2951" t="s">
        <v>3127</v>
      </c>
      <c r="D28" s="2955">
        <v>971.05</v>
      </c>
      <c r="E28" s="2951" t="s">
        <v>3081</v>
      </c>
      <c r="F28" s="2951" t="s">
        <v>3073</v>
      </c>
      <c r="G28" s="2951" t="s">
        <v>3074</v>
      </c>
    </row>
    <row r="29" spans="1:7">
      <c r="A29" s="2952">
        <v>28</v>
      </c>
      <c r="B29" s="2951" t="s">
        <v>3128</v>
      </c>
      <c r="C29" s="2951" t="s">
        <v>3129</v>
      </c>
      <c r="D29" s="2952">
        <v>971.06</v>
      </c>
      <c r="E29" s="2951" t="s">
        <v>3081</v>
      </c>
      <c r="F29" s="2951" t="s">
        <v>3073</v>
      </c>
      <c r="G29" s="2951" t="s">
        <v>3074</v>
      </c>
    </row>
    <row r="30" spans="1:7">
      <c r="A30" s="2952">
        <v>29</v>
      </c>
      <c r="B30" s="2951" t="s">
        <v>3130</v>
      </c>
      <c r="C30" s="2951" t="s">
        <v>3131</v>
      </c>
      <c r="D30" s="2952">
        <v>971.06</v>
      </c>
      <c r="E30" s="2951" t="s">
        <v>3081</v>
      </c>
      <c r="F30" s="2951" t="s">
        <v>3073</v>
      </c>
      <c r="G30" s="2951" t="s">
        <v>3074</v>
      </c>
    </row>
    <row r="31" spans="1:7">
      <c r="A31" s="2952">
        <v>30</v>
      </c>
      <c r="B31" s="2951" t="s">
        <v>3132</v>
      </c>
      <c r="C31" s="2951" t="s">
        <v>3133</v>
      </c>
      <c r="D31" s="2952">
        <v>971.06</v>
      </c>
      <c r="E31" s="2951" t="s">
        <v>3081</v>
      </c>
      <c r="F31" s="2951" t="s">
        <v>3073</v>
      </c>
      <c r="G31" s="2951" t="s">
        <v>3074</v>
      </c>
    </row>
    <row r="32" spans="1:7">
      <c r="A32" s="2952">
        <v>31</v>
      </c>
      <c r="B32" s="2951" t="s">
        <v>3134</v>
      </c>
      <c r="C32" s="2951" t="s">
        <v>3135</v>
      </c>
      <c r="D32" s="2952">
        <v>970.11</v>
      </c>
      <c r="E32" s="2951" t="s">
        <v>3081</v>
      </c>
      <c r="F32" s="2951" t="s">
        <v>3073</v>
      </c>
      <c r="G32" s="2951" t="s">
        <v>3074</v>
      </c>
    </row>
    <row r="33" spans="1:7">
      <c r="A33" s="2952">
        <v>32</v>
      </c>
      <c r="B33" s="2951" t="s">
        <v>3136</v>
      </c>
      <c r="C33" s="2951" t="s">
        <v>3137</v>
      </c>
      <c r="D33" s="2952">
        <v>970.11</v>
      </c>
      <c r="E33" s="2951" t="s">
        <v>3081</v>
      </c>
      <c r="F33" s="2951" t="s">
        <v>3073</v>
      </c>
      <c r="G33" s="2951" t="s">
        <v>3074</v>
      </c>
    </row>
    <row r="34" spans="1:7">
      <c r="A34" s="2952">
        <v>33</v>
      </c>
      <c r="B34" s="2951" t="s">
        <v>3138</v>
      </c>
      <c r="C34" s="2951" t="s">
        <v>3139</v>
      </c>
      <c r="D34" s="2952">
        <v>970.11</v>
      </c>
      <c r="E34" s="2951" t="s">
        <v>3081</v>
      </c>
      <c r="F34" s="2951" t="s">
        <v>3073</v>
      </c>
      <c r="G34" s="2951" t="s">
        <v>3074</v>
      </c>
    </row>
    <row r="35" spans="1:7">
      <c r="A35" s="2952">
        <v>34</v>
      </c>
      <c r="B35" s="2951" t="s">
        <v>3140</v>
      </c>
      <c r="C35" s="2951" t="s">
        <v>3141</v>
      </c>
      <c r="D35" s="2952">
        <v>970.11</v>
      </c>
      <c r="E35" s="2951" t="s">
        <v>3081</v>
      </c>
      <c r="F35" s="2951" t="s">
        <v>3073</v>
      </c>
      <c r="G35" s="2951" t="s">
        <v>3074</v>
      </c>
    </row>
    <row r="36" spans="1:7">
      <c r="A36" s="2952">
        <v>35</v>
      </c>
      <c r="B36" s="2951" t="s">
        <v>3142</v>
      </c>
      <c r="C36" s="2951" t="s">
        <v>3143</v>
      </c>
      <c r="D36" s="2952">
        <v>970.11</v>
      </c>
      <c r="E36" s="2951" t="s">
        <v>3081</v>
      </c>
      <c r="F36" s="2951" t="s">
        <v>3073</v>
      </c>
      <c r="G36" s="2951" t="s">
        <v>3074</v>
      </c>
    </row>
    <row r="37" spans="1:7">
      <c r="A37" s="2952">
        <v>36</v>
      </c>
      <c r="B37" s="2951" t="s">
        <v>3144</v>
      </c>
      <c r="C37" s="2951" t="s">
        <v>3145</v>
      </c>
      <c r="D37" s="2952">
        <v>970.11</v>
      </c>
      <c r="E37" s="2951" t="s">
        <v>3081</v>
      </c>
      <c r="F37" s="2951" t="s">
        <v>3073</v>
      </c>
      <c r="G37" s="2951" t="s">
        <v>3074</v>
      </c>
    </row>
    <row r="38" spans="1:7">
      <c r="A38" s="2952">
        <v>37</v>
      </c>
      <c r="B38" s="2951" t="s">
        <v>3146</v>
      </c>
      <c r="C38" s="2951" t="s">
        <v>3147</v>
      </c>
      <c r="D38" s="2952">
        <v>956.62</v>
      </c>
      <c r="E38" s="2951" t="s">
        <v>3081</v>
      </c>
      <c r="F38" s="2951" t="s">
        <v>3073</v>
      </c>
      <c r="G38" s="2951" t="s">
        <v>3074</v>
      </c>
    </row>
    <row r="39" spans="1:7">
      <c r="A39" s="2952">
        <v>38</v>
      </c>
      <c r="B39" s="2951" t="s">
        <v>3148</v>
      </c>
      <c r="C39" s="2951" t="s">
        <v>3149</v>
      </c>
      <c r="D39" s="2952">
        <v>956.62</v>
      </c>
      <c r="E39" s="2951" t="s">
        <v>3081</v>
      </c>
      <c r="F39" s="2951" t="s">
        <v>3073</v>
      </c>
      <c r="G39" s="2951" t="s">
        <v>3074</v>
      </c>
    </row>
    <row r="40" spans="1:7">
      <c r="A40" s="2952">
        <v>39</v>
      </c>
      <c r="B40" s="2951" t="s">
        <v>3150</v>
      </c>
      <c r="C40" s="2951" t="s">
        <v>3151</v>
      </c>
      <c r="D40" s="2952">
        <v>956.62</v>
      </c>
      <c r="E40" s="2951" t="s">
        <v>3081</v>
      </c>
      <c r="F40" s="2951" t="s">
        <v>3073</v>
      </c>
      <c r="G40" s="2951" t="s">
        <v>3074</v>
      </c>
    </row>
    <row r="41" spans="1:7">
      <c r="A41" s="2952">
        <v>40</v>
      </c>
      <c r="B41" s="2951" t="s">
        <v>3152</v>
      </c>
      <c r="C41" s="2951" t="s">
        <v>3153</v>
      </c>
      <c r="D41" s="2952">
        <v>956.62</v>
      </c>
      <c r="E41" s="2951" t="s">
        <v>3081</v>
      </c>
      <c r="F41" s="2951" t="s">
        <v>3073</v>
      </c>
      <c r="G41" s="2951" t="s">
        <v>3074</v>
      </c>
    </row>
    <row r="42" spans="1:7">
      <c r="A42" s="2952">
        <v>41</v>
      </c>
      <c r="B42" s="2951" t="s">
        <v>3154</v>
      </c>
      <c r="C42" s="2951" t="s">
        <v>3155</v>
      </c>
      <c r="D42" s="2952">
        <v>956.62</v>
      </c>
      <c r="E42" s="2951" t="s">
        <v>3081</v>
      </c>
      <c r="F42" s="2951" t="s">
        <v>3073</v>
      </c>
      <c r="G42" s="2951" t="s">
        <v>3074</v>
      </c>
    </row>
    <row r="43" spans="1:7">
      <c r="A43" s="2952">
        <v>42</v>
      </c>
      <c r="B43" s="2951" t="s">
        <v>3156</v>
      </c>
      <c r="C43" s="2951" t="s">
        <v>3157</v>
      </c>
      <c r="D43" s="2952">
        <v>956.62</v>
      </c>
      <c r="E43" s="2951" t="s">
        <v>3081</v>
      </c>
      <c r="F43" s="2951" t="s">
        <v>3073</v>
      </c>
      <c r="G43" s="2951" t="s">
        <v>3074</v>
      </c>
    </row>
    <row r="44" spans="1:7">
      <c r="A44" s="2952">
        <v>43</v>
      </c>
      <c r="B44" s="2951" t="s">
        <v>3158</v>
      </c>
      <c r="C44" s="2951" t="s">
        <v>3159</v>
      </c>
      <c r="D44" s="2952">
        <v>956.62</v>
      </c>
      <c r="E44" s="2951" t="s">
        <v>3081</v>
      </c>
      <c r="F44" s="2951" t="s">
        <v>3073</v>
      </c>
      <c r="G44" s="2951" t="s">
        <v>3074</v>
      </c>
    </row>
    <row r="45" spans="1:7">
      <c r="A45" s="2952">
        <v>44</v>
      </c>
      <c r="B45" s="2951" t="s">
        <v>3160</v>
      </c>
      <c r="C45" s="2951" t="s">
        <v>3161</v>
      </c>
      <c r="D45" s="2952">
        <v>971.06</v>
      </c>
      <c r="E45" s="2951" t="s">
        <v>3081</v>
      </c>
      <c r="F45" s="2951" t="s">
        <v>3073</v>
      </c>
      <c r="G45" s="2951" t="s">
        <v>3074</v>
      </c>
    </row>
    <row r="46" spans="1:7">
      <c r="A46" s="2952">
        <v>45</v>
      </c>
      <c r="B46" s="2951" t="s">
        <v>3162</v>
      </c>
      <c r="C46" s="2951" t="s">
        <v>3163</v>
      </c>
      <c r="D46" s="2952">
        <v>971.06</v>
      </c>
      <c r="E46" s="2951" t="s">
        <v>3081</v>
      </c>
      <c r="F46" s="2951" t="s">
        <v>3073</v>
      </c>
      <c r="G46" s="2951" t="s">
        <v>3074</v>
      </c>
    </row>
    <row r="47" spans="1:7">
      <c r="A47" s="2952">
        <v>46</v>
      </c>
      <c r="B47" s="2951" t="s">
        <v>3164</v>
      </c>
      <c r="C47" s="2951" t="s">
        <v>3165</v>
      </c>
      <c r="D47" s="2952">
        <v>971.06</v>
      </c>
      <c r="E47" s="2951" t="s">
        <v>3081</v>
      </c>
      <c r="F47" s="2951" t="s">
        <v>3073</v>
      </c>
      <c r="G47" s="2951" t="s">
        <v>3074</v>
      </c>
    </row>
    <row r="48" spans="1:7">
      <c r="A48" s="2952">
        <v>47</v>
      </c>
      <c r="B48" s="2951" t="s">
        <v>3166</v>
      </c>
      <c r="C48" s="2951" t="s">
        <v>3167</v>
      </c>
      <c r="D48" s="2952">
        <v>971.06</v>
      </c>
      <c r="E48" s="2951" t="s">
        <v>3081</v>
      </c>
      <c r="F48" s="2951" t="s">
        <v>3073</v>
      </c>
      <c r="G48" s="2951" t="s">
        <v>3074</v>
      </c>
    </row>
    <row r="49" spans="1:10">
      <c r="A49" s="2952">
        <v>48</v>
      </c>
      <c r="B49" s="2951" t="s">
        <v>3168</v>
      </c>
      <c r="C49" s="2951" t="s">
        <v>3169</v>
      </c>
      <c r="D49" s="2952">
        <v>599.61</v>
      </c>
      <c r="E49" s="2951" t="s">
        <v>3081</v>
      </c>
      <c r="F49" s="2951" t="s">
        <v>3073</v>
      </c>
      <c r="G49" s="2951" t="s">
        <v>3074</v>
      </c>
    </row>
    <row r="50" spans="1:10" s="2953" customFormat="1">
      <c r="A50" s="2953">
        <v>49</v>
      </c>
      <c r="B50" s="2954" t="s">
        <v>3170</v>
      </c>
      <c r="C50" s="2954" t="s">
        <v>3171</v>
      </c>
      <c r="D50" s="2953">
        <v>599.61</v>
      </c>
      <c r="E50" s="2954" t="s">
        <v>3081</v>
      </c>
      <c r="F50" s="2954" t="s">
        <v>3073</v>
      </c>
      <c r="G50" s="2954" t="s">
        <v>3074</v>
      </c>
    </row>
    <row r="51" spans="1:10" s="2953" customFormat="1">
      <c r="A51" s="2953">
        <v>50</v>
      </c>
      <c r="B51" s="2954" t="s">
        <v>3172</v>
      </c>
      <c r="C51" s="2954" t="s">
        <v>3173</v>
      </c>
      <c r="D51" s="2953">
        <v>599.61</v>
      </c>
      <c r="E51" s="2954" t="s">
        <v>3081</v>
      </c>
      <c r="F51" s="2954" t="s">
        <v>3073</v>
      </c>
      <c r="G51" s="2954" t="s">
        <v>3074</v>
      </c>
    </row>
    <row r="52" spans="1:10" s="2953" customFormat="1">
      <c r="A52" s="2953">
        <v>51</v>
      </c>
      <c r="B52" s="2954" t="s">
        <v>3174</v>
      </c>
      <c r="C52" s="2954" t="s">
        <v>3175</v>
      </c>
      <c r="D52" s="2953">
        <v>599.61</v>
      </c>
      <c r="E52" s="2954" t="s">
        <v>3081</v>
      </c>
      <c r="F52" s="2954" t="s">
        <v>3073</v>
      </c>
      <c r="G52" s="2954" t="s">
        <v>3074</v>
      </c>
    </row>
    <row r="53" spans="1:10">
      <c r="A53" s="2952">
        <v>52</v>
      </c>
      <c r="B53" s="2951" t="s">
        <v>3176</v>
      </c>
      <c r="C53" s="2951" t="s">
        <v>3177</v>
      </c>
      <c r="D53" s="2952">
        <v>970.11</v>
      </c>
      <c r="E53" s="2951" t="s">
        <v>3081</v>
      </c>
      <c r="F53" s="2951" t="s">
        <v>3073</v>
      </c>
      <c r="G53" s="2951" t="s">
        <v>3074</v>
      </c>
    </row>
    <row r="54" spans="1:10">
      <c r="A54" s="2952">
        <v>53</v>
      </c>
      <c r="B54" s="2951" t="s">
        <v>3178</v>
      </c>
      <c r="C54" s="2951" t="s">
        <v>3179</v>
      </c>
      <c r="D54" s="2952">
        <v>970.11</v>
      </c>
      <c r="E54" s="2951" t="s">
        <v>3081</v>
      </c>
      <c r="F54" s="2951" t="s">
        <v>3073</v>
      </c>
      <c r="G54" s="2951" t="s">
        <v>3074</v>
      </c>
    </row>
    <row r="55" spans="1:10">
      <c r="A55" s="2952">
        <v>54</v>
      </c>
      <c r="B55" s="2951" t="s">
        <v>3180</v>
      </c>
      <c r="C55" s="2951" t="s">
        <v>3181</v>
      </c>
      <c r="D55" s="2952">
        <v>970.11</v>
      </c>
      <c r="E55" s="2951" t="s">
        <v>3081</v>
      </c>
      <c r="F55" s="2951" t="s">
        <v>3073</v>
      </c>
      <c r="G55" s="2951" t="s">
        <v>3074</v>
      </c>
    </row>
    <row r="56" spans="1:10">
      <c r="A56" s="2952">
        <v>55</v>
      </c>
      <c r="B56" s="2951" t="s">
        <v>3182</v>
      </c>
      <c r="C56" s="2951" t="s">
        <v>3183</v>
      </c>
      <c r="D56" s="2952">
        <v>970.11</v>
      </c>
      <c r="E56" s="2951" t="s">
        <v>3081</v>
      </c>
      <c r="F56" s="2951" t="s">
        <v>3073</v>
      </c>
      <c r="G56" s="2951" t="s">
        <v>3074</v>
      </c>
    </row>
    <row r="57" spans="1:10">
      <c r="B57" s="2951" t="s">
        <v>3184</v>
      </c>
      <c r="D57" s="2956">
        <f>SUM(D2:D56)-D13-D50-D51-D52</f>
        <v>50680.400000000009</v>
      </c>
    </row>
    <row r="58" spans="1:10">
      <c r="B58" s="2951" t="s">
        <v>3185</v>
      </c>
      <c r="D58" s="2951">
        <f>D13+D50+D51+D52</f>
        <v>3061.8</v>
      </c>
    </row>
    <row r="59" spans="1:10">
      <c r="A59" s="2951" t="s">
        <v>3063</v>
      </c>
      <c r="B59" s="2951" t="s">
        <v>3186</v>
      </c>
      <c r="C59" s="2951" t="s">
        <v>3187</v>
      </c>
      <c r="D59" s="2951" t="s">
        <v>3066</v>
      </c>
      <c r="E59" s="2951" t="s">
        <v>3188</v>
      </c>
      <c r="H59" s="2951" t="s">
        <v>3189</v>
      </c>
      <c r="J59" s="2951" t="s">
        <v>3190</v>
      </c>
    </row>
    <row r="60" spans="1:10">
      <c r="A60" s="2952">
        <v>1</v>
      </c>
      <c r="B60" s="2951" t="s">
        <v>3191</v>
      </c>
      <c r="C60" s="2951" t="s">
        <v>3192</v>
      </c>
      <c r="D60" s="2952">
        <v>960.28</v>
      </c>
      <c r="E60" s="2952">
        <v>3</v>
      </c>
      <c r="H60" s="2951" t="s">
        <v>3193</v>
      </c>
      <c r="J60" s="2951" t="s">
        <v>3192</v>
      </c>
    </row>
    <row r="61" spans="1:10">
      <c r="A61" s="2952">
        <v>2</v>
      </c>
      <c r="B61" s="2951" t="s">
        <v>3191</v>
      </c>
      <c r="C61" s="2951" t="s">
        <v>3194</v>
      </c>
      <c r="D61" s="2952">
        <v>960.28</v>
      </c>
      <c r="E61" s="2952">
        <v>3</v>
      </c>
      <c r="H61" s="2951" t="s">
        <v>3195</v>
      </c>
      <c r="J61" s="2951" t="s">
        <v>3194</v>
      </c>
    </row>
    <row r="62" spans="1:10">
      <c r="A62" s="2952">
        <v>3</v>
      </c>
      <c r="B62" s="2951" t="s">
        <v>3191</v>
      </c>
      <c r="C62" s="2951" t="s">
        <v>3196</v>
      </c>
      <c r="D62" s="2952">
        <v>960.28</v>
      </c>
      <c r="E62" s="2952">
        <v>3</v>
      </c>
      <c r="H62" s="2951" t="s">
        <v>3197</v>
      </c>
      <c r="J62" s="2951" t="s">
        <v>3196</v>
      </c>
    </row>
    <row r="63" spans="1:10">
      <c r="A63" s="2952">
        <v>4</v>
      </c>
      <c r="B63" s="2951" t="s">
        <v>3191</v>
      </c>
      <c r="C63" s="2951" t="s">
        <v>3198</v>
      </c>
      <c r="D63" s="2952">
        <v>960.28</v>
      </c>
      <c r="E63" s="2952">
        <v>3</v>
      </c>
      <c r="H63" s="2951" t="s">
        <v>3199</v>
      </c>
      <c r="J63" s="2951" t="s">
        <v>3198</v>
      </c>
    </row>
    <row r="64" spans="1:10">
      <c r="A64" s="2952">
        <v>5</v>
      </c>
      <c r="B64" s="2951" t="s">
        <v>3191</v>
      </c>
      <c r="C64" s="2951" t="s">
        <v>3200</v>
      </c>
      <c r="D64" s="2952">
        <v>960.28</v>
      </c>
      <c r="E64" s="2952">
        <v>3</v>
      </c>
      <c r="H64" s="2951" t="s">
        <v>3201</v>
      </c>
      <c r="J64" s="2951" t="s">
        <v>3200</v>
      </c>
    </row>
    <row r="65" spans="1:10">
      <c r="A65" s="2952">
        <v>6</v>
      </c>
      <c r="B65" s="2951" t="s">
        <v>3191</v>
      </c>
      <c r="C65" s="2951" t="s">
        <v>3202</v>
      </c>
      <c r="D65" s="2952">
        <v>960.28</v>
      </c>
      <c r="E65" s="2952">
        <v>3</v>
      </c>
      <c r="H65" s="2951" t="s">
        <v>3203</v>
      </c>
      <c r="J65" s="2951" t="s">
        <v>3202</v>
      </c>
    </row>
    <row r="66" spans="1:10">
      <c r="A66" s="2952">
        <v>7</v>
      </c>
      <c r="B66" s="2951" t="s">
        <v>3191</v>
      </c>
      <c r="C66" s="2951" t="s">
        <v>3204</v>
      </c>
      <c r="D66" s="2952">
        <v>960.28</v>
      </c>
      <c r="E66" s="2952">
        <v>3</v>
      </c>
      <c r="H66" s="2951" t="s">
        <v>3205</v>
      </c>
      <c r="J66" s="2951" t="s">
        <v>3204</v>
      </c>
    </row>
    <row r="67" spans="1:10">
      <c r="A67" s="2952">
        <v>8</v>
      </c>
      <c r="B67" s="2951" t="s">
        <v>3191</v>
      </c>
      <c r="C67" s="2951" t="s">
        <v>3206</v>
      </c>
      <c r="D67" s="2952">
        <v>960.28</v>
      </c>
      <c r="E67" s="2952">
        <v>3</v>
      </c>
      <c r="H67" s="2951" t="s">
        <v>3207</v>
      </c>
      <c r="J67" s="2951" t="s">
        <v>3206</v>
      </c>
    </row>
    <row r="68" spans="1:10">
      <c r="A68" s="2952">
        <v>9</v>
      </c>
      <c r="B68" s="2951" t="s">
        <v>3191</v>
      </c>
      <c r="C68" s="2951" t="s">
        <v>3208</v>
      </c>
      <c r="D68" s="2952">
        <v>960.28</v>
      </c>
      <c r="E68" s="2952">
        <v>3</v>
      </c>
      <c r="H68" s="2951" t="s">
        <v>3209</v>
      </c>
      <c r="J68" s="2951" t="s">
        <v>3208</v>
      </c>
    </row>
    <row r="69" spans="1:10">
      <c r="A69" s="2952">
        <v>10</v>
      </c>
      <c r="B69" s="2951" t="s">
        <v>3191</v>
      </c>
      <c r="C69" s="2951" t="s">
        <v>3210</v>
      </c>
      <c r="D69" s="2952">
        <v>960.28</v>
      </c>
      <c r="E69" s="2952">
        <v>3</v>
      </c>
      <c r="H69" s="2951" t="s">
        <v>3211</v>
      </c>
      <c r="J69" s="2951" t="s">
        <v>3210</v>
      </c>
    </row>
    <row r="70" spans="1:10">
      <c r="A70" s="2952">
        <v>11</v>
      </c>
      <c r="B70" s="2951" t="s">
        <v>3191</v>
      </c>
      <c r="C70" s="2951" t="s">
        <v>3212</v>
      </c>
      <c r="D70" s="2952">
        <v>958.56</v>
      </c>
      <c r="E70" s="2952">
        <v>3</v>
      </c>
      <c r="H70" s="2951" t="s">
        <v>3213</v>
      </c>
      <c r="J70" s="2951" t="s">
        <v>3212</v>
      </c>
    </row>
    <row r="71" spans="1:10">
      <c r="A71" s="2952">
        <v>12</v>
      </c>
      <c r="B71" s="2951" t="s">
        <v>3191</v>
      </c>
      <c r="C71" s="2951" t="s">
        <v>3214</v>
      </c>
      <c r="D71" s="2952">
        <v>958.56</v>
      </c>
      <c r="E71" s="2952">
        <v>3</v>
      </c>
      <c r="H71" s="2951" t="s">
        <v>3215</v>
      </c>
      <c r="J71" s="2951" t="s">
        <v>3214</v>
      </c>
    </row>
    <row r="72" spans="1:10">
      <c r="A72" s="2952">
        <v>13</v>
      </c>
      <c r="B72" s="2951" t="s">
        <v>3191</v>
      </c>
      <c r="C72" s="2951" t="s">
        <v>3216</v>
      </c>
      <c r="D72" s="2952">
        <v>958.56</v>
      </c>
      <c r="E72" s="2952">
        <v>3</v>
      </c>
      <c r="H72" s="2951" t="s">
        <v>3217</v>
      </c>
      <c r="J72" s="2951" t="s">
        <v>3216</v>
      </c>
    </row>
    <row r="73" spans="1:10">
      <c r="A73" s="2952">
        <v>14</v>
      </c>
      <c r="B73" s="2951" t="s">
        <v>3191</v>
      </c>
      <c r="C73" s="2951" t="s">
        <v>3218</v>
      </c>
      <c r="D73" s="2952">
        <v>958.56</v>
      </c>
      <c r="E73" s="2952">
        <v>3</v>
      </c>
      <c r="H73" s="2951" t="s">
        <v>3219</v>
      </c>
      <c r="J73" s="2951" t="s">
        <v>3218</v>
      </c>
    </row>
    <row r="74" spans="1:10">
      <c r="A74" s="2952">
        <v>15</v>
      </c>
      <c r="B74" s="2951" t="s">
        <v>3191</v>
      </c>
      <c r="C74" s="2951" t="s">
        <v>3220</v>
      </c>
      <c r="D74" s="2952">
        <v>958.56</v>
      </c>
      <c r="E74" s="2952">
        <v>3</v>
      </c>
      <c r="H74" s="2951" t="s">
        <v>3221</v>
      </c>
      <c r="J74" s="2951" t="s">
        <v>3220</v>
      </c>
    </row>
    <row r="75" spans="1:10">
      <c r="A75" s="2952">
        <v>16</v>
      </c>
      <c r="B75" s="2951" t="s">
        <v>3191</v>
      </c>
      <c r="C75" s="2951" t="s">
        <v>3222</v>
      </c>
      <c r="D75" s="2952">
        <v>958.56</v>
      </c>
      <c r="E75" s="2952">
        <v>3</v>
      </c>
      <c r="H75" s="2951" t="s">
        <v>3223</v>
      </c>
      <c r="J75" s="2951" t="s">
        <v>3222</v>
      </c>
    </row>
    <row r="76" spans="1:10">
      <c r="A76" s="2952">
        <v>17</v>
      </c>
      <c r="B76" s="2951" t="s">
        <v>3191</v>
      </c>
      <c r="C76" s="2951" t="s">
        <v>3224</v>
      </c>
      <c r="D76" s="2952">
        <v>958.56</v>
      </c>
      <c r="E76" s="2952">
        <v>3</v>
      </c>
      <c r="H76" s="2951" t="s">
        <v>3225</v>
      </c>
      <c r="J76" s="2951" t="s">
        <v>3224</v>
      </c>
    </row>
    <row r="77" spans="1:10">
      <c r="A77" s="2952">
        <v>18</v>
      </c>
      <c r="B77" s="2951" t="s">
        <v>3191</v>
      </c>
      <c r="C77" s="2951" t="s">
        <v>3226</v>
      </c>
      <c r="D77" s="2952">
        <v>958.56</v>
      </c>
      <c r="E77" s="2952">
        <v>3</v>
      </c>
      <c r="H77" s="2951" t="s">
        <v>3227</v>
      </c>
      <c r="J77" s="2951" t="s">
        <v>3226</v>
      </c>
    </row>
    <row r="78" spans="1:10">
      <c r="A78" s="2952">
        <v>19</v>
      </c>
      <c r="B78" s="2951" t="s">
        <v>3191</v>
      </c>
      <c r="C78" s="2951" t="s">
        <v>3228</v>
      </c>
      <c r="D78" s="2952">
        <v>958.56</v>
      </c>
      <c r="E78" s="2952">
        <v>3</v>
      </c>
      <c r="H78" s="2951" t="s">
        <v>3229</v>
      </c>
      <c r="J78" s="2951" t="s">
        <v>3228</v>
      </c>
    </row>
    <row r="79" spans="1:10">
      <c r="A79" s="2952">
        <v>20</v>
      </c>
      <c r="B79" s="2951" t="s">
        <v>3191</v>
      </c>
      <c r="C79" s="2951" t="s">
        <v>3230</v>
      </c>
      <c r="D79" s="2952">
        <v>958.56</v>
      </c>
      <c r="E79" s="2952">
        <v>3</v>
      </c>
      <c r="H79" s="2951" t="s">
        <v>3231</v>
      </c>
      <c r="J79" s="2951" t="s">
        <v>3230</v>
      </c>
    </row>
    <row r="80" spans="1:10">
      <c r="A80" s="2952">
        <v>21</v>
      </c>
      <c r="B80" s="2951" t="s">
        <v>3191</v>
      </c>
      <c r="C80" s="2951" t="s">
        <v>3232</v>
      </c>
      <c r="D80" s="2952">
        <v>1248.8800000000001</v>
      </c>
      <c r="E80" s="2952">
        <v>3</v>
      </c>
      <c r="H80" s="2951" t="s">
        <v>3233</v>
      </c>
      <c r="J80" s="2951" t="s">
        <v>3232</v>
      </c>
    </row>
    <row r="81" spans="1:10">
      <c r="A81" s="2952">
        <v>22</v>
      </c>
      <c r="B81" s="2951" t="s">
        <v>3191</v>
      </c>
      <c r="C81" s="2951" t="s">
        <v>3234</v>
      </c>
      <c r="D81" s="2952">
        <v>1248.8800000000001</v>
      </c>
      <c r="E81" s="2952">
        <v>3</v>
      </c>
      <c r="H81" s="2951" t="s">
        <v>3235</v>
      </c>
      <c r="J81" s="2951" t="s">
        <v>3234</v>
      </c>
    </row>
    <row r="82" spans="1:10">
      <c r="A82" s="2952">
        <v>23</v>
      </c>
      <c r="B82" s="2951" t="s">
        <v>3191</v>
      </c>
      <c r="C82" s="2951" t="s">
        <v>3236</v>
      </c>
      <c r="D82" s="2952">
        <v>1248.8800000000001</v>
      </c>
      <c r="E82" s="2952">
        <v>3</v>
      </c>
      <c r="H82" s="2951" t="s">
        <v>3237</v>
      </c>
      <c r="J82" s="2951" t="s">
        <v>3236</v>
      </c>
    </row>
    <row r="83" spans="1:10">
      <c r="A83" s="2952">
        <v>24</v>
      </c>
      <c r="B83" s="2951" t="s">
        <v>3191</v>
      </c>
      <c r="C83" s="2951" t="s">
        <v>3238</v>
      </c>
      <c r="D83" s="2952">
        <v>1248.8800000000001</v>
      </c>
      <c r="E83" s="2952">
        <v>3</v>
      </c>
      <c r="H83" s="2951" t="s">
        <v>3239</v>
      </c>
      <c r="J83" s="2951" t="s">
        <v>3238</v>
      </c>
    </row>
    <row r="84" spans="1:10">
      <c r="A84" s="2952">
        <v>25</v>
      </c>
      <c r="B84" s="2951" t="s">
        <v>3191</v>
      </c>
      <c r="C84" s="2951" t="s">
        <v>3240</v>
      </c>
      <c r="D84" s="2952">
        <v>1248.8800000000001</v>
      </c>
      <c r="E84" s="2952">
        <v>3</v>
      </c>
      <c r="H84" s="2951" t="s">
        <v>3241</v>
      </c>
      <c r="J84" s="2951" t="s">
        <v>3240</v>
      </c>
    </row>
    <row r="85" spans="1:10">
      <c r="A85" s="2952">
        <v>26</v>
      </c>
      <c r="B85" s="2951" t="s">
        <v>3191</v>
      </c>
      <c r="C85" s="2951" t="s">
        <v>3242</v>
      </c>
      <c r="D85" s="2952">
        <v>1248.8800000000001</v>
      </c>
      <c r="E85" s="2952">
        <v>3</v>
      </c>
      <c r="H85" s="2951" t="s">
        <v>3243</v>
      </c>
      <c r="J85" s="2951" t="s">
        <v>3242</v>
      </c>
    </row>
    <row r="86" spans="1:10">
      <c r="A86" s="2952">
        <v>27</v>
      </c>
      <c r="B86" s="2951" t="s">
        <v>3191</v>
      </c>
      <c r="C86" s="2951" t="s">
        <v>3244</v>
      </c>
      <c r="D86" s="2952">
        <v>949.37</v>
      </c>
      <c r="E86" s="2952">
        <v>3</v>
      </c>
      <c r="H86" s="2951" t="s">
        <v>3245</v>
      </c>
      <c r="J86" s="2951" t="s">
        <v>3244</v>
      </c>
    </row>
    <row r="87" spans="1:10">
      <c r="A87" s="2952">
        <v>28</v>
      </c>
      <c r="B87" s="2951" t="s">
        <v>3191</v>
      </c>
      <c r="C87" s="2951" t="s">
        <v>3246</v>
      </c>
      <c r="D87" s="2952">
        <v>949.37</v>
      </c>
      <c r="E87" s="2952">
        <v>3</v>
      </c>
      <c r="H87" s="2951" t="s">
        <v>3247</v>
      </c>
      <c r="J87" s="2951" t="s">
        <v>3246</v>
      </c>
    </row>
    <row r="88" spans="1:10">
      <c r="A88" s="2952">
        <v>29</v>
      </c>
      <c r="B88" s="2951" t="s">
        <v>3191</v>
      </c>
      <c r="C88" s="2951" t="s">
        <v>3248</v>
      </c>
      <c r="D88" s="2952">
        <v>949.37</v>
      </c>
      <c r="E88" s="2952">
        <v>3</v>
      </c>
      <c r="H88" s="2951" t="s">
        <v>3249</v>
      </c>
      <c r="J88" s="2951" t="s">
        <v>3248</v>
      </c>
    </row>
    <row r="89" spans="1:10">
      <c r="A89" s="2952">
        <v>30</v>
      </c>
      <c r="B89" s="2951" t="s">
        <v>3191</v>
      </c>
      <c r="C89" s="2951" t="s">
        <v>3250</v>
      </c>
      <c r="D89" s="2952">
        <v>949.37</v>
      </c>
      <c r="E89" s="2952">
        <v>3</v>
      </c>
      <c r="H89" s="2951" t="s">
        <v>3251</v>
      </c>
      <c r="J89" s="2951" t="s">
        <v>3250</v>
      </c>
    </row>
    <row r="90" spans="1:10">
      <c r="A90" s="2952">
        <v>31</v>
      </c>
      <c r="B90" s="2951" t="s">
        <v>3191</v>
      </c>
      <c r="C90" s="2951" t="s">
        <v>3252</v>
      </c>
      <c r="D90" s="2952">
        <v>949.37</v>
      </c>
      <c r="E90" s="2952">
        <v>3</v>
      </c>
      <c r="H90" s="2951" t="s">
        <v>3253</v>
      </c>
      <c r="J90" s="2951" t="s">
        <v>3252</v>
      </c>
    </row>
    <row r="91" spans="1:10">
      <c r="A91" s="2952">
        <v>32</v>
      </c>
      <c r="B91" s="2951" t="s">
        <v>3191</v>
      </c>
      <c r="C91" s="2951" t="s">
        <v>3254</v>
      </c>
      <c r="D91" s="2952">
        <v>949.37</v>
      </c>
      <c r="E91" s="2952">
        <v>3</v>
      </c>
      <c r="H91" s="2951" t="s">
        <v>3255</v>
      </c>
      <c r="J91" s="2951" t="s">
        <v>3254</v>
      </c>
    </row>
    <row r="92" spans="1:10">
      <c r="A92" s="2952">
        <v>33</v>
      </c>
      <c r="B92" s="2951" t="s">
        <v>3191</v>
      </c>
      <c r="C92" s="2951" t="s">
        <v>3256</v>
      </c>
      <c r="D92" s="2952">
        <v>949.37</v>
      </c>
      <c r="E92" s="2952">
        <v>3</v>
      </c>
      <c r="H92" s="2951" t="s">
        <v>3257</v>
      </c>
      <c r="J92" s="2951" t="s">
        <v>3256</v>
      </c>
    </row>
    <row r="93" spans="1:10">
      <c r="A93" s="2952">
        <v>34</v>
      </c>
      <c r="B93" s="2951" t="s">
        <v>3191</v>
      </c>
      <c r="C93" s="2951" t="s">
        <v>3258</v>
      </c>
      <c r="D93" s="2952">
        <v>595.26</v>
      </c>
      <c r="E93" s="2952">
        <v>3</v>
      </c>
      <c r="H93" s="2951" t="s">
        <v>3259</v>
      </c>
      <c r="J93" s="2951" t="s">
        <v>3258</v>
      </c>
    </row>
    <row r="94" spans="1:10">
      <c r="A94" s="2952">
        <v>35</v>
      </c>
      <c r="B94" s="2951" t="s">
        <v>3191</v>
      </c>
      <c r="C94" s="2951" t="s">
        <v>3260</v>
      </c>
      <c r="D94" s="2952">
        <v>595.26</v>
      </c>
      <c r="E94" s="2952">
        <v>3</v>
      </c>
      <c r="H94" s="2951" t="s">
        <v>3261</v>
      </c>
      <c r="J94" s="2951" t="s">
        <v>3260</v>
      </c>
    </row>
    <row r="95" spans="1:10">
      <c r="A95" s="2952">
        <v>36</v>
      </c>
      <c r="B95" s="2951" t="s">
        <v>3191</v>
      </c>
      <c r="C95" s="2951" t="s">
        <v>3262</v>
      </c>
      <c r="D95" s="2952">
        <v>595.26</v>
      </c>
      <c r="E95" s="2952">
        <v>3</v>
      </c>
      <c r="H95" s="2951" t="s">
        <v>3263</v>
      </c>
      <c r="J95" s="2951" t="s">
        <v>3262</v>
      </c>
    </row>
    <row r="96" spans="1:10">
      <c r="A96" s="2952">
        <v>37</v>
      </c>
      <c r="B96" s="2951" t="s">
        <v>3191</v>
      </c>
      <c r="C96" s="2951" t="s">
        <v>3264</v>
      </c>
      <c r="D96" s="2952">
        <v>595.26</v>
      </c>
      <c r="E96" s="2952">
        <v>3</v>
      </c>
      <c r="H96" s="2951" t="s">
        <v>3265</v>
      </c>
      <c r="J96" s="2951" t="s">
        <v>3264</v>
      </c>
    </row>
    <row r="97" spans="1:10">
      <c r="A97" s="2952">
        <v>38</v>
      </c>
      <c r="B97" s="2951" t="s">
        <v>3191</v>
      </c>
      <c r="C97" s="2951" t="s">
        <v>3266</v>
      </c>
      <c r="D97" s="2952">
        <v>958.56</v>
      </c>
      <c r="E97" s="2952">
        <v>3</v>
      </c>
      <c r="H97" s="2951" t="s">
        <v>3267</v>
      </c>
      <c r="J97" s="2951" t="s">
        <v>3266</v>
      </c>
    </row>
    <row r="98" spans="1:10">
      <c r="A98" s="2952">
        <v>39</v>
      </c>
      <c r="B98" s="2951" t="s">
        <v>3191</v>
      </c>
      <c r="C98" s="2951" t="s">
        <v>3268</v>
      </c>
      <c r="D98" s="2952">
        <v>960.28</v>
      </c>
      <c r="E98" s="2952">
        <v>3</v>
      </c>
      <c r="H98" s="2951" t="s">
        <v>3269</v>
      </c>
      <c r="J98" s="2951" t="s">
        <v>3268</v>
      </c>
    </row>
    <row r="99" spans="1:10">
      <c r="A99" s="2952">
        <v>40</v>
      </c>
      <c r="B99" s="2951" t="s">
        <v>3191</v>
      </c>
      <c r="C99" s="2951" t="s">
        <v>3270</v>
      </c>
      <c r="D99" s="2952">
        <v>960.28</v>
      </c>
      <c r="E99" s="2952">
        <v>3</v>
      </c>
      <c r="H99" s="2951" t="s">
        <v>3271</v>
      </c>
      <c r="J99" s="2951" t="s">
        <v>3270</v>
      </c>
    </row>
    <row r="100" spans="1:10">
      <c r="A100" s="2952">
        <v>41</v>
      </c>
      <c r="B100" s="2951" t="s">
        <v>3191</v>
      </c>
      <c r="C100" s="2951" t="s">
        <v>3272</v>
      </c>
      <c r="D100" s="2952">
        <v>960.28</v>
      </c>
      <c r="E100" s="2952">
        <v>3</v>
      </c>
      <c r="H100" s="2951" t="s">
        <v>3273</v>
      </c>
      <c r="J100" s="2951" t="s">
        <v>3272</v>
      </c>
    </row>
    <row r="101" spans="1:10">
      <c r="A101" s="2952">
        <v>42</v>
      </c>
      <c r="B101" s="2951" t="s">
        <v>3191</v>
      </c>
      <c r="C101" s="2951" t="s">
        <v>3274</v>
      </c>
      <c r="D101" s="2952">
        <v>960.28</v>
      </c>
      <c r="E101" s="2952">
        <v>3</v>
      </c>
      <c r="H101" s="2951" t="s">
        <v>3275</v>
      </c>
      <c r="J101" s="2951" t="s">
        <v>3274</v>
      </c>
    </row>
    <row r="102" spans="1:10">
      <c r="A102" s="2952">
        <v>43</v>
      </c>
      <c r="B102" s="2951" t="s">
        <v>3191</v>
      </c>
      <c r="C102" s="2951" t="s">
        <v>3276</v>
      </c>
      <c r="D102" s="2952">
        <v>960.28</v>
      </c>
      <c r="E102" s="2952">
        <v>3</v>
      </c>
      <c r="H102" s="2951" t="s">
        <v>3277</v>
      </c>
      <c r="J102" s="2951" t="s">
        <v>3276</v>
      </c>
    </row>
    <row r="103" spans="1:10">
      <c r="A103" s="2952">
        <v>44</v>
      </c>
      <c r="B103" s="2951" t="s">
        <v>3191</v>
      </c>
      <c r="C103" s="2951" t="s">
        <v>3278</v>
      </c>
      <c r="D103" s="2952">
        <v>949.37</v>
      </c>
      <c r="E103" s="2952">
        <v>3</v>
      </c>
      <c r="H103" s="2951" t="s">
        <v>3279</v>
      </c>
      <c r="J103" s="2951" t="s">
        <v>3278</v>
      </c>
    </row>
    <row r="104" spans="1:10">
      <c r="A104" s="2952">
        <v>45</v>
      </c>
      <c r="B104" s="2951" t="s">
        <v>3191</v>
      </c>
      <c r="C104" s="2951" t="s">
        <v>3280</v>
      </c>
      <c r="D104" s="2952">
        <v>949.37</v>
      </c>
      <c r="E104" s="2952">
        <v>3</v>
      </c>
      <c r="H104" s="2951" t="s">
        <v>3281</v>
      </c>
      <c r="J104" s="2951" t="s">
        <v>3280</v>
      </c>
    </row>
    <row r="105" spans="1:10">
      <c r="A105" s="2952">
        <v>46</v>
      </c>
      <c r="B105" s="2951" t="s">
        <v>3191</v>
      </c>
      <c r="C105" s="2951" t="s">
        <v>3282</v>
      </c>
      <c r="D105" s="2952">
        <v>949.37</v>
      </c>
      <c r="E105" s="2952">
        <v>3</v>
      </c>
      <c r="H105" s="2951" t="s">
        <v>3283</v>
      </c>
      <c r="J105" s="2951" t="s">
        <v>3282</v>
      </c>
    </row>
    <row r="106" spans="1:10">
      <c r="A106" s="2952">
        <v>47</v>
      </c>
      <c r="B106" s="2951" t="s">
        <v>3191</v>
      </c>
      <c r="C106" s="2951" t="s">
        <v>3284</v>
      </c>
      <c r="D106" s="2952">
        <v>960.28</v>
      </c>
      <c r="E106" s="2952">
        <v>3</v>
      </c>
      <c r="H106" s="2951" t="s">
        <v>3285</v>
      </c>
      <c r="J106" s="2951" t="s">
        <v>3284</v>
      </c>
    </row>
    <row r="107" spans="1:10">
      <c r="A107" s="2952">
        <v>48</v>
      </c>
      <c r="B107" s="2951" t="s">
        <v>3191</v>
      </c>
      <c r="C107" s="2951" t="s">
        <v>3286</v>
      </c>
      <c r="D107" s="2952">
        <v>960.28</v>
      </c>
      <c r="E107" s="2952">
        <v>3</v>
      </c>
      <c r="H107" s="2951" t="s">
        <v>3287</v>
      </c>
      <c r="J107" s="2951" t="s">
        <v>3286</v>
      </c>
    </row>
    <row r="108" spans="1:10">
      <c r="A108" s="2952">
        <v>49</v>
      </c>
      <c r="B108" s="2951" t="s">
        <v>3191</v>
      </c>
      <c r="C108" s="2951" t="s">
        <v>3288</v>
      </c>
      <c r="D108" s="2952">
        <v>960.28</v>
      </c>
      <c r="E108" s="2952">
        <v>3</v>
      </c>
      <c r="H108" s="2951" t="s">
        <v>3289</v>
      </c>
      <c r="J108" s="2951" t="s">
        <v>3290</v>
      </c>
    </row>
    <row r="109" spans="1:10">
      <c r="A109" s="2952">
        <v>50</v>
      </c>
      <c r="B109" s="2951" t="s">
        <v>3191</v>
      </c>
      <c r="C109" s="2951" t="s">
        <v>3291</v>
      </c>
      <c r="D109" s="2952">
        <v>960.28</v>
      </c>
      <c r="E109" s="2952">
        <v>3</v>
      </c>
      <c r="H109" s="2951" t="s">
        <v>3292</v>
      </c>
      <c r="J109" s="2951" t="s">
        <v>3291</v>
      </c>
    </row>
    <row r="110" spans="1:10">
      <c r="A110" s="2952">
        <v>51</v>
      </c>
      <c r="B110" s="2951" t="s">
        <v>3191</v>
      </c>
      <c r="C110" s="2951" t="s">
        <v>3293</v>
      </c>
      <c r="D110" s="2952">
        <v>960.28</v>
      </c>
      <c r="E110" s="2952">
        <v>3</v>
      </c>
      <c r="H110" s="2951" t="s">
        <v>3294</v>
      </c>
      <c r="J110" s="2951" t="s">
        <v>3293</v>
      </c>
    </row>
    <row r="111" spans="1:10">
      <c r="A111" s="2952">
        <v>52</v>
      </c>
      <c r="B111" s="2951" t="s">
        <v>3191</v>
      </c>
      <c r="C111" s="2951" t="s">
        <v>3295</v>
      </c>
      <c r="D111" s="2952">
        <v>960.28</v>
      </c>
      <c r="E111" s="2952">
        <v>3</v>
      </c>
      <c r="H111" s="2951" t="s">
        <v>3296</v>
      </c>
      <c r="J111" s="2951" t="s">
        <v>3295</v>
      </c>
    </row>
    <row r="112" spans="1:10">
      <c r="A112" s="2952">
        <v>53</v>
      </c>
      <c r="B112" s="2951" t="s">
        <v>3191</v>
      </c>
      <c r="C112" s="2951" t="s">
        <v>3297</v>
      </c>
      <c r="D112" s="2952">
        <v>960.28</v>
      </c>
      <c r="E112" s="2952">
        <v>3</v>
      </c>
      <c r="H112" s="2951" t="s">
        <v>3298</v>
      </c>
      <c r="J112" s="2951" t="s">
        <v>3297</v>
      </c>
    </row>
    <row r="113" spans="1:10">
      <c r="A113" s="2952">
        <v>54</v>
      </c>
      <c r="B113" s="2951" t="s">
        <v>3191</v>
      </c>
      <c r="C113" s="2951" t="s">
        <v>3299</v>
      </c>
      <c r="D113" s="2952">
        <v>960.28</v>
      </c>
      <c r="E113" s="2952">
        <v>3</v>
      </c>
      <c r="H113" s="2951" t="s">
        <v>3300</v>
      </c>
      <c r="J113" s="2951" t="s">
        <v>3299</v>
      </c>
    </row>
    <row r="114" spans="1:10">
      <c r="A114" s="2952">
        <v>55</v>
      </c>
      <c r="B114" s="2951" t="s">
        <v>3191</v>
      </c>
      <c r="C114" s="2951" t="s">
        <v>3301</v>
      </c>
      <c r="D114" s="2952">
        <v>960.28</v>
      </c>
      <c r="E114" s="2952">
        <v>3</v>
      </c>
      <c r="H114" s="2951" t="s">
        <v>3302</v>
      </c>
      <c r="J114" s="2951" t="s">
        <v>3301</v>
      </c>
    </row>
    <row r="115" spans="1:10">
      <c r="A115" s="2952">
        <v>56</v>
      </c>
      <c r="B115" s="2951" t="s">
        <v>3191</v>
      </c>
      <c r="C115" s="2951" t="s">
        <v>3303</v>
      </c>
      <c r="D115" s="2952">
        <v>960.28</v>
      </c>
      <c r="E115" s="2952">
        <v>3</v>
      </c>
      <c r="J115" s="2951" t="s">
        <v>3303</v>
      </c>
    </row>
    <row r="116" spans="1:10">
      <c r="A116" s="2952">
        <v>57</v>
      </c>
      <c r="B116" s="2951" t="s">
        <v>3191</v>
      </c>
      <c r="C116" s="2951" t="s">
        <v>3304</v>
      </c>
      <c r="D116" s="2952">
        <v>960.28</v>
      </c>
      <c r="E116" s="2952">
        <v>3</v>
      </c>
      <c r="J116" s="2951" t="s">
        <v>3304</v>
      </c>
    </row>
    <row r="117" spans="1:10">
      <c r="A117" s="2952">
        <v>58</v>
      </c>
      <c r="B117" s="2951" t="s">
        <v>3191</v>
      </c>
      <c r="C117" s="2951" t="s">
        <v>3305</v>
      </c>
      <c r="D117" s="2952">
        <v>960.28</v>
      </c>
      <c r="E117" s="2952">
        <v>3</v>
      </c>
      <c r="J117" s="2951" t="s">
        <v>3305</v>
      </c>
    </row>
    <row r="118" spans="1:10">
      <c r="A118" s="2952">
        <v>59</v>
      </c>
      <c r="B118" s="2951" t="s">
        <v>3191</v>
      </c>
      <c r="C118" s="2951" t="s">
        <v>3306</v>
      </c>
      <c r="D118" s="2952">
        <v>960.28</v>
      </c>
      <c r="E118" s="2952">
        <v>3</v>
      </c>
      <c r="J118" s="2951" t="s">
        <v>3306</v>
      </c>
    </row>
    <row r="119" spans="1:10">
      <c r="A119" s="2952">
        <v>60</v>
      </c>
      <c r="B119" s="2951" t="s">
        <v>3191</v>
      </c>
      <c r="C119" s="2951" t="s">
        <v>3307</v>
      </c>
      <c r="D119" s="2952">
        <v>960.28</v>
      </c>
      <c r="E119" s="2952">
        <v>3</v>
      </c>
      <c r="J119" s="2951" t="s">
        <v>3307</v>
      </c>
    </row>
    <row r="120" spans="1:10">
      <c r="A120" s="2952">
        <v>61</v>
      </c>
      <c r="B120" s="2951" t="s">
        <v>3191</v>
      </c>
      <c r="C120" s="2951" t="s">
        <v>3308</v>
      </c>
      <c r="D120" s="2952">
        <v>960.28</v>
      </c>
      <c r="E120" s="2952">
        <v>3</v>
      </c>
      <c r="J120" s="2951" t="s">
        <v>3308</v>
      </c>
    </row>
    <row r="121" spans="1:10">
      <c r="A121" s="2952">
        <v>62</v>
      </c>
      <c r="B121" s="2951" t="s">
        <v>3191</v>
      </c>
      <c r="C121" s="2951" t="s">
        <v>3309</v>
      </c>
      <c r="D121" s="2952">
        <v>960.28</v>
      </c>
      <c r="E121" s="2952">
        <v>3</v>
      </c>
      <c r="J121" s="2951" t="s">
        <v>3309</v>
      </c>
    </row>
    <row r="122" spans="1:10">
      <c r="A122" s="2952">
        <v>63</v>
      </c>
      <c r="B122" s="2951" t="s">
        <v>3191</v>
      </c>
      <c r="C122" s="2951" t="s">
        <v>3310</v>
      </c>
      <c r="D122" s="2952">
        <v>960.28</v>
      </c>
      <c r="E122" s="2952">
        <v>3</v>
      </c>
      <c r="J122" s="2951" t="s">
        <v>3310</v>
      </c>
    </row>
    <row r="123" spans="1:10">
      <c r="B123" s="2951" t="s">
        <v>3311</v>
      </c>
      <c r="C123" s="2951"/>
      <c r="D123" s="2952">
        <f>SUM(D60:D122)</f>
        <v>60641.139999999985</v>
      </c>
    </row>
    <row r="125" spans="1:10">
      <c r="B125" s="2951" t="s">
        <v>3312</v>
      </c>
    </row>
    <row r="126" spans="1:10">
      <c r="A126" s="2952">
        <v>1</v>
      </c>
      <c r="B126" s="2951" t="s">
        <v>3191</v>
      </c>
      <c r="C126" s="2951" t="s">
        <v>3313</v>
      </c>
      <c r="D126" s="2952">
        <v>949.37</v>
      </c>
      <c r="E126" s="2952">
        <v>3</v>
      </c>
    </row>
    <row r="127" spans="1:10">
      <c r="A127" s="2952">
        <v>2</v>
      </c>
      <c r="B127" s="2951" t="s">
        <v>3191</v>
      </c>
      <c r="C127" s="2951" t="s">
        <v>3314</v>
      </c>
      <c r="D127" s="2952">
        <v>949.37</v>
      </c>
      <c r="E127" s="2952">
        <v>3</v>
      </c>
    </row>
    <row r="128" spans="1:10">
      <c r="A128" s="2952">
        <v>3</v>
      </c>
      <c r="B128" s="2951" t="s">
        <v>3191</v>
      </c>
      <c r="C128" s="2951" t="s">
        <v>3315</v>
      </c>
      <c r="D128" s="2952">
        <v>949.37</v>
      </c>
      <c r="E128" s="2952">
        <v>3</v>
      </c>
      <c r="G128" s="2951" t="s">
        <v>3316</v>
      </c>
    </row>
    <row r="129" spans="1:7">
      <c r="D129" s="2952">
        <f>SUM(D126:D128)</f>
        <v>2848.11</v>
      </c>
      <c r="G129" s="2951" t="s">
        <v>3317</v>
      </c>
    </row>
    <row r="130" spans="1:7">
      <c r="B130" s="2951" t="s">
        <v>3186</v>
      </c>
      <c r="C130" s="2951" t="s">
        <v>3187</v>
      </c>
      <c r="D130" s="2951" t="s">
        <v>3318</v>
      </c>
      <c r="E130" s="2951" t="s">
        <v>3319</v>
      </c>
      <c r="F130" s="2951" t="s">
        <v>3320</v>
      </c>
      <c r="G130" s="2957">
        <v>-1</v>
      </c>
    </row>
    <row r="131" spans="1:7">
      <c r="A131" s="2952">
        <v>1</v>
      </c>
      <c r="B131" s="2951" t="s">
        <v>3321</v>
      </c>
      <c r="C131" s="2951" t="s">
        <v>3322</v>
      </c>
      <c r="D131" s="2952">
        <v>2354.9699999999998</v>
      </c>
      <c r="E131" s="2952">
        <f>3000-875-26-17</f>
        <v>2082</v>
      </c>
      <c r="F131" s="2952">
        <f>875+26+17+22.4</f>
        <v>940.4</v>
      </c>
      <c r="G131" s="2951" t="s">
        <v>3323</v>
      </c>
    </row>
    <row r="132" spans="1:7">
      <c r="A132" s="2952">
        <v>2</v>
      </c>
      <c r="B132" s="2951" t="s">
        <v>3324</v>
      </c>
      <c r="C132" s="2951" t="s">
        <v>3325</v>
      </c>
      <c r="E132" s="2952">
        <v>996</v>
      </c>
      <c r="G132" s="2958">
        <v>-1</v>
      </c>
    </row>
    <row r="133" spans="1:7">
      <c r="A133" s="2952">
        <v>3</v>
      </c>
      <c r="B133" s="2951" t="s">
        <v>3326</v>
      </c>
      <c r="C133" s="2951" t="s">
        <v>3327</v>
      </c>
      <c r="D133" s="2952">
        <v>42227.14</v>
      </c>
      <c r="E133" s="2952">
        <f>40237.47-6122-36.85</f>
        <v>34078.620000000003</v>
      </c>
      <c r="F133" s="2952">
        <f>6122+36.85</f>
        <v>6158.85</v>
      </c>
      <c r="G133" s="2958">
        <v>1</v>
      </c>
    </row>
    <row r="134" spans="1:7">
      <c r="A134" s="2952">
        <v>4</v>
      </c>
      <c r="B134" s="2951" t="s">
        <v>3326</v>
      </c>
      <c r="C134" s="2951" t="s">
        <v>3328</v>
      </c>
      <c r="E134" s="2952">
        <v>329.4</v>
      </c>
    </row>
    <row r="135" spans="1:7">
      <c r="A135" s="2952">
        <v>5</v>
      </c>
      <c r="B135" s="2951" t="s">
        <v>3326</v>
      </c>
      <c r="C135" s="2951" t="s">
        <v>3329</v>
      </c>
      <c r="F135" s="2952">
        <v>36.15</v>
      </c>
    </row>
    <row r="136" spans="1:7">
      <c r="D136" s="2952">
        <f>SUM(D131:D133)</f>
        <v>44582.11</v>
      </c>
      <c r="E136" s="2952">
        <f>SUM(E131:E135)</f>
        <v>37486.020000000004</v>
      </c>
      <c r="F136" s="2952">
        <f>SUM(F131:F135)</f>
        <v>7135.4</v>
      </c>
    </row>
    <row r="138" spans="1:7">
      <c r="B138" s="2951" t="s">
        <v>3186</v>
      </c>
      <c r="C138" s="2951" t="s">
        <v>3066</v>
      </c>
    </row>
    <row r="139" spans="1:7">
      <c r="A139" s="2952">
        <v>1</v>
      </c>
      <c r="B139" s="2951" t="s">
        <v>3330</v>
      </c>
      <c r="C139" s="2952">
        <v>230775.89</v>
      </c>
    </row>
    <row r="141" spans="1:7" ht="18.75">
      <c r="G141" s="2959"/>
    </row>
    <row r="142" spans="1:7" ht="18.75">
      <c r="G142" s="2959"/>
    </row>
    <row r="145" spans="3:6">
      <c r="D145" s="2952" t="s">
        <v>3331</v>
      </c>
      <c r="F145" s="2952" t="s">
        <v>3332</v>
      </c>
    </row>
    <row r="146" spans="3:6">
      <c r="C146" s="2952">
        <f>D146+E146</f>
        <v>189243.76</v>
      </c>
      <c r="D146" s="2952">
        <f>'[1]数据-汇总表'!$F$19</f>
        <v>111321.54</v>
      </c>
      <c r="E146" s="2952">
        <f>'[2]数据-汇总表'!$F$19+'[2]数据-汇总表'!$F$20+'[2]数据-汇总表'!$G$19</f>
        <v>77922.22</v>
      </c>
      <c r="F146" s="2952">
        <f>D13+D50+D51+D52</f>
        <v>3061.8</v>
      </c>
    </row>
    <row r="147" spans="3:6">
      <c r="C147" s="2952" t="s">
        <v>3333</v>
      </c>
      <c r="D147" s="2952">
        <f>D146+E146+F146</f>
        <v>192305.56</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0" sqref="G1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45" t="s">
        <v>1940</v>
      </c>
      <c r="B2" s="3045"/>
      <c r="C2" s="3045"/>
      <c r="D2" s="970" t="s">
        <v>1916</v>
      </c>
      <c r="E2" s="2231" t="s">
        <v>1917</v>
      </c>
      <c r="F2" s="1395"/>
      <c r="G2" s="2232"/>
      <c r="H2" s="2233"/>
      <c r="I2" s="2234" t="s">
        <v>1941</v>
      </c>
      <c r="J2" s="1395"/>
      <c r="K2" s="1395"/>
      <c r="L2" s="1395"/>
      <c r="M2" s="1395"/>
      <c r="N2" s="1430"/>
      <c r="O2" s="1395"/>
      <c r="P2" s="1395"/>
    </row>
    <row r="3" spans="1:16" ht="15.75" thickBot="1">
      <c r="A3" s="3046" t="s">
        <v>1914</v>
      </c>
      <c r="B3" s="3046"/>
      <c r="C3" s="3046"/>
      <c r="D3" s="46">
        <f>'数据-基础表'!AY6</f>
        <v>10000</v>
      </c>
      <c r="E3" s="46">
        <f>'数据-基础表'!AZ5</f>
        <v>10000</v>
      </c>
      <c r="F3" s="1395"/>
      <c r="G3" s="1402"/>
      <c r="H3" s="1250" t="s">
        <v>1915</v>
      </c>
      <c r="I3" s="55">
        <f>ROUND('数据-基础表'!B3/'数据-基础表'!A3,2)</f>
        <v>1</v>
      </c>
      <c r="J3" s="1395"/>
      <c r="K3" s="1395"/>
      <c r="L3" s="1395"/>
      <c r="M3" s="1395"/>
      <c r="N3" s="1430"/>
      <c r="O3" s="1395"/>
      <c r="P3" s="1395"/>
    </row>
    <row r="4" spans="1:16" ht="15">
      <c r="A4" s="3047"/>
      <c r="B4" s="3048"/>
      <c r="C4" s="3049"/>
      <c r="D4" s="2235" t="s">
        <v>1916</v>
      </c>
      <c r="E4" s="2236" t="s">
        <v>1917</v>
      </c>
      <c r="F4" s="1395"/>
      <c r="G4" s="2237" t="s">
        <v>1942</v>
      </c>
      <c r="H4" s="1250" t="s">
        <v>1922</v>
      </c>
      <c r="I4" s="55">
        <f>ROUND(SUMIF('数据-基础表'!I9:AS9,"地上",'数据-基础表'!I5:AS5)/'数据-基础表'!A3,2)</f>
        <v>1</v>
      </c>
      <c r="J4" s="1395"/>
      <c r="K4" s="1395"/>
      <c r="L4" s="1395"/>
      <c r="M4" s="1395"/>
      <c r="N4" s="1430"/>
      <c r="O4" s="1395"/>
      <c r="P4" s="1395"/>
    </row>
    <row r="5" spans="1:16">
      <c r="A5" s="47" t="s">
        <v>1918</v>
      </c>
      <c r="B5" s="3050" t="s">
        <v>1919</v>
      </c>
      <c r="C5" s="3050"/>
      <c r="D5" s="48">
        <f>ROUND($D$3*E5/$E$3,2)</f>
        <v>0</v>
      </c>
      <c r="E5" s="49">
        <f>SUMIF('数据-基础表'!$11:$11,"住宅",'数据-基础表'!$5:$5)</f>
        <v>0</v>
      </c>
      <c r="F5" s="1395"/>
      <c r="G5" s="1402"/>
      <c r="H5" s="1250" t="s">
        <v>1915</v>
      </c>
      <c r="I5" s="55">
        <f>ROUND(E31/D31,2)</f>
        <v>1</v>
      </c>
      <c r="J5" s="1395"/>
      <c r="K5" s="1395"/>
      <c r="L5" s="1395"/>
      <c r="M5" s="1395"/>
      <c r="N5" s="1395"/>
      <c r="O5" s="1395"/>
      <c r="P5" s="1395"/>
    </row>
    <row r="6" spans="1:16" ht="15" thickBot="1">
      <c r="A6" s="2238"/>
      <c r="B6" s="3050" t="s">
        <v>1920</v>
      </c>
      <c r="C6" s="3050"/>
      <c r="D6" s="48">
        <f>ROUND($D$3*E6/$E$3,2)</f>
        <v>10000</v>
      </c>
      <c r="E6" s="49">
        <f>E3-E5</f>
        <v>10000</v>
      </c>
      <c r="F6" s="1395"/>
      <c r="G6" s="2239" t="s">
        <v>1921</v>
      </c>
      <c r="H6" s="1402" t="s">
        <v>1922</v>
      </c>
      <c r="I6" s="942">
        <f>ROUND(F31/D31,2)</f>
        <v>1</v>
      </c>
      <c r="J6" s="1395"/>
      <c r="K6" s="1395"/>
      <c r="L6" s="1395"/>
      <c r="M6" s="1395"/>
      <c r="N6" s="1395"/>
      <c r="O6" s="1395"/>
      <c r="P6" s="1395"/>
    </row>
    <row r="7" spans="1:16" ht="15">
      <c r="A7" s="3042"/>
      <c r="B7" s="3043"/>
      <c r="C7" s="3044"/>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10000</v>
      </c>
      <c r="E8" s="51">
        <f>SUMIF('数据-基础表'!BB10:BK10,"地上",'数据-基础表'!BB5:BK5)</f>
        <v>10000</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10000</v>
      </c>
      <c r="E16" s="53">
        <f>SUM(E8:E15)</f>
        <v>10000</v>
      </c>
      <c r="F16" s="1395"/>
      <c r="G16" s="2241"/>
      <c r="H16" s="2244" t="s">
        <v>1944</v>
      </c>
      <c r="I16" s="2245"/>
      <c r="J16" s="1395"/>
      <c r="K16" s="3039" t="s">
        <v>1944</v>
      </c>
      <c r="L16" s="3040"/>
      <c r="M16" s="3040"/>
      <c r="N16" s="3040"/>
      <c r="O16" s="3040"/>
      <c r="P16" s="3041"/>
    </row>
    <row r="17" spans="1:19" ht="15">
      <c r="A17" s="2246" t="s">
        <v>1945</v>
      </c>
      <c r="B17" s="2247" t="s">
        <v>1946</v>
      </c>
      <c r="C17" s="2248" t="s">
        <v>1947</v>
      </c>
      <c r="D17" s="2249" t="s">
        <v>1935</v>
      </c>
      <c r="E17" s="2250" t="s">
        <v>1936</v>
      </c>
      <c r="F17" s="2251"/>
      <c r="G17" s="2252"/>
      <c r="H17" s="2253" t="s">
        <v>1948</v>
      </c>
      <c r="I17" s="2254" t="s">
        <v>1933</v>
      </c>
      <c r="J17" s="1395"/>
      <c r="K17" s="3036" t="s">
        <v>1949</v>
      </c>
      <c r="L17" s="3037"/>
      <c r="M17" s="3038"/>
      <c r="N17" s="3036" t="s">
        <v>1950</v>
      </c>
      <c r="O17" s="3037"/>
      <c r="P17" s="3038"/>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49" t="s">
        <v>3055</v>
      </c>
      <c r="D19" s="48">
        <f>ROUND($D$3*E19/$E$3,2)</f>
        <v>10000</v>
      </c>
      <c r="E19" s="56">
        <f t="shared" ref="E19:E26" si="1">SUM(F19:G19)</f>
        <v>10000</v>
      </c>
      <c r="F19" s="57">
        <f>'数据-基础表'!I13</f>
        <v>10000</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10000</v>
      </c>
      <c r="S19" s="1251">
        <f t="shared" si="5"/>
        <v>10000</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10000</v>
      </c>
      <c r="E27" s="1397">
        <f>IF(SUM(E19:E26)='数据-基础表'!BA5,SUM(E19:E26),IF(F27="地上面积有误","面积有误","地下面积有误"))</f>
        <v>10000</v>
      </c>
      <c r="F27" s="1396">
        <f>IF(SUM(F19:F26)=E8,SUM(F19:F26),"地上面积有误")</f>
        <v>10000</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10000</v>
      </c>
      <c r="S27" s="1250">
        <f>IF(SUM(S19:S26)=$E$3,SUM(S19:S26),SUM(S19:S26)&amp;"误差"&amp;ROUND(SUM(S19:S26)-E3,2))</f>
        <v>10000</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10000</v>
      </c>
      <c r="E31" s="729">
        <f>E27+E30</f>
        <v>10000</v>
      </c>
      <c r="F31" s="730">
        <f>F27+F30</f>
        <v>10000</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4" activePane="bottomRight" state="frozen"/>
      <selection activeCell="G10" sqref="G10"/>
      <selection pane="topRight" activeCell="G10" sqref="G10"/>
      <selection pane="bottomLeft" activeCell="G10" sqref="G10"/>
      <selection pane="bottomRight" activeCell="G10" sqref="G10"/>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43231</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1990</v>
      </c>
      <c r="O5" s="2300" t="s">
        <v>1991</v>
      </c>
      <c r="P5" s="2303" t="s">
        <v>1992</v>
      </c>
      <c r="Q5" s="69" t="s">
        <v>1993</v>
      </c>
      <c r="R5" s="2304" t="s">
        <v>1994</v>
      </c>
      <c r="S5" s="2305" t="s">
        <v>1995</v>
      </c>
      <c r="T5" s="2306" t="s">
        <v>1996</v>
      </c>
      <c r="U5" s="1270" t="s">
        <v>1997</v>
      </c>
      <c r="V5" s="1271" t="s">
        <v>1998</v>
      </c>
      <c r="W5" s="1271" t="s">
        <v>1999</v>
      </c>
      <c r="X5" s="71"/>
      <c r="Y5" s="70" t="s">
        <v>2000</v>
      </c>
      <c r="Z5" s="2307" t="s">
        <v>1997</v>
      </c>
      <c r="AA5" s="1271" t="s">
        <v>1998</v>
      </c>
      <c r="AB5" s="1271" t="s">
        <v>1999</v>
      </c>
      <c r="AC5" s="71"/>
      <c r="AD5" s="71" t="s">
        <v>2000</v>
      </c>
      <c r="AE5" s="1270" t="s">
        <v>2001</v>
      </c>
      <c r="AF5" s="1271" t="s">
        <v>2002</v>
      </c>
      <c r="AG5" s="70" t="s">
        <v>2003</v>
      </c>
      <c r="AH5" s="1270" t="s">
        <v>2004</v>
      </c>
      <c r="AI5" s="2307" t="s">
        <v>2005</v>
      </c>
      <c r="AJ5" s="2307" t="s">
        <v>2006</v>
      </c>
      <c r="AK5" s="1271" t="s">
        <v>2007</v>
      </c>
      <c r="AL5" s="1271" t="s">
        <v>2008</v>
      </c>
      <c r="AM5" s="70" t="s">
        <v>2009</v>
      </c>
      <c r="AN5" s="2308" t="s">
        <v>2010</v>
      </c>
      <c r="AO5" s="2078" t="s">
        <v>2011</v>
      </c>
      <c r="AP5" s="1252" t="s">
        <v>2012</v>
      </c>
      <c r="AQ5" s="2309" t="s">
        <v>2013</v>
      </c>
      <c r="AR5" s="2309"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总价</v>
      </c>
      <c r="B6" s="2311" t="str">
        <f>IF(A6=0,"","经营性")</f>
        <v>经营性</v>
      </c>
      <c r="C6" s="2312" t="s">
        <v>1377</v>
      </c>
      <c r="D6" s="1054">
        <f>SUMIF(项目基本情况!D$12:I$12,C6,项目基本情况!D$14:I$14)</f>
        <v>40</v>
      </c>
      <c r="E6" s="1051">
        <f>IF(B6="","",SUMIF(项目基本情况!D$12:I$12,C6,项目基本情况!D$13:I$13))</f>
        <v>43231</v>
      </c>
      <c r="F6" s="72">
        <f>SUMIF(项目基本情况!D$12:I$12,C6,项目基本情况!D$15:I$15)</f>
        <v>40</v>
      </c>
      <c r="G6" s="73">
        <f>IF(ISERROR(ROUND(POWER(1+H6,D6-F6)*(POWER(1+H6,F6)-1)/(POWER(1+H6,D6)-1),3)),0,ROUND(POWER(1+H6,D6-F6)*(POWER(1+H6,F6)-1)/(POWER(1+H6,D6)-1),3))</f>
        <v>1</v>
      </c>
      <c r="H6" s="802">
        <v>0.04</v>
      </c>
      <c r="I6" s="802">
        <v>0.05</v>
      </c>
      <c r="J6" s="74">
        <v>0.08</v>
      </c>
      <c r="K6" s="1254">
        <f>SUMIF('数据-汇总表'!C$19:C$33,A6,'数据-汇总表'!E$19:E$33)</f>
        <v>10000</v>
      </c>
      <c r="L6" s="803">
        <v>200</v>
      </c>
      <c r="M6" s="75">
        <f t="shared" ref="M6:M14" si="0">ROUND(K6*L6/10000,0)</f>
        <v>200</v>
      </c>
      <c r="N6" s="801">
        <v>1</v>
      </c>
      <c r="O6" s="75">
        <f>IF($N$5="成新度","——",ROUND(M6*N6,0))</f>
        <v>200</v>
      </c>
      <c r="P6" s="76">
        <f>IF($N$5="成新度","——",M6-O6)</f>
        <v>0</v>
      </c>
      <c r="Q6" s="804">
        <v>0.15</v>
      </c>
      <c r="R6" s="77">
        <f ca="1">SUMIF('数据-汇总表'!C$19:C$33,A6,'数据-汇总表'!R$19:R$27)</f>
        <v>10000</v>
      </c>
      <c r="S6" s="54">
        <f>IF('数据-汇总表'!$I$17="按面积比例",SUMIF('数据-汇总表'!C$19:C$33,A6,'数据-汇总表'!K$19:K$33),SUMIF('数据-汇总表'!C$19:C$33,A6,'数据-汇总表'!N$19:N$33))</f>
        <v>0</v>
      </c>
      <c r="T6" s="1446">
        <f>ROUND($L$14*S6/10000,0)</f>
        <v>0</v>
      </c>
      <c r="U6" s="78">
        <v>1</v>
      </c>
      <c r="V6" s="79">
        <v>0.01</v>
      </c>
      <c r="W6" s="79">
        <v>0.01</v>
      </c>
      <c r="X6" s="1264"/>
      <c r="Y6" s="80">
        <v>1</v>
      </c>
      <c r="Z6" s="81">
        <v>1</v>
      </c>
      <c r="AA6" s="74">
        <v>0.01</v>
      </c>
      <c r="AB6" s="74">
        <v>0.01</v>
      </c>
      <c r="AC6" s="1264"/>
      <c r="AD6" s="82"/>
      <c r="AE6" s="1265">
        <f ca="1">IF(AN6="",0,SUMIF(INDIRECT("'"&amp;AN6&amp;"'"&amp;"!E:E"),$AE$5,INDIRECT("'"&amp;AN6&amp;"'"&amp;"!F:F")))</f>
        <v>0</v>
      </c>
      <c r="AF6" s="1807"/>
      <c r="AG6" s="147">
        <f>IF(AF6="",0,AE6-AF6)</f>
        <v>0</v>
      </c>
      <c r="AH6" s="83"/>
      <c r="AI6" s="85">
        <v>365</v>
      </c>
      <c r="AJ6" s="86"/>
      <c r="AK6" s="87">
        <v>1.4999999999999999E-2</v>
      </c>
      <c r="AL6" s="88">
        <v>1.5E-3</v>
      </c>
      <c r="AM6" s="89">
        <v>0.01</v>
      </c>
      <c r="AN6" s="2313"/>
      <c r="AO6" s="55" t="e">
        <f ca="1">SUMIF(INDIRECT("'"&amp;AN6&amp;"'"&amp;"!A:A"),"总价",INDIRECT("'"&amp;AN6&amp;"'"&amp;"!B:B"))</f>
        <v>#REF!</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hidden="1">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hidden="1">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hidden="1">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hidden="1">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hidden="1">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hidden="1">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hidden="1">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2015</v>
      </c>
      <c r="B14" s="2311" t="s">
        <v>2016</v>
      </c>
      <c r="C14" s="2316" t="s">
        <v>2015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2017</v>
      </c>
      <c r="B15" s="2311" t="s">
        <v>2016</v>
      </c>
      <c r="C15" s="2316"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2019</v>
      </c>
      <c r="B16" s="97"/>
      <c r="C16" s="1008"/>
      <c r="D16" s="2318"/>
      <c r="E16" s="97"/>
      <c r="F16" s="97"/>
      <c r="G16" s="98">
        <f>ROUND(SUMPRODUCT(G6:G13,K6:K13)/SUMPRODUCT((G6:G13&gt;0)*(K6:K13)),3)</f>
        <v>1</v>
      </c>
      <c r="H16" s="99">
        <f>ROUND(SUMPRODUCT(H6:H13,K6:K13)/SUMPRODUCT((H6:H13&gt;0)*(K6:K13)),3)</f>
        <v>0.04</v>
      </c>
      <c r="I16" s="100"/>
      <c r="J16" s="100"/>
      <c r="K16" s="101">
        <f>SUM(K6:K15)</f>
        <v>10000</v>
      </c>
      <c r="L16" s="102">
        <f>ROUND(M16*10000/SUM(K6:K14),0)</f>
        <v>200</v>
      </c>
      <c r="M16" s="102">
        <f>SUM(M6:M14)</f>
        <v>200</v>
      </c>
      <c r="N16" s="103">
        <f>ROUND(SUMPRODUCT(M6:M14,N6:N14)/M16,3)</f>
        <v>1</v>
      </c>
      <c r="O16" s="102">
        <f>SUM(O6:O14)</f>
        <v>200</v>
      </c>
      <c r="P16" s="102">
        <f>SUM(P6:P14)</f>
        <v>0</v>
      </c>
      <c r="Q16" s="104">
        <f>ROUND(SUMPRODUCT(Q6:Q13,K6:K13)/SUMPRODUCT((Q6:Q13&gt;0)*(K6:K13)),2)</f>
        <v>0.15</v>
      </c>
      <c r="R16" s="1258">
        <f ca="1">SUM(R6:R13)</f>
        <v>10000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2021</v>
      </c>
      <c r="B19" s="112">
        <v>0</v>
      </c>
      <c r="C19" s="2281" t="s">
        <v>2022</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2023</v>
      </c>
      <c r="B20" s="113">
        <v>2</v>
      </c>
      <c r="C20" s="2281" t="s">
        <v>2024</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2025</v>
      </c>
      <c r="B21" s="113">
        <v>1.9</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2026</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2027</v>
      </c>
      <c r="B23" s="114">
        <f>B19+B21</f>
        <v>1.9</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2028</v>
      </c>
      <c r="B24" s="115">
        <f>B20-B21</f>
        <v>0.10000000000000009</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2029</v>
      </c>
      <c r="B26" s="2324" t="s">
        <v>2030</v>
      </c>
      <c r="C26" s="2325" t="s">
        <v>2031</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2032</v>
      </c>
      <c r="B27" s="116">
        <v>160</v>
      </c>
      <c r="C27" s="1767" t="s">
        <v>2033</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2034</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2035</v>
      </c>
      <c r="B29" s="121">
        <v>0</v>
      </c>
      <c r="C29" s="1767" t="s">
        <v>2036</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2037</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2038</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2039</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2040</v>
      </c>
      <c r="B33" s="726">
        <v>0.05</v>
      </c>
      <c r="C33" s="1766" t="s">
        <v>2041</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2042</v>
      </c>
      <c r="B34" s="122">
        <v>0</v>
      </c>
      <c r="C34" s="1766" t="s">
        <v>2043</v>
      </c>
      <c r="D34" s="2282" t="s">
        <v>2044</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2045</v>
      </c>
      <c r="B35" s="119">
        <v>200</v>
      </c>
      <c r="C35" s="1766" t="s">
        <v>2046</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2047</v>
      </c>
      <c r="B36" s="123">
        <v>1.4999999999999999E-2</v>
      </c>
      <c r="C36" s="1766" t="s">
        <v>2048</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2049</v>
      </c>
      <c r="B37" s="124">
        <v>0.02</v>
      </c>
      <c r="C37" s="1766" t="s">
        <v>2050</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2051</v>
      </c>
      <c r="B38" s="122">
        <v>0.03</v>
      </c>
      <c r="C38" s="1766" t="s">
        <v>2050</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2052</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2053</v>
      </c>
      <c r="B40" s="1303">
        <f ca="1">存贷款利率!G1</f>
        <v>4.7500000000000001E-2</v>
      </c>
      <c r="C40" s="1766" t="s">
        <v>2054</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2055</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2056</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2057</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2058</v>
      </c>
      <c r="B44" s="128">
        <v>7.0000000000000007E-2</v>
      </c>
      <c r="C44" s="1766" t="s">
        <v>2059</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2060</v>
      </c>
      <c r="B45" s="126">
        <v>0.03</v>
      </c>
      <c r="C45" s="1767" t="s">
        <v>2061</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2062</v>
      </c>
      <c r="B46" s="126">
        <v>0.02</v>
      </c>
      <c r="C46" s="1767" t="s">
        <v>2063</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2064</v>
      </c>
      <c r="B47" s="129">
        <v>0</v>
      </c>
      <c r="C47" s="1767" t="s">
        <v>2065</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2066</v>
      </c>
      <c r="B48" s="130">
        <v>0.03</v>
      </c>
      <c r="C48" s="1774" t="s">
        <v>2067</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2068</v>
      </c>
      <c r="B49" s="126">
        <v>5.0000000000000001E-4</v>
      </c>
      <c r="C49" s="1774" t="s">
        <v>2069</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2070</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2071</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2072</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2073</v>
      </c>
      <c r="B53" s="2340" t="s">
        <v>523</v>
      </c>
      <c r="C53" s="1430" t="s">
        <v>2074</v>
      </c>
      <c r="D53" s="2341" t="s">
        <v>2075</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2076</v>
      </c>
      <c r="B54" s="84">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2077</v>
      </c>
      <c r="B55" s="84">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2078</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2079</v>
      </c>
      <c r="B57" s="84">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2080</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2081</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2082</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2083</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2084</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2085</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G10" sqref="G10"/>
      <selection pane="topRight" activeCell="G10" sqref="G10"/>
      <selection pane="bottomLeft" activeCell="G10" sqref="G1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1" t="s">
        <v>2086</v>
      </c>
      <c r="B1" s="3052"/>
      <c r="C1" s="3052"/>
      <c r="D1" s="3052"/>
      <c r="E1" s="3052"/>
      <c r="F1" s="3052"/>
      <c r="G1" s="305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2087</v>
      </c>
      <c r="D2" s="2370"/>
      <c r="E2" s="2371"/>
      <c r="F2" s="2290"/>
      <c r="G2" s="2369" t="s">
        <v>2088</v>
      </c>
      <c r="H2" s="2372"/>
      <c r="I2" s="2372"/>
      <c r="J2" s="2372"/>
      <c r="K2" s="2372"/>
      <c r="L2" s="2372"/>
      <c r="M2" s="2372"/>
      <c r="N2" s="2372"/>
      <c r="O2" s="2372"/>
      <c r="P2" s="2372"/>
      <c r="Q2" s="2372"/>
      <c r="R2" s="2372"/>
    </row>
    <row r="3" spans="1:29" ht="54">
      <c r="A3" s="415" t="s">
        <v>2089</v>
      </c>
      <c r="B3" s="1271" t="s">
        <v>2090</v>
      </c>
      <c r="C3" s="2374" t="s">
        <v>2091</v>
      </c>
      <c r="D3" s="2375"/>
      <c r="E3" s="431" t="s">
        <v>2089</v>
      </c>
      <c r="F3" s="2376" t="s">
        <v>2092</v>
      </c>
      <c r="G3" s="2377" t="s">
        <v>2093</v>
      </c>
      <c r="H3" s="2372"/>
      <c r="I3" s="2372"/>
      <c r="J3" s="2372"/>
      <c r="K3" s="2372"/>
      <c r="L3" s="2372"/>
      <c r="M3" s="2372"/>
      <c r="N3" s="2372"/>
      <c r="O3" s="2372"/>
      <c r="P3" s="2372"/>
      <c r="Q3" s="2372"/>
      <c r="R3" s="2372"/>
    </row>
    <row r="4" spans="1:29" ht="41.25">
      <c r="A4" s="431"/>
      <c r="B4" s="1798" t="s">
        <v>2094</v>
      </c>
      <c r="C4" s="2378" t="s">
        <v>2095</v>
      </c>
      <c r="D4" s="2375"/>
      <c r="E4" s="2379"/>
      <c r="F4" s="42" t="s">
        <v>2096</v>
      </c>
      <c r="G4" s="2380" t="s">
        <v>2097</v>
      </c>
      <c r="H4" s="2372"/>
      <c r="I4" s="2372"/>
      <c r="J4" s="2372"/>
      <c r="K4" s="2372"/>
      <c r="L4" s="2372"/>
      <c r="M4" s="2372"/>
      <c r="N4" s="2372"/>
      <c r="O4" s="2372"/>
      <c r="P4" s="2372"/>
      <c r="Q4" s="2372"/>
      <c r="R4" s="2372"/>
    </row>
    <row r="5" spans="1:29" ht="41.25">
      <c r="A5" s="431"/>
      <c r="B5" s="1798" t="s">
        <v>2098</v>
      </c>
      <c r="C5" s="2378" t="s">
        <v>2099</v>
      </c>
      <c r="D5" s="2375"/>
      <c r="E5" s="2379"/>
      <c r="F5" s="1798" t="s">
        <v>2100</v>
      </c>
      <c r="G5" s="2380" t="s">
        <v>2101</v>
      </c>
      <c r="H5" s="2372"/>
      <c r="I5" s="2372"/>
      <c r="J5" s="2372"/>
      <c r="K5" s="2372"/>
      <c r="L5" s="2372"/>
      <c r="M5" s="2372"/>
      <c r="N5" s="2372"/>
      <c r="O5" s="2372"/>
      <c r="P5" s="2372"/>
      <c r="Q5" s="2372"/>
      <c r="R5" s="2372"/>
    </row>
    <row r="6" spans="1:29" ht="54">
      <c r="A6" s="431"/>
      <c r="B6" s="1798" t="s">
        <v>2102</v>
      </c>
      <c r="C6" s="2380" t="s">
        <v>2097</v>
      </c>
      <c r="D6" s="2375"/>
      <c r="E6" s="2379"/>
      <c r="F6" s="1798" t="s">
        <v>2103</v>
      </c>
      <c r="G6" s="2380" t="s">
        <v>2104</v>
      </c>
      <c r="H6" s="2372"/>
      <c r="I6" s="2372"/>
      <c r="J6" s="2372"/>
      <c r="K6" s="2372"/>
      <c r="L6" s="2372"/>
      <c r="M6" s="2372"/>
      <c r="N6" s="2372"/>
      <c r="O6" s="2372"/>
      <c r="P6" s="2372"/>
      <c r="Q6" s="2372"/>
      <c r="R6" s="2372"/>
    </row>
    <row r="7" spans="1:29" ht="41.25" thickBot="1">
      <c r="A7" s="431"/>
      <c r="B7" s="1798" t="s">
        <v>2100</v>
      </c>
      <c r="C7" s="2380" t="s">
        <v>2101</v>
      </c>
      <c r="D7" s="2381"/>
      <c r="E7" s="2382"/>
      <c r="F7" s="2383" t="s">
        <v>2105</v>
      </c>
      <c r="G7" s="2384" t="s">
        <v>2106</v>
      </c>
      <c r="H7" s="2372"/>
      <c r="I7" s="2372"/>
      <c r="J7" s="2372"/>
      <c r="K7" s="2372"/>
      <c r="L7" s="2372"/>
      <c r="M7" s="2372"/>
      <c r="N7" s="2372"/>
      <c r="O7" s="2372"/>
      <c r="P7" s="2372"/>
      <c r="Q7" s="2372"/>
      <c r="R7" s="2372"/>
    </row>
    <row r="8" spans="1:29" ht="27">
      <c r="A8" s="431"/>
      <c r="B8" s="1798" t="s">
        <v>2103</v>
      </c>
      <c r="C8" s="2380" t="s">
        <v>2104</v>
      </c>
      <c r="D8" s="2381"/>
      <c r="E8" s="2381"/>
      <c r="F8" s="1136"/>
      <c r="G8" s="1136"/>
      <c r="H8" s="2372"/>
      <c r="I8" s="2372"/>
      <c r="J8" s="2372"/>
      <c r="K8" s="2372"/>
      <c r="L8" s="2372"/>
      <c r="M8" s="2372"/>
      <c r="N8" s="2372"/>
      <c r="O8" s="2372"/>
      <c r="P8" s="2372"/>
      <c r="Q8" s="2372"/>
      <c r="R8" s="2372"/>
    </row>
    <row r="9" spans="1:29" ht="27">
      <c r="A9" s="431"/>
      <c r="B9" s="1798" t="s">
        <v>2107</v>
      </c>
      <c r="C9" s="2378" t="s">
        <v>2108</v>
      </c>
      <c r="D9" s="2375"/>
      <c r="E9" s="2381"/>
      <c r="F9" s="1136"/>
      <c r="G9" s="1136"/>
      <c r="H9" s="2372"/>
      <c r="I9" s="2372"/>
      <c r="J9" s="2372"/>
      <c r="K9" s="2372"/>
      <c r="L9" s="2372"/>
      <c r="M9" s="2372"/>
      <c r="N9" s="2372"/>
      <c r="O9" s="2372"/>
      <c r="P9" s="2372"/>
      <c r="Q9" s="2372"/>
      <c r="R9" s="2372"/>
    </row>
    <row r="10" spans="1:29" s="117" customFormat="1" ht="15.75" thickBot="1">
      <c r="A10" s="2385"/>
      <c r="B10" s="2386" t="s">
        <v>2109</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2110</v>
      </c>
      <c r="B13" s="2392"/>
      <c r="C13" s="2392"/>
      <c r="D13" s="2399"/>
      <c r="E13" s="2392"/>
      <c r="F13" s="2392"/>
      <c r="G13" s="2392"/>
    </row>
    <row r="14" spans="1:29" ht="15.75" thickBot="1">
      <c r="A14" s="2403"/>
      <c r="B14" s="2404"/>
      <c r="C14" s="2405" t="s">
        <v>2111</v>
      </c>
      <c r="D14" s="2375"/>
      <c r="E14" s="2406"/>
      <c r="F14" s="2406"/>
      <c r="G14" s="2369" t="s">
        <v>2112</v>
      </c>
    </row>
    <row r="15" spans="1:29" ht="57">
      <c r="A15" s="68" t="s">
        <v>2113</v>
      </c>
      <c r="B15" s="1270" t="s">
        <v>2090</v>
      </c>
      <c r="C15" s="2407" t="str">
        <f>C3</f>
        <v>估价对象周边居住用地比例、居住小区规模和社区发展完善程度，综合评价居住社区成熟度一般</v>
      </c>
      <c r="D15" s="2375"/>
      <c r="E15" s="2408" t="s">
        <v>2114</v>
      </c>
      <c r="F15" s="1270" t="s">
        <v>2115</v>
      </c>
      <c r="G15" s="135" t="str">
        <f>G3</f>
        <v>估价对象位于XX开发区，园区建设成熟度XX，产业集聚程度XX</v>
      </c>
    </row>
    <row r="16" spans="1:29" ht="42.75">
      <c r="A16" s="645"/>
      <c r="B16" s="2409" t="s">
        <v>2094</v>
      </c>
      <c r="C16" s="2410" t="str">
        <f>C4</f>
        <v>估价对象位于XX商圈，周边商业氛围成熟，人流量大，商业繁华度好</v>
      </c>
      <c r="D16" s="2375"/>
      <c r="E16" s="2411"/>
      <c r="F16" s="2412" t="s">
        <v>2096</v>
      </c>
      <c r="G16" s="136" t="str">
        <f>G4</f>
        <v>估价对象周边道路状况、公共交通通达情况、停车便捷程度，综合评价交通便捷度较好</v>
      </c>
    </row>
    <row r="17" spans="1:18" ht="42.75">
      <c r="A17" s="645"/>
      <c r="B17" s="2409" t="s">
        <v>2098</v>
      </c>
      <c r="C17" s="2410" t="str">
        <f>C5</f>
        <v>估价对象位于XX商圈，周边办公楼项目较多，入驻率高，办公集聚程度较好</v>
      </c>
      <c r="D17" s="2381"/>
      <c r="E17" s="2411"/>
      <c r="F17" s="2412" t="s">
        <v>2116</v>
      </c>
      <c r="G17" s="1572"/>
    </row>
    <row r="18" spans="1:18" ht="57">
      <c r="A18" s="645"/>
      <c r="B18" s="2412" t="s">
        <v>2102</v>
      </c>
      <c r="C18" s="136" t="str">
        <f>C6</f>
        <v>估价对象周边道路状况、公共交通通达情况、停车便捷程度，综合评价交通便捷度较好</v>
      </c>
      <c r="D18" s="2381"/>
      <c r="E18" s="2411"/>
      <c r="F18" s="2412" t="s">
        <v>2105</v>
      </c>
      <c r="G18" s="136" t="str">
        <f>G7</f>
        <v>该园区内是否有污染型企业，绿化情况，卫生条件，整体环境状况判断</v>
      </c>
    </row>
    <row r="19" spans="1:18" ht="28.5">
      <c r="A19" s="645"/>
      <c r="B19" s="2412" t="s">
        <v>2117</v>
      </c>
      <c r="C19" s="1572"/>
      <c r="D19" s="2375"/>
      <c r="E19" s="2411"/>
      <c r="F19" s="1798" t="s">
        <v>2100</v>
      </c>
      <c r="G19" s="136" t="str">
        <f>G5</f>
        <v>估价对象所在区域公共配套设施齐备情况</v>
      </c>
    </row>
    <row r="20" spans="1:18" ht="28.5">
      <c r="A20" s="645"/>
      <c r="B20" s="2412" t="s">
        <v>2118</v>
      </c>
      <c r="C20" s="2410" t="str">
        <f>C9</f>
        <v>区域自然环境：；人文环境；综合评价环境状况一般</v>
      </c>
      <c r="D20" s="2381"/>
      <c r="E20" s="2411"/>
      <c r="F20" s="1798" t="s">
        <v>2119</v>
      </c>
      <c r="G20" s="136" t="str">
        <f>G6</f>
        <v>估价对象所在区域基础设施水平</v>
      </c>
    </row>
    <row r="21" spans="1:18" ht="28.5">
      <c r="A21" s="645"/>
      <c r="B21" s="1798" t="s">
        <v>2100</v>
      </c>
      <c r="C21" s="136" t="str">
        <f>C7</f>
        <v>估价对象所在区域公共配套设施齐备情况</v>
      </c>
      <c r="D21" s="2375"/>
      <c r="E21" s="2411"/>
      <c r="F21" s="2412" t="s">
        <v>2120</v>
      </c>
      <c r="G21" s="2413"/>
    </row>
    <row r="22" spans="1:18" ht="13.5" customHeight="1">
      <c r="A22" s="645"/>
      <c r="B22" s="1798" t="s">
        <v>2103</v>
      </c>
      <c r="C22" s="136" t="str">
        <f>C8</f>
        <v>估价对象所在区域基础设施水平</v>
      </c>
      <c r="D22" s="2375"/>
      <c r="E22" s="2411"/>
      <c r="F22" s="2412" t="s">
        <v>2109</v>
      </c>
      <c r="G22" s="1572"/>
    </row>
    <row r="23" spans="1:18" s="2372" customFormat="1" ht="15.75" thickBot="1">
      <c r="A23" s="645"/>
      <c r="B23" s="2412" t="s">
        <v>2120</v>
      </c>
      <c r="C23" s="2413"/>
      <c r="D23" s="2400"/>
      <c r="E23" s="2414"/>
      <c r="F23" s="2415" t="s">
        <v>2121</v>
      </c>
      <c r="G23" s="2416"/>
      <c r="H23" s="2400"/>
      <c r="I23" s="2401"/>
      <c r="J23" s="2400"/>
      <c r="K23" s="2400"/>
      <c r="L23" s="2401"/>
      <c r="M23" s="2400"/>
      <c r="N23" s="2400"/>
      <c r="O23" s="2401"/>
      <c r="P23" s="2400"/>
      <c r="Q23" s="2400"/>
      <c r="R23" s="2402"/>
    </row>
    <row r="24" spans="1:18" s="2372" customFormat="1" ht="15.75" thickBot="1">
      <c r="A24" s="2417"/>
      <c r="B24" s="2415" t="s">
        <v>2122</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4" sqref="A34"/>
    </sheetView>
  </sheetViews>
  <sheetFormatPr defaultRowHeight="13.5"/>
  <cols>
    <col min="1" max="1" width="23.375" style="1741" customWidth="1"/>
    <col min="2" max="9" width="15.75" style="1741" customWidth="1"/>
    <col min="10" max="16384" width="9" style="1741"/>
  </cols>
  <sheetData>
    <row r="1" spans="1:10" ht="16.5">
      <c r="A1" s="1746" t="s">
        <v>1365</v>
      </c>
      <c r="B1" s="1746">
        <f>SUM(B14:B23)</f>
        <v>196237.78</v>
      </c>
      <c r="C1" s="1745"/>
      <c r="D1" s="1745"/>
      <c r="E1" s="1745"/>
      <c r="F1" s="1745"/>
      <c r="G1" s="1743"/>
    </row>
    <row r="2" spans="1:10" ht="16.5">
      <c r="A2" s="1746" t="s">
        <v>1353</v>
      </c>
      <c r="B2" s="1746">
        <f>SUM(C14:C23)</f>
        <v>219376.33000000002</v>
      </c>
      <c r="C2" s="1745"/>
      <c r="D2" s="1745"/>
      <c r="E2" s="1745"/>
      <c r="F2" s="1745"/>
      <c r="G2" s="1743"/>
    </row>
    <row r="3" spans="1:10" ht="16.5">
      <c r="A3" s="1746" t="s">
        <v>1362</v>
      </c>
      <c r="B3" s="1747">
        <f>项目基本情况!D3</f>
        <v>43231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423031</v>
      </c>
      <c r="C5" s="1746">
        <f ca="1">ROUND(B5*10000/$B$1,0)</f>
        <v>21557</v>
      </c>
      <c r="D5" s="1746">
        <f ca="1">ROUND(B5*10000/$B$2,0)</f>
        <v>19283</v>
      </c>
      <c r="E5" s="1745"/>
      <c r="F5" s="1743"/>
      <c r="G5" s="1743"/>
    </row>
    <row r="6" spans="1:10" ht="16.5">
      <c r="A6" s="1746" t="s">
        <v>1356</v>
      </c>
      <c r="B6" s="1746">
        <f ca="1">SUM(G14:G23)</f>
        <v>423031</v>
      </c>
      <c r="C6" s="1746">
        <f ca="1">ROUND(B6*10000/$B$1,0)</f>
        <v>21557</v>
      </c>
      <c r="D6" s="1746">
        <f ca="1">ROUND(B6*10000/$B$2,0)</f>
        <v>19283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387284</v>
      </c>
      <c r="C8" s="1746">
        <f ca="1">ROUND(B8*10000/$B$1,0)</f>
        <v>19735</v>
      </c>
      <c r="D8" s="1746">
        <f ca="1">ROUND(B8*10000/$B$2,0)</f>
        <v>17654</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10000</v>
      </c>
      <c r="C14" s="1744">
        <f>结果表!C118</f>
        <v>10000</v>
      </c>
      <c r="D14" s="1744">
        <f ca="1">结果表!H118</f>
        <v>423031</v>
      </c>
      <c r="E14" s="1744">
        <f ca="1">ROUND(D14*10000/B14,0)</f>
        <v>423031</v>
      </c>
      <c r="F14" s="1744">
        <f ca="1">ROUND(D14*10000/C14,0)</f>
        <v>423031</v>
      </c>
      <c r="G14" s="1744">
        <f ca="1">结果表!D122</f>
        <v>423031</v>
      </c>
      <c r="H14" s="1744" t="str">
        <f>结果表!D124</f>
        <v>——</v>
      </c>
      <c r="I14" s="1744">
        <f ca="1">结果表!D126</f>
        <v>387284</v>
      </c>
      <c r="J14" s="1743"/>
    </row>
    <row r="15" spans="1:10" ht="16.5">
      <c r="A15" s="1742" t="s">
        <v>1349</v>
      </c>
      <c r="B15" s="2950">
        <v>111321.54</v>
      </c>
      <c r="C15" s="2950">
        <v>94928.78</v>
      </c>
      <c r="D15" s="2950"/>
      <c r="E15" s="1744">
        <f t="shared" ref="E15:E23" si="0">ROUND(D15*10000/B15,0)</f>
        <v>0</v>
      </c>
      <c r="F15" s="1744">
        <f t="shared" ref="F15:F23" si="1">ROUND(D15*10000/C15,0)</f>
        <v>0</v>
      </c>
      <c r="G15" s="1750"/>
      <c r="H15" s="1750"/>
      <c r="I15" s="1749"/>
      <c r="J15" s="1743"/>
    </row>
    <row r="16" spans="1:10" ht="16.5">
      <c r="A16" s="1742" t="s">
        <v>1348</v>
      </c>
      <c r="B16" s="2950">
        <v>84916.24</v>
      </c>
      <c r="C16" s="2950">
        <v>124447.55</v>
      </c>
      <c r="D16" s="2950"/>
      <c r="E16" s="1744">
        <f t="shared" si="0"/>
        <v>0</v>
      </c>
      <c r="F16" s="1744">
        <f t="shared" si="1"/>
        <v>0</v>
      </c>
      <c r="G16" s="1750"/>
      <c r="H16" s="1750"/>
      <c r="I16" s="1749"/>
    </row>
    <row r="17" spans="1:9" ht="16.5">
      <c r="A17" s="1742" t="s">
        <v>1347</v>
      </c>
      <c r="B17" s="2950">
        <v>-10000</v>
      </c>
      <c r="C17" s="2950">
        <v>-10000</v>
      </c>
      <c r="D17" s="2950"/>
      <c r="E17" s="1744">
        <f t="shared" si="0"/>
        <v>0</v>
      </c>
      <c r="F17" s="1744">
        <f t="shared" si="1"/>
        <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52" sqref="J52"/>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2123</v>
      </c>
      <c r="B1" s="2423"/>
      <c r="C1" s="2424"/>
      <c r="D1" s="2423"/>
      <c r="E1" s="2423"/>
      <c r="F1" s="2425" t="s">
        <v>2124</v>
      </c>
      <c r="G1" s="2074" t="s">
        <v>2125</v>
      </c>
      <c r="H1" s="2426" t="str">
        <f>IF(G1="现房","——","估价对象范围")</f>
        <v>估价对象范围</v>
      </c>
      <c r="I1" s="2427"/>
    </row>
    <row r="2" spans="1:12" ht="21.75" customHeight="1" thickBot="1">
      <c r="A2" s="3125" t="str">
        <f>项目基本情况!S2</f>
        <v>出让国有建设用地使用权及在建建筑物房地产</v>
      </c>
      <c r="B2" s="3126"/>
      <c r="C2" s="3126"/>
      <c r="D2" s="3126"/>
      <c r="E2" s="3126"/>
      <c r="F2" s="3126"/>
      <c r="G2" s="3126"/>
      <c r="H2" s="3126"/>
      <c r="I2" s="3127"/>
    </row>
    <row r="3" spans="1:12" ht="12.75">
      <c r="A3" s="3128" t="s">
        <v>2126</v>
      </c>
      <c r="B3" s="3129"/>
      <c r="C3" s="3129"/>
      <c r="D3" s="3129"/>
      <c r="E3" s="3129"/>
      <c r="F3" s="3129"/>
      <c r="G3" s="3129"/>
      <c r="H3" s="3129"/>
      <c r="I3" s="3129"/>
    </row>
    <row r="4" spans="1:12" ht="14.25">
      <c r="A4" s="2430" t="s">
        <v>2127</v>
      </c>
      <c r="B4" s="2431" t="s">
        <v>2128</v>
      </c>
      <c r="C4" s="2432" t="s">
        <v>3056</v>
      </c>
      <c r="D4" s="2432" t="s">
        <v>3056</v>
      </c>
      <c r="E4" s="3109" t="s">
        <v>2129</v>
      </c>
      <c r="F4" s="3122"/>
      <c r="G4" s="3122"/>
      <c r="H4" s="3122"/>
      <c r="I4" s="3110"/>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比较法</v>
      </c>
    </row>
    <row r="5" spans="1:12" ht="12.75" hidden="1">
      <c r="A5" s="3100" t="s">
        <v>2130</v>
      </c>
      <c r="B5" s="3026">
        <v>25</v>
      </c>
      <c r="C5" s="3130"/>
      <c r="D5" s="3118"/>
      <c r="E5" s="140" t="s">
        <v>2131</v>
      </c>
      <c r="F5" s="2434"/>
      <c r="G5" s="2434"/>
      <c r="H5" s="2434"/>
      <c r="I5" s="1834"/>
    </row>
    <row r="6" spans="1:12" ht="12.75" hidden="1">
      <c r="A6" s="3100"/>
      <c r="B6" s="3026"/>
      <c r="C6" s="3132"/>
      <c r="D6" s="3118"/>
      <c r="E6" s="140" t="s">
        <v>2132</v>
      </c>
      <c r="F6" s="2434"/>
      <c r="G6" s="2434"/>
      <c r="H6" s="2434"/>
      <c r="I6" s="1834"/>
    </row>
    <row r="7" spans="1:12" ht="12.75" hidden="1">
      <c r="A7" s="3100"/>
      <c r="B7" s="3026"/>
      <c r="C7" s="3131"/>
      <c r="D7" s="3118"/>
      <c r="E7" s="140" t="s">
        <v>2133</v>
      </c>
      <c r="F7" s="2434"/>
      <c r="G7" s="2434"/>
      <c r="H7" s="2434"/>
      <c r="I7" s="1834"/>
    </row>
    <row r="8" spans="1:12" ht="12.75" hidden="1">
      <c r="A8" s="3100" t="s">
        <v>2134</v>
      </c>
      <c r="B8" s="3026">
        <v>15</v>
      </c>
      <c r="C8" s="3130"/>
      <c r="D8" s="3118"/>
      <c r="E8" s="140" t="s">
        <v>2135</v>
      </c>
      <c r="F8" s="2434"/>
      <c r="G8" s="2434"/>
      <c r="H8" s="2434"/>
      <c r="I8" s="1834"/>
    </row>
    <row r="9" spans="1:12" ht="12.75" hidden="1">
      <c r="A9" s="3100"/>
      <c r="B9" s="3026"/>
      <c r="C9" s="3131"/>
      <c r="D9" s="3118"/>
      <c r="E9" s="140" t="s">
        <v>2136</v>
      </c>
      <c r="F9" s="2434"/>
      <c r="G9" s="2434"/>
      <c r="H9" s="2434"/>
      <c r="I9" s="1834"/>
    </row>
    <row r="10" spans="1:12" ht="12.75" hidden="1">
      <c r="A10" s="3100" t="s">
        <v>2137</v>
      </c>
      <c r="B10" s="3026">
        <v>15</v>
      </c>
      <c r="C10" s="3130"/>
      <c r="D10" s="3118"/>
      <c r="E10" s="140" t="s">
        <v>2138</v>
      </c>
      <c r="F10" s="2434"/>
      <c r="G10" s="2434"/>
      <c r="H10" s="2434"/>
      <c r="I10" s="1834"/>
    </row>
    <row r="11" spans="1:12" ht="12.75" hidden="1">
      <c r="A11" s="3100"/>
      <c r="B11" s="3026"/>
      <c r="C11" s="3131"/>
      <c r="D11" s="3118"/>
      <c r="E11" s="140" t="s">
        <v>2139</v>
      </c>
      <c r="F11" s="2434"/>
      <c r="G11" s="2434"/>
      <c r="H11" s="2434"/>
      <c r="I11" s="1834"/>
    </row>
    <row r="12" spans="1:12" ht="12.75" hidden="1">
      <c r="A12" s="3100" t="s">
        <v>2140</v>
      </c>
      <c r="B12" s="3026">
        <v>15</v>
      </c>
      <c r="C12" s="3130"/>
      <c r="D12" s="3118"/>
      <c r="E12" s="140" t="s">
        <v>2141</v>
      </c>
      <c r="F12" s="2434"/>
      <c r="G12" s="2434"/>
      <c r="H12" s="2434"/>
      <c r="I12" s="1834"/>
    </row>
    <row r="13" spans="1:12" ht="12.75" hidden="1">
      <c r="A13" s="3100"/>
      <c r="B13" s="3026"/>
      <c r="C13" s="3131"/>
      <c r="D13" s="3118"/>
      <c r="E13" s="140" t="s">
        <v>2142</v>
      </c>
      <c r="F13" s="2434"/>
      <c r="G13" s="2434"/>
      <c r="H13" s="2434"/>
      <c r="I13" s="1834"/>
    </row>
    <row r="14" spans="1:12" ht="12.75">
      <c r="A14" s="3100" t="s">
        <v>2143</v>
      </c>
      <c r="B14" s="3026">
        <v>30</v>
      </c>
      <c r="C14" s="3130">
        <v>5</v>
      </c>
      <c r="D14" s="3118">
        <v>5</v>
      </c>
      <c r="E14" s="140" t="s">
        <v>2144</v>
      </c>
      <c r="F14" s="2434"/>
      <c r="G14" s="2434"/>
      <c r="H14" s="2434"/>
      <c r="I14" s="1834"/>
    </row>
    <row r="15" spans="1:12" ht="12.75">
      <c r="A15" s="3100"/>
      <c r="B15" s="3026"/>
      <c r="C15" s="3132"/>
      <c r="D15" s="3118"/>
      <c r="E15" s="140" t="s">
        <v>2145</v>
      </c>
      <c r="F15" s="2434"/>
      <c r="G15" s="2434"/>
      <c r="H15" s="2434"/>
      <c r="I15" s="1834"/>
    </row>
    <row r="16" spans="1:12" ht="12.75">
      <c r="A16" s="3100"/>
      <c r="B16" s="3026"/>
      <c r="C16" s="3131"/>
      <c r="D16" s="3118"/>
      <c r="E16" s="140" t="s">
        <v>2146</v>
      </c>
      <c r="F16" s="2434"/>
      <c r="G16" s="2434"/>
      <c r="H16" s="2434"/>
      <c r="I16" s="1834"/>
    </row>
    <row r="17" spans="1:35" ht="15">
      <c r="A17" s="2435" t="s">
        <v>2147</v>
      </c>
      <c r="B17" s="64"/>
      <c r="C17" s="141">
        <f>SUM(C5:C16)</f>
        <v>5</v>
      </c>
      <c r="D17" s="141">
        <f>SUM(D5:D16)</f>
        <v>5</v>
      </c>
      <c r="E17" s="138"/>
      <c r="F17" s="138"/>
      <c r="G17" s="138"/>
      <c r="H17" s="138"/>
      <c r="I17" s="138"/>
      <c r="K17" s="2433"/>
      <c r="L17" s="2436" t="s">
        <v>2148</v>
      </c>
      <c r="M17" s="2436" t="s">
        <v>2149</v>
      </c>
    </row>
    <row r="18" spans="1:35" ht="15.75" thickBot="1">
      <c r="A18" s="2437" t="s">
        <v>2150</v>
      </c>
      <c r="B18" s="2438"/>
      <c r="C18" s="142">
        <f>ROUND(C17/SUM(C17:D17),2)</f>
        <v>0.5</v>
      </c>
      <c r="D18" s="142">
        <f>1-C18</f>
        <v>0.5</v>
      </c>
      <c r="E18" s="138"/>
      <c r="F18" s="138"/>
      <c r="G18" s="138"/>
      <c r="H18" s="138"/>
      <c r="I18" s="138"/>
      <c r="K18" s="2433" t="s">
        <v>2151</v>
      </c>
      <c r="L18" s="2433">
        <f>IF(C1="",'数据-汇总表'!E3,SUMIF(项目类型,C1,'数据-汇总表'!E17:E26)+SUMIF(项目类型,C1,'数据-汇总表'!I17:I26))</f>
        <v>10000</v>
      </c>
      <c r="M18" s="2433">
        <f>IF(C1="",'数据-汇总表'!E3,SUMIF(项目类型,C1,'数据-汇总表'!E17:E26))</f>
        <v>10000</v>
      </c>
    </row>
    <row r="19" spans="1:35" ht="15">
      <c r="A19" s="2439" t="s">
        <v>2152</v>
      </c>
      <c r="B19" s="2440" t="s">
        <v>2153</v>
      </c>
      <c r="C19" s="143">
        <f ca="1">SUMIF(INDIRECT("'"&amp;C4&amp;"'"&amp;"!A:A"),结果表!B19,INDIRECT("'"&amp;C4&amp;"'"&amp;"!B:B"))</f>
        <v>423031</v>
      </c>
      <c r="D19" s="144">
        <f ca="1">SUMIF(INDIRECT("'"&amp;D4&amp;"'"&amp;"!A:A"),结果表!B19,INDIRECT("'"&amp;D4&amp;"'"&amp;"!B:B"))</f>
        <v>423031</v>
      </c>
      <c r="E19" s="2439" t="s">
        <v>2154</v>
      </c>
      <c r="F19" s="2440" t="s">
        <v>2153</v>
      </c>
      <c r="G19" s="145">
        <f ca="1">ROUND(C19*$C$18+D19*$D$18,0)</f>
        <v>423031</v>
      </c>
      <c r="H19" s="2441" t="s">
        <v>2155</v>
      </c>
      <c r="I19" s="138"/>
      <c r="K19" s="2433" t="s">
        <v>2156</v>
      </c>
      <c r="L19" s="2433">
        <f>IF(C1="",'数据-汇总表'!D3,SUMIF(项目类型,C1,'数据-汇总表'!D17:D26)+SUMIF(项目类型,C1,'数据-汇总表'!H17:H27))</f>
        <v>10000</v>
      </c>
      <c r="M19" s="2433">
        <f>IF(C1="",'数据-汇总表'!D3,SUMIF(项目类型,C1,'数据-汇总表'!D17:D26))</f>
        <v>10000</v>
      </c>
    </row>
    <row r="20" spans="1:35" ht="15">
      <c r="A20" s="2442"/>
      <c r="B20" s="1250" t="s">
        <v>2157</v>
      </c>
      <c r="C20" s="146">
        <f ca="1">SUMIF(INDIRECT("'"&amp;C4&amp;"'"&amp;"!A:A"),结果表!B20,INDIRECT("'"&amp;C4&amp;"'"&amp;"!B:B"))</f>
        <v>423031</v>
      </c>
      <c r="D20" s="147">
        <f ca="1">SUMIF(INDIRECT("'"&amp;D4&amp;"'"&amp;"!A:A"),结果表!B20,INDIRECT("'"&amp;D4&amp;"'"&amp;"!B:B"))</f>
        <v>423031</v>
      </c>
      <c r="E20" s="2442"/>
      <c r="F20" s="1250" t="s">
        <v>2157</v>
      </c>
      <c r="G20" s="148">
        <f ca="1">ROUND(C20*$C$18+D20*$D$18,0)</f>
        <v>423031</v>
      </c>
      <c r="H20" s="983" t="s">
        <v>2158</v>
      </c>
      <c r="I20" s="138"/>
    </row>
    <row r="21" spans="1:35" ht="15" customHeight="1" thickBot="1">
      <c r="A21" s="1003"/>
      <c r="B21" s="2443" t="s">
        <v>2159</v>
      </c>
      <c r="C21" s="789">
        <f ca="1">ROUND(C19*10000/L19,0)</f>
        <v>423031</v>
      </c>
      <c r="D21" s="790">
        <f ca="1">ROUND(D19*10000/L19,0)</f>
        <v>423031</v>
      </c>
      <c r="E21" s="1003"/>
      <c r="F21" s="2443" t="s">
        <v>2159</v>
      </c>
      <c r="G21" s="149">
        <f ca="1">ROUND(G19*10000/L19,0)</f>
        <v>423031</v>
      </c>
      <c r="H21" s="2444" t="s">
        <v>2158</v>
      </c>
      <c r="I21" s="138"/>
    </row>
    <row r="22" spans="1:35" ht="15" thickBot="1">
      <c r="A22" s="2285" t="s">
        <v>2160</v>
      </c>
      <c r="B22" s="2445"/>
      <c r="C22" s="2446"/>
      <c r="D22" s="791">
        <f ca="1">IF(C19&lt;D19,D19/C19-1,C19/D19-1)</f>
        <v>0</v>
      </c>
      <c r="E22" s="138"/>
      <c r="F22" s="138"/>
      <c r="G22" s="138">
        <f ca="1">[3]结果表!$G$19</f>
        <v>313336</v>
      </c>
      <c r="H22" s="138"/>
      <c r="I22" s="138"/>
    </row>
    <row r="23" spans="1:35" ht="12.75">
      <c r="A23" s="2423"/>
      <c r="B23" s="2423"/>
      <c r="C23" s="2423"/>
      <c r="D23" s="2423"/>
      <c r="E23" s="138"/>
      <c r="F23" s="138"/>
      <c r="G23" s="138">
        <f ca="1">[4]结果表!$G$19</f>
        <v>109695</v>
      </c>
      <c r="H23" s="138"/>
      <c r="I23" s="138"/>
    </row>
    <row r="24" spans="1:35" ht="14.25" hidden="1">
      <c r="A24" s="3139" t="s">
        <v>2161</v>
      </c>
      <c r="B24" s="2440" t="s">
        <v>2153</v>
      </c>
      <c r="C24" s="145">
        <f>IF(B30=0,0,D30)</f>
        <v>0</v>
      </c>
      <c r="D24" s="2447"/>
      <c r="E24" s="138"/>
      <c r="F24" s="138"/>
      <c r="G24" s="138"/>
      <c r="H24" s="138"/>
      <c r="I24" s="138"/>
    </row>
    <row r="25" spans="1:35" ht="14.25" hidden="1">
      <c r="A25" s="3140"/>
      <c r="B25" s="1250" t="s">
        <v>2157</v>
      </c>
      <c r="C25" s="150">
        <f>IF(B30=0,0,C30)</f>
        <v>0</v>
      </c>
      <c r="D25" s="2448"/>
      <c r="E25" s="138"/>
      <c r="F25" s="138"/>
      <c r="G25" s="138"/>
      <c r="H25" s="138"/>
      <c r="I25" s="138"/>
    </row>
    <row r="26" spans="1:35" ht="13.5" hidden="1" customHeight="1">
      <c r="A26" s="2449" t="s">
        <v>2162</v>
      </c>
      <c r="B26" s="151" t="s">
        <v>2163</v>
      </c>
      <c r="C26" s="151" t="s">
        <v>2164</v>
      </c>
      <c r="D26" s="152" t="s">
        <v>2165</v>
      </c>
      <c r="E26" s="138"/>
      <c r="F26" s="138"/>
      <c r="G26" s="138"/>
      <c r="H26" s="138"/>
      <c r="I26" s="138"/>
    </row>
    <row r="27" spans="1:35" ht="14.25" hidden="1">
      <c r="A27" s="2449"/>
      <c r="B27" s="151">
        <v>0</v>
      </c>
      <c r="C27" s="151">
        <v>0</v>
      </c>
      <c r="D27" s="152">
        <f>ROUND(C27*B27/10000,0)</f>
        <v>0</v>
      </c>
      <c r="E27" s="138"/>
      <c r="F27" s="138"/>
      <c r="G27" s="138"/>
      <c r="H27" s="138"/>
      <c r="I27" s="138"/>
    </row>
    <row r="28" spans="1:35" ht="14.25" hidden="1">
      <c r="A28" s="2449"/>
      <c r="B28" s="151"/>
      <c r="C28" s="151"/>
      <c r="D28" s="152"/>
      <c r="E28" s="138"/>
      <c r="F28" s="138"/>
      <c r="G28" s="138"/>
      <c r="H28" s="138"/>
      <c r="I28" s="138"/>
    </row>
    <row r="29" spans="1:35" ht="14.25" hidden="1">
      <c r="A29" s="2449"/>
      <c r="B29" s="151"/>
      <c r="C29" s="151"/>
      <c r="D29" s="152"/>
      <c r="E29" s="138"/>
      <c r="F29" s="138"/>
      <c r="G29" s="138"/>
      <c r="H29" s="138"/>
      <c r="I29" s="138"/>
    </row>
    <row r="30" spans="1:35" ht="14.25" hidden="1">
      <c r="A30" s="151" t="s">
        <v>2166</v>
      </c>
      <c r="B30" s="151"/>
      <c r="C30" s="151"/>
      <c r="D30" s="151"/>
      <c r="E30" s="2932" t="s">
        <v>3042</v>
      </c>
      <c r="F30" s="138"/>
      <c r="G30" s="138"/>
      <c r="H30" s="138"/>
      <c r="I30" s="138"/>
    </row>
    <row r="31" spans="1:35" s="2451" customFormat="1" ht="15" hidden="1"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hidden="1" thickBot="1">
      <c r="A32" s="2452" t="s">
        <v>2167</v>
      </c>
      <c r="B32" s="2453"/>
      <c r="C32" s="153">
        <f ca="1">IF(D32="总价",G19-C24,G20-C25)</f>
        <v>423031</v>
      </c>
      <c r="D32" s="2454" t="s">
        <v>2168</v>
      </c>
      <c r="E32" s="138"/>
      <c r="F32" s="138"/>
      <c r="G32" s="138"/>
      <c r="H32" s="138"/>
      <c r="I32" s="138"/>
    </row>
    <row r="33" spans="1:15" ht="15" hidden="1">
      <c r="A33" s="960" t="s">
        <v>2169</v>
      </c>
      <c r="B33" s="2455"/>
      <c r="C33" s="2456"/>
      <c r="D33" s="2457"/>
      <c r="E33" s="2458" t="s">
        <v>2170</v>
      </c>
      <c r="F33" s="2459" t="str">
        <f>IF(D32="楼面单价","取值（单价）","取值（总价）")</f>
        <v>取值（总价）</v>
      </c>
      <c r="G33" s="138"/>
      <c r="H33" s="138"/>
      <c r="I33" s="138"/>
    </row>
    <row r="34" spans="1:15" ht="15" hidden="1">
      <c r="A34" s="2460"/>
      <c r="B34" s="2461" t="s">
        <v>2171</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2172</v>
      </c>
      <c r="F34" s="1739"/>
      <c r="G34" s="138"/>
      <c r="H34" s="138"/>
      <c r="I34" s="138"/>
    </row>
    <row r="35" spans="1:15" ht="15.75" hidden="1" thickBot="1">
      <c r="A35" s="2463"/>
      <c r="B35" s="2464" t="s">
        <v>2173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2174</v>
      </c>
      <c r="F35" s="163"/>
      <c r="G35" s="138"/>
      <c r="H35" s="138"/>
      <c r="I35" s="138"/>
    </row>
    <row r="36" spans="1:15" ht="15.75" hidden="1" thickBot="1">
      <c r="A36" s="3119" t="s">
        <v>2175</v>
      </c>
      <c r="B36" s="2466" t="s">
        <v>2176</v>
      </c>
      <c r="C36" s="154"/>
      <c r="D36" s="2467"/>
      <c r="E36" s="2468"/>
      <c r="F36" s="2469"/>
      <c r="G36" s="138"/>
      <c r="H36" s="138"/>
      <c r="I36" s="138"/>
    </row>
    <row r="37" spans="1:15" ht="15.75" hidden="1" thickBot="1">
      <c r="A37" s="3120"/>
      <c r="B37" s="2271" t="s">
        <v>2177</v>
      </c>
      <c r="C37" s="156"/>
      <c r="D37" s="1395"/>
      <c r="E37" s="1395"/>
      <c r="F37" s="2469"/>
      <c r="G37" s="138"/>
      <c r="H37" s="138"/>
      <c r="I37" s="138"/>
    </row>
    <row r="38" spans="1:15" ht="15.75" hidden="1" thickBot="1">
      <c r="A38" s="3121"/>
      <c r="B38" s="2470" t="s">
        <v>2178</v>
      </c>
      <c r="C38" s="727"/>
      <c r="D38" s="2471" t="s">
        <v>2179</v>
      </c>
      <c r="E38" s="1395"/>
      <c r="F38" s="2469"/>
      <c r="G38" s="138"/>
      <c r="H38" s="138"/>
      <c r="I38" s="138"/>
    </row>
    <row r="39" spans="1:15" ht="15" hidden="1">
      <c r="A39" s="2442" t="s">
        <v>2180</v>
      </c>
      <c r="B39" s="2472" t="s">
        <v>2181</v>
      </c>
      <c r="C39" s="2473" t="s">
        <v>2182</v>
      </c>
      <c r="D39" s="2473" t="s">
        <v>2183</v>
      </c>
      <c r="E39" s="2474" t="s">
        <v>2184</v>
      </c>
      <c r="F39" s="2469"/>
      <c r="G39" s="138"/>
      <c r="H39" s="138"/>
      <c r="I39" s="138"/>
    </row>
    <row r="40" spans="1:15" ht="14.25" hidden="1">
      <c r="A40" s="2475" t="s">
        <v>2185</v>
      </c>
      <c r="B40" s="158"/>
      <c r="C40" s="159"/>
      <c r="D40" s="159"/>
      <c r="E40" s="160"/>
      <c r="F40" s="2469"/>
      <c r="G40" s="138"/>
      <c r="H40" s="138"/>
      <c r="I40" s="138"/>
    </row>
    <row r="41" spans="1:15" ht="14.25" hidden="1">
      <c r="A41" s="2475" t="s">
        <v>2186</v>
      </c>
      <c r="B41" s="158"/>
      <c r="C41" s="159"/>
      <c r="D41" s="159"/>
      <c r="E41" s="160"/>
      <c r="F41" s="2469"/>
      <c r="G41" s="138"/>
      <c r="H41" s="138"/>
      <c r="I41" s="138"/>
    </row>
    <row r="42" spans="1:15" ht="15" hidden="1" thickBot="1">
      <c r="A42" s="2476"/>
      <c r="B42" s="161"/>
      <c r="C42" s="162"/>
      <c r="D42" s="162"/>
      <c r="E42" s="163"/>
      <c r="F42" s="2469"/>
      <c r="G42" s="138"/>
      <c r="H42" s="138"/>
      <c r="I42" s="138"/>
    </row>
    <row r="43" spans="1:15" ht="12.75" hidden="1">
      <c r="A43" s="2169"/>
      <c r="B43" s="2169"/>
      <c r="C43" s="2169"/>
      <c r="D43" s="2169"/>
      <c r="E43" s="2169"/>
      <c r="F43" s="2477"/>
      <c r="G43" s="2477"/>
      <c r="H43" s="2477"/>
      <c r="I43" s="2478"/>
    </row>
    <row r="44" spans="1:15" ht="18.75">
      <c r="A44" s="2479" t="s">
        <v>2187</v>
      </c>
      <c r="B44" s="2480"/>
      <c r="C44" s="2480"/>
      <c r="D44" s="2481"/>
      <c r="E44" s="2481"/>
      <c r="F44" s="2482"/>
      <c r="G44" s="2482"/>
      <c r="H44" s="2482"/>
      <c r="I44" s="2482"/>
      <c r="J44" s="2483" t="s">
        <v>2188</v>
      </c>
      <c r="K44" s="2484"/>
      <c r="L44" s="2484"/>
      <c r="M44" s="2484"/>
      <c r="N44" s="2484"/>
      <c r="O44" s="2484"/>
    </row>
    <row r="45" spans="1:15" ht="14.25" customHeight="1" thickBot="1">
      <c r="A45" s="3136" t="s">
        <v>2189</v>
      </c>
      <c r="B45" s="3137"/>
      <c r="C45" s="3138"/>
      <c r="D45" s="164">
        <f ca="1">ROUND(H101*F45,0)</f>
        <v>423031</v>
      </c>
      <c r="E45" s="165" t="s">
        <v>2190</v>
      </c>
      <c r="F45" s="166">
        <v>1</v>
      </c>
      <c r="G45" s="167" t="s">
        <v>2191</v>
      </c>
      <c r="H45" s="138"/>
      <c r="I45" s="138"/>
      <c r="J45" s="3055" t="s">
        <v>2192</v>
      </c>
      <c r="K45" s="3055"/>
      <c r="L45" s="3055"/>
      <c r="M45" s="3055"/>
      <c r="N45" s="3055"/>
      <c r="O45" s="3055"/>
    </row>
    <row r="46" spans="1:15" ht="14.25" customHeight="1">
      <c r="A46" s="3133" t="s">
        <v>2193</v>
      </c>
      <c r="B46" s="3134"/>
      <c r="C46" s="3134"/>
      <c r="D46" s="3134"/>
      <c r="E46" s="3134"/>
      <c r="F46" s="3134"/>
      <c r="G46" s="3135"/>
      <c r="H46" s="2485"/>
      <c r="I46" s="168"/>
      <c r="J46" s="1812">
        <v>1</v>
      </c>
      <c r="K46" s="3055" t="s">
        <v>2194</v>
      </c>
      <c r="L46" s="3055"/>
      <c r="M46" s="3056"/>
      <c r="N46" s="3056"/>
      <c r="O46" s="3056"/>
    </row>
    <row r="47" spans="1:15" ht="12" customHeight="1">
      <c r="A47" s="169" t="s">
        <v>2195</v>
      </c>
      <c r="B47" s="170"/>
      <c r="C47" s="171"/>
      <c r="D47" s="172" t="s">
        <v>2196</v>
      </c>
      <c r="E47" s="24" t="s">
        <v>2197</v>
      </c>
      <c r="F47" s="173" t="s">
        <v>2198</v>
      </c>
      <c r="G47" s="174" t="s">
        <v>2199</v>
      </c>
      <c r="H47" s="2485"/>
      <c r="I47" s="168"/>
      <c r="J47" s="1812">
        <v>2</v>
      </c>
      <c r="K47" s="3055" t="s">
        <v>2200</v>
      </c>
      <c r="L47" s="3055"/>
      <c r="M47" s="3057">
        <f>'数据-取费表'!B2</f>
        <v>43231</v>
      </c>
      <c r="N47" s="3057"/>
      <c r="O47" s="3057"/>
    </row>
    <row r="48" spans="1:15" ht="25.5">
      <c r="A48" s="3123" t="s">
        <v>2201</v>
      </c>
      <c r="B48" s="3124"/>
      <c r="C48" s="3124"/>
      <c r="D48" s="140">
        <f ca="1">IF(H48="情况1",0,IF(H48="情况2",D52,IF(H48="情况3",D53,IF(H48="情况4",D54))))</f>
        <v>22562</v>
      </c>
      <c r="E48" s="1801" t="str">
        <f>IF(H48="情况4","(销售额-原购置价)×税（费）率","销售额×税（费）率")</f>
        <v>销售额×税（费）率</v>
      </c>
      <c r="F48" s="175">
        <f>IF(H48="情况1","免征",'数据-取费表'!B41)</f>
        <v>5.6000000000000001E-2</v>
      </c>
      <c r="G48" s="2486" t="s">
        <v>2202</v>
      </c>
      <c r="H48" s="2487" t="s">
        <v>3057</v>
      </c>
      <c r="I48" s="2485"/>
      <c r="J48" s="1812">
        <v>3</v>
      </c>
      <c r="K48" s="3055" t="s">
        <v>2203</v>
      </c>
      <c r="L48" s="3055"/>
      <c r="M48" s="3058">
        <f ca="1">H101</f>
        <v>423031</v>
      </c>
      <c r="N48" s="3058"/>
      <c r="O48" s="3058"/>
    </row>
    <row r="49" spans="1:35" ht="25.5" customHeight="1">
      <c r="A49" s="176" t="s">
        <v>2204</v>
      </c>
      <c r="B49" s="3103" t="s">
        <v>2205</v>
      </c>
      <c r="C49" s="3103"/>
      <c r="D49" s="177">
        <v>0</v>
      </c>
      <c r="E49" s="23" t="s">
        <v>2206</v>
      </c>
      <c r="F49" s="28" t="s">
        <v>34</v>
      </c>
      <c r="G49" s="3084"/>
      <c r="H49" s="138"/>
      <c r="I49" s="2488"/>
      <c r="J49" s="1812">
        <v>4</v>
      </c>
      <c r="K49" s="3055" t="str">
        <f>IF(项目基本情况!E8="房地产抵押价值","房地产抵押价值","抵押担保权已注销时的房地产抵押价值")</f>
        <v>房地产抵押价值</v>
      </c>
      <c r="L49" s="3055"/>
      <c r="M49" s="3058">
        <f ca="1">IF(项目基本情况!E8="房地产抵押价值",H107,H109)</f>
        <v>423031</v>
      </c>
      <c r="N49" s="3058"/>
      <c r="O49" s="3058"/>
    </row>
    <row r="50" spans="1:35" ht="25.5" customHeight="1">
      <c r="A50" s="178"/>
      <c r="B50" s="3103" t="s">
        <v>2207</v>
      </c>
      <c r="C50" s="3103"/>
      <c r="D50" s="179"/>
      <c r="E50" s="31"/>
      <c r="F50" s="180"/>
      <c r="G50" s="3085"/>
      <c r="H50" s="138"/>
      <c r="I50" s="2488"/>
      <c r="J50" s="3055" t="s">
        <v>2208</v>
      </c>
      <c r="K50" s="3055"/>
      <c r="L50" s="3055"/>
      <c r="M50" s="3055"/>
      <c r="N50" s="3055"/>
      <c r="O50" s="3055"/>
    </row>
    <row r="51" spans="1:35" ht="12" customHeight="1">
      <c r="A51" s="181"/>
      <c r="B51" s="3103" t="s">
        <v>2209</v>
      </c>
      <c r="C51" s="3103"/>
      <c r="D51" s="182"/>
      <c r="E51" s="30"/>
      <c r="F51" s="180"/>
      <c r="G51" s="3086"/>
      <c r="H51" s="138"/>
      <c r="I51" s="2488"/>
      <c r="J51" s="2489" t="s">
        <v>2210</v>
      </c>
      <c r="K51" s="3055" t="s">
        <v>2211</v>
      </c>
      <c r="L51" s="3055"/>
      <c r="M51" s="2489" t="s">
        <v>2212</v>
      </c>
      <c r="N51" s="2489" t="s">
        <v>2213</v>
      </c>
      <c r="O51" s="2489" t="s">
        <v>2214</v>
      </c>
    </row>
    <row r="52" spans="1:35" ht="24" customHeight="1">
      <c r="A52" s="183" t="s">
        <v>2215</v>
      </c>
      <c r="B52" s="3103" t="s">
        <v>2216</v>
      </c>
      <c r="C52" s="3103"/>
      <c r="D52" s="182">
        <f ca="1">ROUND(D45*'数据-取费表'!B41/(1+'数据-取费表'!C42),0)</f>
        <v>22562</v>
      </c>
      <c r="E52" s="11" t="s">
        <v>2217</v>
      </c>
      <c r="F52" s="184">
        <f>'数据-取费表'!B41</f>
        <v>5.6000000000000001E-2</v>
      </c>
      <c r="G52" s="2490"/>
      <c r="H52" s="138"/>
      <c r="I52" s="2488"/>
      <c r="J52" s="1812">
        <v>1</v>
      </c>
      <c r="K52" s="3078" t="s">
        <v>2218</v>
      </c>
      <c r="L52" s="3078"/>
      <c r="M52" s="1754">
        <f ca="1">D48</f>
        <v>22562</v>
      </c>
      <c r="N52" s="1812" t="str">
        <f>E48</f>
        <v>销售额×税（费）率</v>
      </c>
      <c r="O52" s="1755">
        <f>F48</f>
        <v>5.6000000000000001E-2</v>
      </c>
    </row>
    <row r="53" spans="1:35" ht="12" customHeight="1">
      <c r="A53" s="183" t="s">
        <v>2219</v>
      </c>
      <c r="B53" s="3104" t="s">
        <v>2220</v>
      </c>
      <c r="C53" s="3105"/>
      <c r="D53" s="182">
        <f ca="1">ROUND(D45*'数据-取费表'!B41/(1+'数据-取费表'!C42),0)</f>
        <v>22562</v>
      </c>
      <c r="E53" s="11" t="s">
        <v>2217</v>
      </c>
      <c r="F53" s="184">
        <f>'数据-取费表'!B41</f>
        <v>5.6000000000000001E-2</v>
      </c>
      <c r="G53" s="2490"/>
      <c r="H53" s="138"/>
      <c r="I53" s="2488"/>
      <c r="J53" s="1812">
        <v>2</v>
      </c>
      <c r="K53" s="3078" t="s">
        <v>2221</v>
      </c>
      <c r="L53" s="3078"/>
      <c r="M53" s="1754">
        <f t="shared" ref="M53:O54" ca="1" si="0">D55</f>
        <v>212</v>
      </c>
      <c r="N53" s="1812" t="str">
        <f t="shared" si="0"/>
        <v>销售额×税（费）率</v>
      </c>
      <c r="O53" s="1755">
        <f t="shared" si="0"/>
        <v>5.0000000000000001E-4</v>
      </c>
    </row>
    <row r="54" spans="1:35" ht="12" customHeight="1">
      <c r="A54" s="183" t="s">
        <v>2222</v>
      </c>
      <c r="B54" s="3104" t="s">
        <v>2223</v>
      </c>
      <c r="C54" s="3105"/>
      <c r="D54" s="182">
        <f ca="1">C68</f>
        <v>22562</v>
      </c>
      <c r="E54" s="30" t="s">
        <v>2224</v>
      </c>
      <c r="F54" s="184">
        <f>'数据-取费表'!B41</f>
        <v>5.6000000000000001E-2</v>
      </c>
      <c r="G54" s="2490"/>
      <c r="H54" s="2491"/>
      <c r="I54" s="2488"/>
      <c r="J54" s="1812">
        <v>3</v>
      </c>
      <c r="K54" s="3078" t="s">
        <v>2225</v>
      </c>
      <c r="L54" s="3078"/>
      <c r="M54" s="1754">
        <f t="shared" ca="1" si="0"/>
        <v>12973</v>
      </c>
      <c r="N54" s="1812" t="str">
        <f t="shared" si="0"/>
        <v>增值额×税（费）率</v>
      </c>
      <c r="O54" s="1756" t="str">
        <f t="shared" si="0"/>
        <v>——</v>
      </c>
    </row>
    <row r="55" spans="1:35" ht="24" customHeight="1">
      <c r="A55" s="3142" t="s">
        <v>2226</v>
      </c>
      <c r="B55" s="3124"/>
      <c r="C55" s="3124"/>
      <c r="D55" s="185">
        <f ca="1">IF(H55="个人住宅",0,ROUND(D45*I55,0))</f>
        <v>212</v>
      </c>
      <c r="E55" s="11" t="s">
        <v>2227</v>
      </c>
      <c r="F55" s="184">
        <f>IF(H55="正常",I55,"免征")</f>
        <v>5.0000000000000001E-4</v>
      </c>
      <c r="G55" s="2490"/>
      <c r="H55" s="2487" t="s">
        <v>2228</v>
      </c>
      <c r="I55" s="186">
        <f>'数据-取费表'!B49</f>
        <v>5.0000000000000001E-4</v>
      </c>
      <c r="J55" s="1812" t="str">
        <f>IF(H59="非个人房产","",4)</f>
        <v/>
      </c>
      <c r="K55" s="3078" t="str">
        <f>IF(H59="非个人房产","——","个人所得税")</f>
        <v>——</v>
      </c>
      <c r="L55" s="3078"/>
      <c r="M55" s="1757" t="str">
        <f>D59</f>
        <v>——</v>
      </c>
      <c r="N55" s="1810" t="str">
        <f>E59</f>
        <v>——</v>
      </c>
      <c r="O55" s="1758" t="str">
        <f>F59</f>
        <v>——</v>
      </c>
    </row>
    <row r="56" spans="1:35" ht="24.75">
      <c r="A56" s="3142" t="s">
        <v>2229</v>
      </c>
      <c r="B56" s="3124"/>
      <c r="C56" s="3124"/>
      <c r="D56" s="185">
        <f ca="1">IF(H56="个人住宅",D57,D58)</f>
        <v>12973</v>
      </c>
      <c r="E56" s="11" t="s">
        <v>2230</v>
      </c>
      <c r="F56" s="184" t="str">
        <f>IF(H56="正常",F58,"免征")</f>
        <v>——</v>
      </c>
      <c r="G56" s="2492" t="s">
        <v>2231</v>
      </c>
      <c r="H56" s="2493" t="s">
        <v>2228</v>
      </c>
      <c r="I56" s="2494"/>
      <c r="J56" s="1812"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3" t="s">
        <v>2204</v>
      </c>
      <c r="B57" s="3109" t="s">
        <v>2232</v>
      </c>
      <c r="C57" s="3110"/>
      <c r="D57" s="187">
        <v>0</v>
      </c>
      <c r="E57" s="23" t="s">
        <v>2206</v>
      </c>
      <c r="F57" s="155"/>
      <c r="G57" s="2490"/>
      <c r="H57" s="2494"/>
      <c r="I57" s="2494"/>
      <c r="J57" s="3078">
        <f>IF(AND(J55="",J56=""),4,IF(项目基本情况!K6="上海银行",结果表!J56+1,结果表!J55+1))</f>
        <v>4</v>
      </c>
      <c r="K57" s="3078" t="s">
        <v>2233</v>
      </c>
      <c r="L57" s="2495" t="s">
        <v>2234</v>
      </c>
      <c r="M57" s="1759"/>
      <c r="N57" s="1760">
        <f ca="1">SUMIF(M52:M56,"&lt;9e307")</f>
        <v>35747</v>
      </c>
      <c r="O57" s="2496"/>
      <c r="P57" s="1753">
        <f ca="1">N57/M49</f>
        <v>8.4502081407745538E-2</v>
      </c>
    </row>
    <row r="58" spans="1:35" ht="24.75">
      <c r="A58" s="183" t="s">
        <v>2215</v>
      </c>
      <c r="B58" s="3109" t="s">
        <v>2235</v>
      </c>
      <c r="C58" s="3122"/>
      <c r="D58" s="185">
        <f ca="1">IF(H58="转让取得",C81,C97)</f>
        <v>12973</v>
      </c>
      <c r="E58" s="11" t="s">
        <v>2230</v>
      </c>
      <c r="F58" s="24" t="s">
        <v>34</v>
      </c>
      <c r="G58" s="2490"/>
      <c r="H58" s="2493" t="s">
        <v>3058</v>
      </c>
      <c r="I58" s="2494"/>
      <c r="J58" s="3078"/>
      <c r="K58" s="3078"/>
      <c r="L58" s="2495" t="s">
        <v>2236</v>
      </c>
      <c r="M58" s="1761"/>
      <c r="N58" s="2497" t="str">
        <f ca="1">NUMBERSTRING(INT(N57*10000),2)&amp;"元整"</f>
        <v>叁亿伍仟柒佰肆拾柒万元整</v>
      </c>
      <c r="O58" s="2498"/>
    </row>
    <row r="59" spans="1:35" ht="24.75" thickBot="1">
      <c r="A59" s="3082" t="s">
        <v>2237</v>
      </c>
      <c r="B59" s="3083"/>
      <c r="C59" s="3083"/>
      <c r="D59" s="188" t="str">
        <f>IF(H59="非个人房产","——",IF(H59="个人住宅",0,ROUND(D45*I59,0)))</f>
        <v>——</v>
      </c>
      <c r="E59" s="189" t="str">
        <f>IF(H59="非个人房产","——","销售额×税（费）率")</f>
        <v>——</v>
      </c>
      <c r="F59" s="190" t="str">
        <f>IF(H59="非个人房产","——",IF(H59="个人住宅","免征",I59))</f>
        <v>——</v>
      </c>
      <c r="G59" s="2499" t="s">
        <v>2231</v>
      </c>
      <c r="H59" s="2493" t="s">
        <v>3059</v>
      </c>
      <c r="I59" s="191">
        <v>0.01</v>
      </c>
      <c r="J59" s="3080">
        <f>J57+1</f>
        <v>5</v>
      </c>
      <c r="K59" s="3078" t="s">
        <v>2238</v>
      </c>
      <c r="L59" s="1812" t="s">
        <v>2234</v>
      </c>
      <c r="M59" s="1762"/>
      <c r="N59" s="1763">
        <f ca="1">M49-N57</f>
        <v>387284</v>
      </c>
      <c r="O59" s="2500"/>
    </row>
    <row r="60" spans="1:35" ht="12" customHeight="1">
      <c r="A60" s="2501"/>
      <c r="B60" s="2423"/>
      <c r="C60" s="2423"/>
      <c r="D60" s="2423"/>
      <c r="E60" s="2170"/>
      <c r="F60" s="2494"/>
      <c r="G60" s="2494"/>
      <c r="H60" s="2502"/>
      <c r="I60" s="138"/>
      <c r="J60" s="3081"/>
      <c r="K60" s="3078"/>
      <c r="L60" s="2495" t="s">
        <v>2236</v>
      </c>
      <c r="M60" s="1761"/>
      <c r="N60" s="2497" t="str">
        <f ca="1">NUMBERSTRING(INT(N59*10000),2)&amp;"元整"</f>
        <v>叁拾捌亿柒仟贰佰捌拾肆万元整</v>
      </c>
      <c r="O60" s="2498"/>
    </row>
    <row r="61" spans="1:35" ht="13.5" hidden="1" thickBot="1">
      <c r="A61" s="3141" t="s">
        <v>2239</v>
      </c>
      <c r="B61" s="3141"/>
      <c r="C61" s="3141"/>
      <c r="D61" s="3141"/>
      <c r="E61" s="3141"/>
      <c r="F61" s="2494"/>
      <c r="G61" s="2494"/>
      <c r="H61" s="2502"/>
      <c r="I61" s="138"/>
      <c r="J61" s="1812">
        <f>J59+1</f>
        <v>6</v>
      </c>
      <c r="K61" s="3078" t="s">
        <v>2240</v>
      </c>
      <c r="L61" s="3078"/>
      <c r="M61" s="1764"/>
      <c r="N61" s="1765">
        <f ca="1">ROUND(N59*10000/'数据-汇总表'!E3,0)</f>
        <v>387284</v>
      </c>
      <c r="O61" s="2503"/>
    </row>
    <row r="62" spans="1:35" ht="12.75" hidden="1">
      <c r="A62" s="3098" t="s">
        <v>2241</v>
      </c>
      <c r="B62" s="3099"/>
      <c r="C62" s="1804"/>
      <c r="D62" s="1804" t="s">
        <v>2242</v>
      </c>
      <c r="E62" s="192" t="s">
        <v>2243</v>
      </c>
      <c r="F62" s="2494"/>
      <c r="G62" s="2494"/>
      <c r="H62" s="2502"/>
      <c r="I62" s="138"/>
    </row>
    <row r="63" spans="1:35" ht="12.75" hidden="1">
      <c r="A63" s="203" t="s">
        <v>775</v>
      </c>
      <c r="B63" s="193" t="s">
        <v>2244</v>
      </c>
      <c r="C63" s="194">
        <f ca="1">ROUND((C64+C65)/(1+'数据-取费表'!C42),0)</f>
        <v>402887</v>
      </c>
      <c r="D63" s="195"/>
      <c r="E63" s="196"/>
      <c r="F63" s="2494"/>
      <c r="G63" s="2494"/>
      <c r="H63" s="2502"/>
      <c r="I63" s="138"/>
      <c r="J63" s="3063" t="s">
        <v>2245</v>
      </c>
      <c r="K63" s="2504" t="s">
        <v>2246</v>
      </c>
      <c r="L63" s="1752">
        <f ca="1">IF(M49&gt;10000,M49*0.5%,IF(AND(M49&gt;1000,M49&lt;=10000),M49*1%,IF(AND(M49&gt;100,M49&lt;=1000),M49*3%,IF(AND(M49&gt;10,M49&lt;=100),M49*5%,M49*8%))))</f>
        <v>2115.1550000000002</v>
      </c>
      <c r="M63" s="24">
        <f ca="1">ROUND(L63,1)</f>
        <v>2115.1999999999998</v>
      </c>
      <c r="Z63" s="2428"/>
      <c r="AI63" s="2429"/>
    </row>
    <row r="64" spans="1:35" ht="14.25" hidden="1" customHeight="1">
      <c r="A64" s="197" t="s">
        <v>770</v>
      </c>
      <c r="B64" s="198" t="s">
        <v>2247</v>
      </c>
      <c r="C64" s="199">
        <f ca="1">D45</f>
        <v>423031</v>
      </c>
      <c r="D64" s="200" t="s">
        <v>32</v>
      </c>
      <c r="E64" s="201"/>
      <c r="F64" s="2494"/>
      <c r="G64" s="2494"/>
      <c r="H64" s="2502"/>
      <c r="I64" s="138"/>
      <c r="J64" s="3063"/>
      <c r="K64" s="2504" t="s">
        <v>2248</v>
      </c>
      <c r="L64" s="1752">
        <f ca="1">IF(M49&gt;2000,M49*0.5%,IF(AND(M49&gt;1000,M49&lt;=2000),M49*0.6%,IF(AND(M49&gt;500,M49&lt;=1000),M49*0.7%,IF(AND(M49&gt;200,M49&lt;=500),M49*0.8%,IF(AND(M49&gt;100,M49&lt;=200),M49*0.9%,IF(AND(M49&gt;50,M49&lt;=100),M49*1%,IF(AND(M49&gt;20,M49&lt;=50),M49*1.5%,IF(AND(M49&gt;10,M49&lt;=20),M49*2%,IF(AND(M49&gt;1,M49&lt;=10),M49*2.5%)))))))))</f>
        <v>2115.1550000000002</v>
      </c>
      <c r="M64" s="24">
        <f t="shared" ref="M64:M65" ca="1" si="1">ROUND(L64,1)</f>
        <v>2115.1999999999998</v>
      </c>
      <c r="N64" s="138" t="s">
        <v>2249</v>
      </c>
      <c r="Z64" s="2428"/>
      <c r="AI64" s="2429"/>
    </row>
    <row r="65" spans="1:35" ht="14.25" hidden="1" customHeight="1">
      <c r="A65" s="197" t="s">
        <v>771</v>
      </c>
      <c r="B65" s="198" t="s">
        <v>2250</v>
      </c>
      <c r="C65" s="202"/>
      <c r="D65" s="200"/>
      <c r="E65" s="201"/>
      <c r="F65" s="2494"/>
      <c r="G65" s="2494"/>
      <c r="H65" s="2502"/>
      <c r="I65" s="138"/>
      <c r="J65" s="3063"/>
      <c r="K65" s="2504" t="s">
        <v>2251</v>
      </c>
      <c r="L65" s="1752">
        <f ca="1">IF(M49&gt;1000,M49*0.1%,IF(AND(M49&gt;500,M49&lt;=1000),M49*0.5%,IF(AND(M49&gt;50,M49&lt;=500),M49*1%,IF(AND(M49&gt;1,M49&lt;=50),M49*1.5%))))</f>
        <v>423.03100000000001</v>
      </c>
      <c r="M65" s="24">
        <f t="shared" ca="1" si="1"/>
        <v>423</v>
      </c>
      <c r="N65" s="138" t="s">
        <v>2249</v>
      </c>
      <c r="Z65" s="2428"/>
      <c r="AI65" s="2429"/>
    </row>
    <row r="66" spans="1:35" ht="14.25" hidden="1" customHeight="1">
      <c r="A66" s="203" t="s">
        <v>772</v>
      </c>
      <c r="B66" s="204" t="s">
        <v>2252</v>
      </c>
      <c r="C66" s="205"/>
      <c r="D66" s="206" t="s">
        <v>32</v>
      </c>
      <c r="E66" s="1776" t="s">
        <v>1371</v>
      </c>
      <c r="F66" s="2494"/>
      <c r="G66" s="2494"/>
      <c r="H66" s="2502"/>
      <c r="I66" s="138"/>
      <c r="J66" s="3063"/>
      <c r="K66" s="2504" t="s">
        <v>2253</v>
      </c>
      <c r="L66" s="1752">
        <f ca="1">M49*0.5%</f>
        <v>2115.1550000000002</v>
      </c>
      <c r="M66" s="24">
        <f ca="1">IF(L66&gt;0.5,0.5,ROUND(L66,0))</f>
        <v>0.5</v>
      </c>
      <c r="N66" s="138" t="s">
        <v>2254</v>
      </c>
      <c r="Z66" s="2428"/>
      <c r="AI66" s="2429"/>
    </row>
    <row r="67" spans="1:35" ht="14.25" hidden="1" customHeight="1">
      <c r="A67" s="203" t="s">
        <v>773</v>
      </c>
      <c r="B67" s="204" t="s">
        <v>2255</v>
      </c>
      <c r="C67" s="207">
        <f ca="1">C63-C66</f>
        <v>402887</v>
      </c>
      <c r="D67" s="200" t="s">
        <v>32</v>
      </c>
      <c r="E67" s="201"/>
      <c r="F67" s="2494"/>
      <c r="G67" s="2494"/>
      <c r="H67" s="2502"/>
      <c r="I67" s="138"/>
      <c r="J67" s="3063"/>
      <c r="K67" s="2504" t="s">
        <v>2256</v>
      </c>
      <c r="L67" s="1752">
        <f ca="1">IF(M49&gt;=10000,(8.25+(M49-10000)*0.01%),IF(AND(M49&gt;=8000,M49&lt;10000),(7.85+(M49-8000)*0.02%),IF(AND(M49&gt;=5000,M49&lt;8000),(6.65+(M49-5000)*0.04%),IF(AND(M49&gt;=2000,M49&lt;5000),(4.25+(PM49-2000)*0.08%),IF(AND(M49&gt;=1000,M49&lt;2000),(2.75+(M49-1000)*0.15%),IF(AND(M49&gt;=100,M49&lt;1000),(0.5+(M49-100)*0.25%),IF(AND(M49&gt;0,M49&lt;100),M49*0.5%)))))))</f>
        <v>49.553100000000001</v>
      </c>
      <c r="M67" s="24">
        <f ca="1">ROUND(L67*0.9,1)</f>
        <v>44.6</v>
      </c>
      <c r="Z67" s="2428"/>
      <c r="AI67" s="2429"/>
    </row>
    <row r="68" spans="1:35" ht="14.25" hidden="1" customHeight="1" thickBot="1">
      <c r="A68" s="208" t="s">
        <v>774</v>
      </c>
      <c r="B68" s="209" t="s">
        <v>2257</v>
      </c>
      <c r="C68" s="210">
        <f ca="1">IF(C67&lt;=0,0,ROUND(C67*D68,0))</f>
        <v>22562</v>
      </c>
      <c r="D68" s="211">
        <f>'数据-取费表'!B41</f>
        <v>5.6000000000000001E-2</v>
      </c>
      <c r="E68" s="212"/>
      <c r="F68" s="2494"/>
      <c r="G68" s="2494"/>
      <c r="H68" s="2502"/>
      <c r="I68" s="138"/>
      <c r="J68" s="3063"/>
      <c r="K68" s="2504" t="s">
        <v>2258</v>
      </c>
      <c r="L68" s="1752">
        <f ca="1">IF(M49&gt;10000,M49*0.5%,IF(AND(M49&gt;5000,M49&lt;=10000),M49*1%,IF(AND(M49&gt;1000,M49&lt;=5000),M49*2%,IF(AND(M49&gt;200,M49&lt;=1000),M49*3%,M49*5%))))</f>
        <v>2115.1550000000002</v>
      </c>
      <c r="M68" s="24">
        <f ca="1">ROUND(L68,1)</f>
        <v>2115.1999999999998</v>
      </c>
      <c r="Z68" s="2428"/>
      <c r="AI68" s="2429"/>
    </row>
    <row r="69" spans="1:35" s="2451" customFormat="1" ht="16.5" hidden="1" customHeight="1">
      <c r="A69" s="2505"/>
      <c r="B69" s="2506"/>
      <c r="C69" s="2507"/>
      <c r="D69" s="2508"/>
      <c r="E69" s="2509"/>
      <c r="F69" s="2170"/>
      <c r="G69" s="2170"/>
      <c r="H69" s="2169"/>
      <c r="I69" s="2423"/>
      <c r="J69" s="3063"/>
      <c r="K69" s="2504" t="s">
        <v>2259</v>
      </c>
      <c r="L69" s="2510"/>
      <c r="M69" s="24">
        <f ca="1">ROUND(SUM(M63:M68),0)</f>
        <v>6814</v>
      </c>
      <c r="N69" s="1753">
        <f ca="1">M69/M49</f>
        <v>1.6107566584954765E-2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hidden="1" thickBot="1">
      <c r="A70" s="3107" t="s">
        <v>2260</v>
      </c>
      <c r="B70" s="3108"/>
      <c r="C70" s="3108"/>
      <c r="D70" s="3108"/>
      <c r="E70" s="3108"/>
      <c r="F70" s="3108"/>
      <c r="G70" s="3108"/>
      <c r="H70" s="3108"/>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hidden="1">
      <c r="A71" s="3098" t="s">
        <v>2241</v>
      </c>
      <c r="B71" s="3099"/>
      <c r="C71" s="1804"/>
      <c r="D71" s="1804" t="s">
        <v>2242</v>
      </c>
      <c r="E71" s="213" t="s">
        <v>2243</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hidden="1">
      <c r="A72" s="203" t="s">
        <v>775</v>
      </c>
      <c r="B72" s="204" t="s">
        <v>2261</v>
      </c>
      <c r="C72" s="207">
        <f ca="1">ROUND(D45/(1+'数据-取费表'!C42),0)</f>
        <v>402887</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hidden="1">
      <c r="A73" s="203" t="s">
        <v>772</v>
      </c>
      <c r="B73" s="173" t="s">
        <v>2262</v>
      </c>
      <c r="C73" s="207">
        <f ca="1">C74+C78</f>
        <v>2417</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hidden="1">
      <c r="A74" s="217" t="s">
        <v>770</v>
      </c>
      <c r="B74" s="198" t="s">
        <v>2263</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hidden="1">
      <c r="A75" s="217" t="s">
        <v>776</v>
      </c>
      <c r="B75" s="198" t="s">
        <v>2264</v>
      </c>
      <c r="C75" s="218"/>
      <c r="D75" s="200" t="s">
        <v>32</v>
      </c>
      <c r="E75" s="219" t="s">
        <v>2265</v>
      </c>
      <c r="F75" s="2516" t="s">
        <v>2266</v>
      </c>
      <c r="G75" s="219" t="s">
        <v>2267</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hidden="1" customHeight="1">
      <c r="A76" s="217" t="s">
        <v>777</v>
      </c>
      <c r="B76" s="221" t="s">
        <v>2268</v>
      </c>
      <c r="C76" s="200">
        <f>IF(F75="购房发票",ROUND(C75*H75*D76,0),0)</f>
        <v>0</v>
      </c>
      <c r="D76" s="222">
        <v>0.05</v>
      </c>
      <c r="E76" s="3104" t="s">
        <v>2269</v>
      </c>
      <c r="F76" s="3103"/>
      <c r="G76" s="3103"/>
      <c r="H76" s="3106"/>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hidden="1"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8" t="s">
        <v>2272</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hidden="1" customHeight="1">
      <c r="A78" s="217" t="s">
        <v>771</v>
      </c>
      <c r="B78" s="198" t="s">
        <v>2273</v>
      </c>
      <c r="C78" s="225">
        <f ca="1">ROUND(D45*D78/(1+'数据-取费表'!C42),0)</f>
        <v>2417</v>
      </c>
      <c r="D78" s="226">
        <f>'数据-取费表'!B43</f>
        <v>6.000000000000001E-3</v>
      </c>
      <c r="E78" s="3095" t="s">
        <v>2274</v>
      </c>
      <c r="F78" s="3096"/>
      <c r="G78" s="3096"/>
      <c r="H78" s="3097"/>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hidden="1">
      <c r="A79" s="2520" t="s">
        <v>779</v>
      </c>
      <c r="B79" s="204" t="s">
        <v>2275</v>
      </c>
      <c r="C79" s="207">
        <f ca="1">C72-C73</f>
        <v>400470</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hidden="1">
      <c r="A80" s="2520" t="s">
        <v>780</v>
      </c>
      <c r="B80" s="204" t="s">
        <v>2276</v>
      </c>
      <c r="C80" s="227">
        <f ca="1">IF(C79&lt;=0,0,C79/C73)</f>
        <v>165.6888705006206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hidden="1" thickBot="1">
      <c r="A81" s="2521" t="s">
        <v>781</v>
      </c>
      <c r="B81" s="209" t="s">
        <v>2277</v>
      </c>
      <c r="C81" s="228">
        <f ca="1">ROUND(IF(C79&lt;=0,0,IF(C80&gt;=200%,C79*60%-C73*35%,IF(C80&gt;=100%,C79*50%-C73*15%,IF(C80&gt;=50%,C79*40%-C73*5%,IF(C80&lt;50%,C79*30%,0))))),0)</f>
        <v>239436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hidden="1"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7" t="s">
        <v>2278</v>
      </c>
      <c r="B83" s="3108"/>
      <c r="C83" s="3108"/>
      <c r="D83" s="3108"/>
      <c r="E83" s="3108"/>
      <c r="F83" s="3108"/>
      <c r="G83" s="3108"/>
      <c r="H83" s="3108"/>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8" t="s">
        <v>2241</v>
      </c>
      <c r="B84" s="3099"/>
      <c r="C84" s="1804"/>
      <c r="D84" s="1804" t="s">
        <v>2242</v>
      </c>
      <c r="E84" s="213" t="s">
        <v>2243</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2261</v>
      </c>
      <c r="C85" s="207">
        <f ca="1">ROUND(D45/(1+'数据-取费表'!C42),0)</f>
        <v>402887</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2262</v>
      </c>
      <c r="C86" s="207">
        <f ca="1">IF(H88="仅含出让金",C87+C90+C91+C92+C93+C94,C87+C91+C92+C93+C94)</f>
        <v>359645.44</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2279</v>
      </c>
      <c r="C87" s="225">
        <f>C88+C89</f>
        <v>75716.7</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2280</v>
      </c>
      <c r="C88" s="236">
        <f>ROUND(74664.47/面积汇总!D147*面积汇总!C146,2)</f>
        <v>73475.7</v>
      </c>
      <c r="D88" s="226"/>
      <c r="E88" s="237" t="s">
        <v>2281</v>
      </c>
      <c r="F88" s="1800"/>
      <c r="G88" s="238" t="s">
        <v>2282</v>
      </c>
      <c r="H88" s="2522" t="s">
        <v>3060</v>
      </c>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2270</v>
      </c>
      <c r="C89" s="225">
        <f>ROUND(C88*D89,0)</f>
        <v>2241</v>
      </c>
      <c r="D89" s="226">
        <f>'数据-取费表'!B48+'数据-取费表'!B49</f>
        <v>3.0499999999999999E-2</v>
      </c>
      <c r="E89" s="237" t="s">
        <v>2283</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2284</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2285</v>
      </c>
      <c r="B91" s="198" t="s">
        <v>2286</v>
      </c>
      <c r="C91" s="225">
        <f>IF(H91="——",成本法!C33,I91)</f>
        <v>199074.74</v>
      </c>
      <c r="D91" s="226"/>
      <c r="E91" s="3095" t="s">
        <v>2287</v>
      </c>
      <c r="F91" s="3096"/>
      <c r="G91" s="3096"/>
      <c r="H91" s="2523" t="s">
        <v>2288</v>
      </c>
      <c r="I91" s="2524">
        <f>ROUND((9703.04+9138.33+179877.32+3576.91)/面积汇总!D147*面积汇总!C146,2)</f>
        <v>199074.74</v>
      </c>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2289</v>
      </c>
      <c r="B92" s="198" t="s">
        <v>2290</v>
      </c>
      <c r="C92" s="225">
        <f>ROUND((C87+C90+C91)*D92,0)</f>
        <v>27479</v>
      </c>
      <c r="D92" s="226">
        <v>0.1</v>
      </c>
      <c r="E92" s="3095" t="s">
        <v>2291</v>
      </c>
      <c r="F92" s="3096"/>
      <c r="G92" s="3096"/>
      <c r="H92" s="3097"/>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2292</v>
      </c>
      <c r="B93" s="198" t="s">
        <v>2273</v>
      </c>
      <c r="C93" s="225">
        <f ca="1">ROUND(D45*D93/(1+'数据-取费表'!C42),0)</f>
        <v>2417</v>
      </c>
      <c r="D93" s="226">
        <f>'数据-取费表'!B43</f>
        <v>6.000000000000001E-3</v>
      </c>
      <c r="E93" s="3095" t="s">
        <v>2274</v>
      </c>
      <c r="F93" s="3096"/>
      <c r="G93" s="3096"/>
      <c r="H93" s="3097"/>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2293</v>
      </c>
      <c r="B94" s="198" t="s">
        <v>2294</v>
      </c>
      <c r="C94" s="236">
        <f>ROUND((C87+C90+C91)*D94,0)</f>
        <v>54958</v>
      </c>
      <c r="D94" s="226">
        <v>0.2</v>
      </c>
      <c r="E94" s="3143" t="s">
        <v>2295</v>
      </c>
      <c r="F94" s="3144"/>
      <c r="G94" s="3144"/>
      <c r="H94" s="314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2275</v>
      </c>
      <c r="C95" s="207">
        <f ca="1">ROUND(C85-C86,0)</f>
        <v>43242</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2276</v>
      </c>
      <c r="C96" s="227">
        <f ca="1">IF(C95&lt;=0,0,C95/C86)</f>
        <v>0.12023508486580561</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2277</v>
      </c>
      <c r="C97" s="228">
        <f ca="1">ROUND(IF(C95&lt;=0,0,IF(C96&gt;=200%,C95*60%-C86*35%,IF(C96&gt;=100%,C95*50%-C86*15%,IF(C96&gt;=50%,C95*40%-C86*5%,IF(C96&lt;50%,C95*30%,0))))),0)</f>
        <v>12973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hidden="1" customHeight="1">
      <c r="A98" s="2501"/>
      <c r="B98" s="2423"/>
      <c r="C98" s="2423"/>
      <c r="D98" s="2423"/>
      <c r="E98" s="2170"/>
      <c r="F98" s="2170"/>
      <c r="G98" s="2170"/>
      <c r="H98" s="2169"/>
      <c r="I98" s="138"/>
    </row>
    <row r="99" spans="1:35" ht="21.75" customHeight="1" thickBot="1">
      <c r="A99" s="2479" t="s">
        <v>2296</v>
      </c>
      <c r="B99" s="2423"/>
      <c r="C99" s="2423"/>
      <c r="D99" s="2423"/>
      <c r="E99" s="2170"/>
      <c r="F99" s="2170"/>
      <c r="G99" s="2170"/>
      <c r="H99" s="2169"/>
      <c r="I99" s="138"/>
    </row>
    <row r="100" spans="1:35" ht="18.75" customHeight="1">
      <c r="A100" s="3047" t="s">
        <v>2297</v>
      </c>
      <c r="B100" s="3048"/>
      <c r="C100" s="3048"/>
      <c r="D100" s="3079"/>
      <c r="E100" s="3048" t="s">
        <v>2298</v>
      </c>
      <c r="F100" s="3048"/>
      <c r="G100" s="3048"/>
      <c r="H100" s="3079"/>
      <c r="I100" s="138"/>
    </row>
    <row r="101" spans="1:35" ht="18.75" customHeight="1">
      <c r="A101" s="3087" t="s">
        <v>2299</v>
      </c>
      <c r="B101" s="3088"/>
      <c r="C101" s="736" t="str">
        <f>C4</f>
        <v>土地比较法-住宅、综合</v>
      </c>
      <c r="D101" s="737" t="str">
        <f>D4</f>
        <v>土地比较法-住宅、综合</v>
      </c>
      <c r="E101" s="3059" t="s">
        <v>2300</v>
      </c>
      <c r="F101" s="3060"/>
      <c r="G101" s="2525" t="s">
        <v>2301</v>
      </c>
      <c r="H101" s="1048">
        <f ca="1">H118</f>
        <v>423031</v>
      </c>
      <c r="I101" s="138"/>
    </row>
    <row r="102" spans="1:35" ht="18.75" customHeight="1">
      <c r="A102" s="3089" t="s">
        <v>2302</v>
      </c>
      <c r="B102" s="2525" t="s">
        <v>2301</v>
      </c>
      <c r="C102" s="736">
        <f ca="1">C19</f>
        <v>423031</v>
      </c>
      <c r="D102" s="737">
        <f ca="1">D19</f>
        <v>423031</v>
      </c>
      <c r="E102" s="3059"/>
      <c r="F102" s="3060"/>
      <c r="G102" s="2525" t="s">
        <v>2303</v>
      </c>
      <c r="H102" s="371">
        <f ca="1">I118</f>
        <v>423031</v>
      </c>
      <c r="I102" s="138"/>
    </row>
    <row r="103" spans="1:35" ht="42.75" customHeight="1">
      <c r="A103" s="3089"/>
      <c r="B103" s="2525" t="s">
        <v>2303</v>
      </c>
      <c r="C103" s="738">
        <f ca="1">C20</f>
        <v>423031</v>
      </c>
      <c r="D103" s="739">
        <f ca="1">D20</f>
        <v>423031</v>
      </c>
      <c r="E103" s="3053" t="s">
        <v>2304</v>
      </c>
      <c r="F103" s="3054"/>
      <c r="G103" s="2526" t="s">
        <v>2305</v>
      </c>
      <c r="H103" s="1048">
        <f>IF(D36="正常操作",H104+H105+H106,H105+H106)</f>
        <v>0</v>
      </c>
      <c r="I103" s="138"/>
    </row>
    <row r="104" spans="1:35" ht="18.75" customHeight="1">
      <c r="A104" s="3089" t="s">
        <v>2306</v>
      </c>
      <c r="B104" s="2527" t="s">
        <v>2301</v>
      </c>
      <c r="C104" s="740">
        <f ca="1">H118</f>
        <v>423031</v>
      </c>
      <c r="D104" s="741"/>
      <c r="E104" s="2271" t="s">
        <v>2307</v>
      </c>
      <c r="F104" s="2262"/>
      <c r="G104" s="2526" t="s">
        <v>2305</v>
      </c>
      <c r="H104" s="1049">
        <f>IF(D36="同一抵押权人同一抵押物续贷",C36&amp;"（未扣减，详见特别提示）",C36)</f>
        <v>0</v>
      </c>
      <c r="I104" s="138"/>
    </row>
    <row r="105" spans="1:35" ht="18.75" customHeight="1" thickBot="1">
      <c r="A105" s="3101"/>
      <c r="B105" s="2528" t="s">
        <v>2303</v>
      </c>
      <c r="C105" s="742">
        <f ca="1">I118</f>
        <v>423031</v>
      </c>
      <c r="D105" s="743"/>
      <c r="E105" s="2271" t="s">
        <v>2308</v>
      </c>
      <c r="F105" s="2262"/>
      <c r="G105" s="2526" t="s">
        <v>2305</v>
      </c>
      <c r="H105" s="1049">
        <f>C37</f>
        <v>0</v>
      </c>
      <c r="I105" s="138"/>
    </row>
    <row r="106" spans="1:35" ht="18.75" customHeight="1">
      <c r="A106" s="2423" t="s">
        <v>2309</v>
      </c>
      <c r="B106" s="2423"/>
      <c r="C106" s="2423"/>
      <c r="D106" s="2423"/>
      <c r="E106" s="2529" t="s">
        <v>2310</v>
      </c>
      <c r="F106" s="2262"/>
      <c r="G106" s="2526" t="s">
        <v>2305</v>
      </c>
      <c r="H106" s="1049">
        <f>C38</f>
        <v>0</v>
      </c>
      <c r="I106" s="138"/>
    </row>
    <row r="107" spans="1:35" ht="18.75" customHeight="1">
      <c r="A107" s="138"/>
      <c r="B107" s="138"/>
      <c r="C107" s="138"/>
      <c r="D107" s="138"/>
      <c r="E107" s="3090" t="str">
        <f>IF(项目基本情况!E8="已注销","——","3.房地产抵押价值")</f>
        <v>3.房地产抵押价值</v>
      </c>
      <c r="F107" s="3060"/>
      <c r="G107" s="2525" t="s">
        <v>2301</v>
      </c>
      <c r="H107" s="1048">
        <f ca="1">IF(E107="——","——",H101-H103)</f>
        <v>423031</v>
      </c>
      <c r="I107" s="138"/>
    </row>
    <row r="108" spans="1:35" ht="18.75" customHeight="1">
      <c r="A108" s="138"/>
      <c r="B108" s="138"/>
      <c r="C108" s="138"/>
      <c r="D108" s="138"/>
      <c r="E108" s="3090"/>
      <c r="F108" s="3060"/>
      <c r="G108" s="2525" t="s">
        <v>2303</v>
      </c>
      <c r="H108" s="371">
        <f ca="1">ROUND(H107*10000/'数据-汇总表'!E3,0)</f>
        <v>423031</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5" t="s">
        <v>2301</v>
      </c>
      <c r="H109" s="348" t="str">
        <f>IF(E109="——","——",H101-H105-H106)</f>
        <v>——</v>
      </c>
      <c r="I109" s="138"/>
    </row>
    <row r="110" spans="1:35" ht="18.75" customHeight="1">
      <c r="A110" s="138"/>
      <c r="B110" s="138"/>
      <c r="C110" s="138"/>
      <c r="D110" s="138"/>
      <c r="E110" s="3090"/>
      <c r="F110" s="3060"/>
      <c r="G110" s="2525" t="s">
        <v>2303</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4.抵押净值</v>
      </c>
      <c r="F111" s="3092"/>
      <c r="G111" s="2525" t="s">
        <v>2301</v>
      </c>
      <c r="H111" s="1048">
        <f ca="1">IF(E111="——","——",N59)</f>
        <v>387284</v>
      </c>
      <c r="I111" s="138"/>
    </row>
    <row r="112" spans="1:35" ht="18.75" customHeight="1" thickBot="1">
      <c r="A112" s="138"/>
      <c r="B112" s="138"/>
      <c r="C112" s="138"/>
      <c r="D112" s="138"/>
      <c r="E112" s="3093"/>
      <c r="F112" s="3094"/>
      <c r="G112" s="2530" t="s">
        <v>2303</v>
      </c>
      <c r="H112" s="790">
        <f ca="1">IF(E111="——","——",N61)</f>
        <v>387284</v>
      </c>
      <c r="I112" s="138"/>
    </row>
    <row r="113" spans="1:11" ht="18.75" customHeight="1">
      <c r="A113" s="138"/>
      <c r="B113" s="138"/>
      <c r="C113" s="138"/>
      <c r="D113" s="138"/>
      <c r="E113" s="3102" t="s">
        <v>2309</v>
      </c>
      <c r="F113" s="3102"/>
      <c r="G113" s="3102"/>
      <c r="H113" s="3102"/>
      <c r="I113" s="138"/>
    </row>
    <row r="114" spans="1:11" ht="3.75" customHeight="1">
      <c r="A114" s="2423"/>
      <c r="B114" s="2423"/>
      <c r="C114" s="2423"/>
      <c r="D114" s="2423"/>
      <c r="E114" s="2501"/>
      <c r="F114" s="2501"/>
      <c r="G114" s="2501"/>
      <c r="H114" s="2501"/>
      <c r="I114" s="2423"/>
    </row>
    <row r="115" spans="1:11" ht="18.75" customHeight="1">
      <c r="A115" s="3115" t="s">
        <v>2311</v>
      </c>
      <c r="B115" s="3116"/>
      <c r="C115" s="3116"/>
      <c r="D115" s="3116"/>
      <c r="E115" s="3116"/>
      <c r="F115" s="3116"/>
      <c r="G115" s="3116"/>
      <c r="H115" s="3116"/>
      <c r="I115" s="3117"/>
    </row>
    <row r="116" spans="1:11" ht="27" customHeight="1">
      <c r="A116" s="3026" t="s">
        <v>2312</v>
      </c>
      <c r="B116" s="3069" t="s">
        <v>2313</v>
      </c>
      <c r="C116" s="3069" t="s">
        <v>2314</v>
      </c>
      <c r="D116" s="3075" t="s">
        <v>2315</v>
      </c>
      <c r="E116" s="3076"/>
      <c r="F116" s="3111" t="s">
        <v>2316</v>
      </c>
      <c r="G116" s="3111"/>
      <c r="H116" s="3026" t="s">
        <v>2317</v>
      </c>
      <c r="I116" s="3026"/>
    </row>
    <row r="117" spans="1:11" ht="18.75" customHeight="1">
      <c r="A117" s="3026"/>
      <c r="B117" s="3070"/>
      <c r="C117" s="3070"/>
      <c r="D117" s="1798" t="s">
        <v>2318</v>
      </c>
      <c r="E117" s="1798" t="s">
        <v>2319</v>
      </c>
      <c r="F117" s="1798" t="s">
        <v>2318</v>
      </c>
      <c r="G117" s="1798" t="s">
        <v>2320</v>
      </c>
      <c r="H117" s="1798" t="s">
        <v>2318</v>
      </c>
      <c r="I117" s="1798" t="s">
        <v>2320</v>
      </c>
    </row>
    <row r="118" spans="1:11" ht="24.75" customHeight="1">
      <c r="A118" s="2531" t="str">
        <f>项目基本情况!S2</f>
        <v>出让国有建设用地使用权及在建建筑物房地产</v>
      </c>
      <c r="B118" s="1798">
        <f>M18</f>
        <v>10000</v>
      </c>
      <c r="C118" s="1798">
        <f>M19</f>
        <v>10000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423031</v>
      </c>
      <c r="I118" s="1798">
        <f ca="1">ROUND(IF(D32="楼面单价",C32,H118*10000/B118),0)</f>
        <v>423031</v>
      </c>
    </row>
    <row r="119" spans="1:11" ht="18.75" customHeight="1">
      <c r="A119" s="3026" t="s">
        <v>2321</v>
      </c>
      <c r="B119" s="3026"/>
      <c r="C119" s="3026"/>
      <c r="D119" s="3071" t="e">
        <f ca="1">NUMBERSTRING(INT(D118*10000),2)&amp;"元整"</f>
        <v>#REF!</v>
      </c>
      <c r="E119" s="3072"/>
      <c r="F119" s="3071" t="e">
        <f ca="1">NUMBERSTRING(INT(F118*10000),2)&amp;"元整"</f>
        <v>#REF!</v>
      </c>
      <c r="G119" s="3072"/>
      <c r="H119" s="3071" t="str">
        <f ca="1">NUMBERSTRING(INT(H118*10000),2)&amp;"元整"</f>
        <v>肆拾贰亿叁仟零叁拾壹万元整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8" t="str">
        <f>IF(D120=0,"故，本次评估不存在"&amp;A120,"故，本次评估"&amp;A120&amp;"为人民币"&amp;D120&amp;"万元整。")</f>
        <v>故，本次评估不存在估价师知悉的法定优先受偿款</v>
      </c>
    </row>
    <row r="121" spans="1:11" ht="18.75" customHeight="1">
      <c r="A121" s="3112" t="s">
        <v>2321</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423031</v>
      </c>
      <c r="E122" s="3067"/>
      <c r="F122" s="3067"/>
      <c r="G122" s="3067"/>
      <c r="H122" s="3067"/>
      <c r="I122" s="3068"/>
    </row>
    <row r="123" spans="1:11" ht="18.75" customHeight="1">
      <c r="A123" s="3026" t="s">
        <v>2321</v>
      </c>
      <c r="B123" s="3026"/>
      <c r="C123" s="3026"/>
      <c r="D123" s="3071" t="str">
        <f ca="1">NUMBERSTRING(INT(D122*10000),2)&amp;"元整"</f>
        <v>肆拾贰亿叁仟零叁拾壹万元整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2321</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抵押净值</v>
      </c>
      <c r="B126" s="3077"/>
      <c r="C126" s="3077"/>
      <c r="D126" s="3066">
        <f ca="1">H111</f>
        <v>387284</v>
      </c>
      <c r="E126" s="3067"/>
      <c r="F126" s="3067"/>
      <c r="G126" s="3067"/>
      <c r="H126" s="3067"/>
      <c r="I126" s="3068"/>
    </row>
    <row r="127" spans="1:11" ht="18.75" customHeight="1">
      <c r="A127" s="3026" t="s">
        <v>2321</v>
      </c>
      <c r="B127" s="3026"/>
      <c r="C127" s="3026"/>
      <c r="D127" s="3071" t="str">
        <f ca="1">NUMBERSTRING(INT(D126*10000),2)&amp;"元整"</f>
        <v>叁拾捌亿柒仟贰佰捌拾肆万元整</v>
      </c>
      <c r="E127" s="3073"/>
      <c r="F127" s="3073"/>
      <c r="G127" s="3073"/>
      <c r="H127" s="3073"/>
      <c r="I127" s="3072"/>
    </row>
    <row r="128" spans="1:11" ht="21.75" customHeight="1">
      <c r="A128" s="3074" t="s">
        <v>2322</v>
      </c>
      <c r="B128" s="3074"/>
      <c r="C128" s="3074"/>
      <c r="D128" s="3074"/>
      <c r="E128" s="3074"/>
      <c r="F128" s="3074"/>
      <c r="G128" s="3074"/>
      <c r="H128" s="3074"/>
      <c r="I128" s="3074"/>
    </row>
    <row r="129" spans="1:35" ht="21.75" customHeight="1">
      <c r="A129" s="2532" t="s">
        <v>2323</v>
      </c>
      <c r="B129" s="2533"/>
      <c r="C129" s="2534" t="s">
        <v>2324</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2325</v>
      </c>
      <c r="G135" s="2549"/>
      <c r="H135" s="2549"/>
      <c r="I135" s="2550" t="s">
        <v>2326</v>
      </c>
    </row>
    <row r="136" spans="1:35" ht="21.75" customHeight="1">
      <c r="A136" s="795"/>
      <c r="B136" s="2551"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2328</v>
      </c>
    </row>
    <row r="139" spans="1:35" ht="21.75" customHeight="1">
      <c r="A139" s="795"/>
      <c r="B139" s="2551" t="s">
        <v>2329</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2328</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出让国有建设用地使用权及在建建筑物房地产抵押价值预评估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G49" sqref="G4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 ca="1">F66</f>
        <v>423031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f ca="1">ROUND(IF(D3="",B2*10000/'数据-汇总表'!E3,B2*10000/D3),0)</f>
        <v>423031</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164" t="s">
        <v>2650</v>
      </c>
      <c r="D4" s="3165"/>
      <c r="E4" s="3166" t="s">
        <v>2651</v>
      </c>
      <c r="F4" s="3167"/>
      <c r="G4" s="3164" t="s">
        <v>2652</v>
      </c>
      <c r="H4" s="3165"/>
      <c r="I4" s="3164" t="s">
        <v>2653</v>
      </c>
      <c r="J4" s="3165"/>
      <c r="K4" s="610" t="s">
        <v>2654</v>
      </c>
      <c r="L4" s="1133"/>
      <c r="M4" s="1134"/>
      <c r="N4" s="1134"/>
      <c r="O4" s="1134"/>
      <c r="P4" s="3168" t="s">
        <v>2655</v>
      </c>
      <c r="Q4" s="3169"/>
      <c r="R4" s="3151" t="s">
        <v>2651</v>
      </c>
      <c r="S4" s="3152"/>
      <c r="T4" s="3151" t="s">
        <v>2652</v>
      </c>
      <c r="U4" s="3152"/>
      <c r="V4" s="3176" t="s">
        <v>2653</v>
      </c>
      <c r="W4" s="3176"/>
      <c r="X4" s="1816"/>
      <c r="Y4" s="3151" t="s">
        <v>2655</v>
      </c>
      <c r="Z4" s="3152"/>
      <c r="AA4" s="3146" t="s">
        <v>2651</v>
      </c>
      <c r="AB4" s="3147" t="s">
        <v>2652</v>
      </c>
      <c r="AC4" s="3146" t="s">
        <v>2653</v>
      </c>
    </row>
    <row r="5" spans="1:30" ht="15">
      <c r="A5" s="404"/>
      <c r="B5" s="405"/>
      <c r="C5" s="3157" t="s">
        <v>2546</v>
      </c>
      <c r="D5" s="3158"/>
      <c r="E5" s="3155" t="s">
        <v>2547</v>
      </c>
      <c r="F5" s="3156"/>
      <c r="G5" s="3157" t="s">
        <v>2548</v>
      </c>
      <c r="H5" s="3158"/>
      <c r="I5" s="3157" t="s">
        <v>2549</v>
      </c>
      <c r="J5" s="3158"/>
      <c r="K5" s="610"/>
      <c r="L5" s="1133"/>
      <c r="M5" s="1134"/>
      <c r="N5" s="1134"/>
      <c r="O5" s="1134"/>
      <c r="P5" s="3170"/>
      <c r="Q5" s="3171"/>
      <c r="R5" s="3153"/>
      <c r="S5" s="3154"/>
      <c r="T5" s="3153"/>
      <c r="U5" s="3154"/>
      <c r="V5" s="3176"/>
      <c r="W5" s="3176"/>
      <c r="X5" s="1816"/>
      <c r="Y5" s="3153"/>
      <c r="Z5" s="3154"/>
      <c r="AA5" s="3147"/>
      <c r="AB5" s="3147"/>
      <c r="AC5" s="3147"/>
    </row>
    <row r="6" spans="1:30" ht="15.75" thickBot="1">
      <c r="A6" s="406"/>
      <c r="B6" s="407"/>
      <c r="C6" s="3159" t="s">
        <v>2550</v>
      </c>
      <c r="D6" s="3160"/>
      <c r="E6" s="3161" t="s">
        <v>2550</v>
      </c>
      <c r="F6" s="3162"/>
      <c r="G6" s="3159" t="s">
        <v>2550</v>
      </c>
      <c r="H6" s="3160"/>
      <c r="I6" s="3159" t="s">
        <v>2550</v>
      </c>
      <c r="J6" s="3160"/>
      <c r="K6" s="610" t="s">
        <v>2551</v>
      </c>
      <c r="L6" s="1133"/>
      <c r="M6" s="1134"/>
      <c r="N6" s="1134"/>
      <c r="O6" s="1134"/>
      <c r="P6" s="3172"/>
      <c r="Q6" s="3173"/>
      <c r="R6" s="3153"/>
      <c r="S6" s="3154"/>
      <c r="T6" s="3174"/>
      <c r="U6" s="3175"/>
      <c r="V6" s="3176"/>
      <c r="W6" s="3176"/>
      <c r="X6" s="1816"/>
      <c r="Y6" s="3174"/>
      <c r="Z6" s="3175"/>
      <c r="AA6" s="3148"/>
      <c r="AB6" s="3148"/>
      <c r="AC6" s="3148"/>
    </row>
    <row r="7" spans="1:30" s="117" customFormat="1" ht="15.75" thickBot="1">
      <c r="A7" s="408" t="s">
        <v>2552</v>
      </c>
      <c r="B7" s="409"/>
      <c r="C7" s="410">
        <f>'数据-取费表'!B2</f>
        <v>43231</v>
      </c>
      <c r="D7" s="411">
        <v>100</v>
      </c>
      <c r="E7" s="412">
        <f>C7</f>
        <v>43231</v>
      </c>
      <c r="F7" s="413">
        <f>SUMIF(70:70,YEAR(E7)&amp;"-"&amp;INT((MONTH(E7)+2)/3),71:71)</f>
        <v>100</v>
      </c>
      <c r="G7" s="2703">
        <f>C7</f>
        <v>43231</v>
      </c>
      <c r="H7" s="411">
        <f>SUMIF(70:70,YEAR(G7)&amp;"-"&amp;INT((MONTH(G7)+2)/3),71:71)</f>
        <v>100</v>
      </c>
      <c r="I7" s="2703">
        <f>C7</f>
        <v>43231</v>
      </c>
      <c r="J7" s="411">
        <f>SUMIF(70:70,YEAR(I7)&amp;"-"&amp;INT((MONTH(I7)+2)/3),71:71)</f>
        <v>100</v>
      </c>
      <c r="K7" s="611"/>
      <c r="L7" s="1135"/>
      <c r="M7" s="1136"/>
      <c r="N7" s="1136"/>
      <c r="O7" s="1136"/>
      <c r="P7" s="3149" t="s">
        <v>2553</v>
      </c>
      <c r="Q7" s="3177"/>
      <c r="R7" s="770" t="s">
        <v>17</v>
      </c>
      <c r="S7" s="771">
        <f t="shared" ref="S7:S15" si="0">F7</f>
        <v>100</v>
      </c>
      <c r="T7" s="770" t="s">
        <v>17</v>
      </c>
      <c r="U7" s="771">
        <f t="shared" ref="U7:U15" si="1">H7</f>
        <v>100</v>
      </c>
      <c r="V7" s="770" t="s">
        <v>17</v>
      </c>
      <c r="W7" s="771">
        <f t="shared" ref="W7:W15" si="2">J7</f>
        <v>100</v>
      </c>
      <c r="X7" s="772"/>
      <c r="Y7" s="3149" t="s">
        <v>2553</v>
      </c>
      <c r="Z7" s="3150"/>
      <c r="AA7" s="773">
        <f>D7/F7</f>
        <v>1</v>
      </c>
      <c r="AB7" s="773">
        <f>D7/H7</f>
        <v>1</v>
      </c>
      <c r="AC7" s="773">
        <f>D7/J7</f>
        <v>1</v>
      </c>
    </row>
    <row r="8" spans="1:30" s="117" customFormat="1" ht="15.75" thickBot="1">
      <c r="A8" s="408" t="s">
        <v>2554</v>
      </c>
      <c r="B8" s="409"/>
      <c r="C8" s="414" t="s">
        <v>2555</v>
      </c>
      <c r="D8" s="411">
        <v>100</v>
      </c>
      <c r="E8" s="414" t="s">
        <v>2555</v>
      </c>
      <c r="F8" s="413">
        <f>SUMIF(73:73,E8,74:74)-SUMIF(73:73,C8,74:74)+100</f>
        <v>100</v>
      </c>
      <c r="G8" s="414" t="s">
        <v>2555</v>
      </c>
      <c r="H8" s="411">
        <f>SUMIF(73:73,G8,74:74)-SUMIF(73:73,C8,74:74)+100</f>
        <v>100</v>
      </c>
      <c r="I8" s="414" t="s">
        <v>2555</v>
      </c>
      <c r="J8" s="411">
        <f>SUMIF(73:73,I8,74:74)-SUMIF(73:73,C8,74:74)+100</f>
        <v>100</v>
      </c>
      <c r="K8" s="611"/>
      <c r="L8" s="1135"/>
      <c r="M8" s="1136"/>
      <c r="N8" s="1136"/>
      <c r="O8" s="1136"/>
      <c r="P8" s="3149" t="s">
        <v>2556</v>
      </c>
      <c r="Q8" s="3150"/>
      <c r="R8" s="770" t="s">
        <v>17</v>
      </c>
      <c r="S8" s="771">
        <f t="shared" si="0"/>
        <v>100</v>
      </c>
      <c r="T8" s="770" t="s">
        <v>17</v>
      </c>
      <c r="U8" s="771">
        <f t="shared" si="1"/>
        <v>100</v>
      </c>
      <c r="V8" s="770" t="s">
        <v>17</v>
      </c>
      <c r="W8" s="771">
        <f t="shared" si="2"/>
        <v>100</v>
      </c>
      <c r="X8" s="772"/>
      <c r="Y8" s="3149" t="s">
        <v>2556</v>
      </c>
      <c r="Z8" s="3150"/>
      <c r="AA8" s="773">
        <f t="shared" ref="AA8:AA45" si="3">D8/F8</f>
        <v>1</v>
      </c>
      <c r="AB8" s="773">
        <f t="shared" ref="AB8:AB45" si="4">D8/H8</f>
        <v>1</v>
      </c>
      <c r="AC8" s="773">
        <f t="shared" ref="AC8:AC45" si="5">D8/J8</f>
        <v>1</v>
      </c>
    </row>
    <row r="9" spans="1:30" s="117" customFormat="1">
      <c r="A9" s="415" t="s">
        <v>2557</v>
      </c>
      <c r="B9" s="71" t="s">
        <v>2558</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63" t="s">
        <v>2559</v>
      </c>
      <c r="Q9" s="1798"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100</v>
      </c>
      <c r="G10" s="463"/>
      <c r="H10" s="136">
        <f>ROUND(100/'数据-取费表'!G16,0)</f>
        <v>100</v>
      </c>
      <c r="I10" s="463"/>
      <c r="J10" s="136">
        <f>ROUND(100/'数据-取费表'!G16,0)</f>
        <v>100</v>
      </c>
      <c r="K10" s="672"/>
      <c r="L10" s="1138"/>
      <c r="M10" s="1139"/>
      <c r="N10" s="1139"/>
      <c r="O10" s="1140"/>
      <c r="P10" s="316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30" ht="15">
      <c r="A11" s="428"/>
      <c r="B11" s="422" t="s">
        <v>2562</v>
      </c>
      <c r="C11" s="429"/>
      <c r="D11" s="136">
        <v>100</v>
      </c>
      <c r="E11" s="429"/>
      <c r="F11" s="136">
        <f>LOOKUP(E11,80:80,81:81)-LOOKUP(C11,80:80,81:81)+100</f>
        <v>100</v>
      </c>
      <c r="G11" s="430"/>
      <c r="H11" s="136">
        <f>LOOKUP(G11,80:80,81:81)-LOOKUP(C11,80:80,81:81)+100</f>
        <v>100</v>
      </c>
      <c r="I11" s="429"/>
      <c r="J11" s="136">
        <f>LOOKUP(I11,80:80,81:81)-LOOKUP(C11,80:80,81:81)+100</f>
        <v>100</v>
      </c>
      <c r="K11" s="673"/>
      <c r="L11" s="1141"/>
      <c r="M11" s="1134"/>
      <c r="N11" s="1134"/>
      <c r="O11" s="1142"/>
      <c r="P11" s="3163"/>
      <c r="Q11" s="1798" t="str">
        <f t="shared" si="6"/>
        <v>容积率</v>
      </c>
      <c r="R11" s="770" t="s">
        <v>17</v>
      </c>
      <c r="S11" s="771">
        <f t="shared" si="0"/>
        <v>100</v>
      </c>
      <c r="T11" s="770" t="s">
        <v>17</v>
      </c>
      <c r="U11" s="771">
        <f t="shared" si="1"/>
        <v>100</v>
      </c>
      <c r="V11" s="770" t="s">
        <v>17</v>
      </c>
      <c r="W11" s="771">
        <f t="shared" si="2"/>
        <v>100</v>
      </c>
      <c r="X11" s="772"/>
      <c r="Y11" s="3026"/>
      <c r="Z11" s="55" t="str">
        <f t="shared" si="7"/>
        <v>容积率</v>
      </c>
      <c r="AA11" s="773">
        <f t="shared" si="3"/>
        <v>1</v>
      </c>
      <c r="AB11" s="773">
        <f t="shared" si="4"/>
        <v>1</v>
      </c>
      <c r="AC11" s="773">
        <f t="shared" si="5"/>
        <v>1</v>
      </c>
    </row>
    <row r="12" spans="1:30" s="117" customFormat="1" ht="15">
      <c r="A12" s="431"/>
      <c r="B12" s="2607"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3"/>
      <c r="Q12" s="1798"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3"/>
      <c r="Q14" s="1798">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2563</v>
      </c>
      <c r="B15" s="69" t="s">
        <v>2090</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8" t="s">
        <v>2564</v>
      </c>
      <c r="Q15" s="1813" t="str">
        <f t="shared" si="6"/>
        <v>居住社区成熟度</v>
      </c>
      <c r="R15" s="774" t="s">
        <v>17</v>
      </c>
      <c r="S15" s="775">
        <f t="shared" si="0"/>
        <v>100</v>
      </c>
      <c r="T15" s="774" t="s">
        <v>17</v>
      </c>
      <c r="U15" s="775">
        <f t="shared" si="1"/>
        <v>100</v>
      </c>
      <c r="V15" s="774" t="s">
        <v>17</v>
      </c>
      <c r="W15" s="775">
        <f t="shared" si="2"/>
        <v>100</v>
      </c>
      <c r="X15" s="1816"/>
      <c r="Y15" s="3178" t="s">
        <v>2564</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79"/>
      <c r="Q16" s="1813"/>
      <c r="R16" s="774"/>
      <c r="S16" s="775"/>
      <c r="T16" s="774"/>
      <c r="U16" s="775"/>
      <c r="V16" s="774"/>
      <c r="W16" s="775"/>
      <c r="X16" s="1816"/>
      <c r="Y16" s="3179"/>
      <c r="Z16" s="1817"/>
      <c r="AA16" s="1814">
        <v>1</v>
      </c>
      <c r="AB16" s="1814">
        <v>1</v>
      </c>
      <c r="AC16" s="1814">
        <v>1</v>
      </c>
    </row>
    <row r="17" spans="1:29" ht="71.25">
      <c r="A17" s="428"/>
      <c r="B17" s="451" t="s">
        <v>2657</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9"/>
      <c r="Q17" s="1813" t="str">
        <f>B17</f>
        <v>商业繁华度</v>
      </c>
      <c r="R17" s="774" t="s">
        <v>17</v>
      </c>
      <c r="S17" s="775">
        <f>F17</f>
        <v>100</v>
      </c>
      <c r="T17" s="774" t="s">
        <v>17</v>
      </c>
      <c r="U17" s="775">
        <f>H17</f>
        <v>100</v>
      </c>
      <c r="V17" s="774" t="s">
        <v>17</v>
      </c>
      <c r="W17" s="775">
        <f>J17</f>
        <v>100</v>
      </c>
      <c r="X17" s="1816"/>
      <c r="Y17" s="3179"/>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79"/>
      <c r="Q18" s="1813"/>
      <c r="R18" s="774"/>
      <c r="S18" s="775"/>
      <c r="T18" s="774"/>
      <c r="U18" s="775"/>
      <c r="V18" s="774"/>
      <c r="W18" s="775"/>
      <c r="X18" s="1816"/>
      <c r="Y18" s="3179"/>
      <c r="Z18" s="1817"/>
      <c r="AA18" s="1814">
        <v>1</v>
      </c>
      <c r="AB18" s="1814">
        <v>1</v>
      </c>
      <c r="AC18" s="1814">
        <v>1</v>
      </c>
    </row>
    <row r="19" spans="1:29" ht="71.25">
      <c r="A19" s="428"/>
      <c r="B19" s="451" t="s">
        <v>2691</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9"/>
      <c r="Q19" s="1813" t="str">
        <f>B19</f>
        <v>办公集聚程度</v>
      </c>
      <c r="R19" s="774" t="s">
        <v>17</v>
      </c>
      <c r="S19" s="775">
        <f>F19</f>
        <v>100</v>
      </c>
      <c r="T19" s="774" t="s">
        <v>17</v>
      </c>
      <c r="U19" s="775">
        <f>H19</f>
        <v>100</v>
      </c>
      <c r="V19" s="774" t="s">
        <v>17</v>
      </c>
      <c r="W19" s="775">
        <f>J19</f>
        <v>100</v>
      </c>
      <c r="X19" s="1816"/>
      <c r="Y19" s="3179"/>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79"/>
      <c r="Q20" s="1813"/>
      <c r="R20" s="774"/>
      <c r="S20" s="775"/>
      <c r="T20" s="774"/>
      <c r="U20" s="775"/>
      <c r="V20" s="774"/>
      <c r="W20" s="775"/>
      <c r="X20" s="1816"/>
      <c r="Y20" s="3179"/>
      <c r="Z20" s="1817"/>
      <c r="AA20" s="1814">
        <v>1</v>
      </c>
      <c r="AB20" s="1814">
        <v>1</v>
      </c>
      <c r="AC20" s="1814">
        <v>1</v>
      </c>
    </row>
    <row r="21" spans="1:29" ht="85.5">
      <c r="A21" s="428"/>
      <c r="B21" s="451" t="s">
        <v>2713</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9"/>
      <c r="Q21" s="1813" t="str">
        <f>B21</f>
        <v>交通便捷度</v>
      </c>
      <c r="R21" s="774" t="s">
        <v>17</v>
      </c>
      <c r="S21" s="775">
        <f>F21</f>
        <v>100</v>
      </c>
      <c r="T21" s="774" t="s">
        <v>17</v>
      </c>
      <c r="U21" s="775">
        <f>H21</f>
        <v>100</v>
      </c>
      <c r="V21" s="774" t="s">
        <v>17</v>
      </c>
      <c r="W21" s="775">
        <f>J21</f>
        <v>100</v>
      </c>
      <c r="X21" s="1816"/>
      <c r="Y21" s="3179"/>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79"/>
      <c r="Q22" s="1813"/>
      <c r="R22" s="774"/>
      <c r="S22" s="775"/>
      <c r="T22" s="774"/>
      <c r="U22" s="775"/>
      <c r="V22" s="774"/>
      <c r="W22" s="775"/>
      <c r="X22" s="1816"/>
      <c r="Y22" s="3179"/>
      <c r="Z22" s="1817"/>
      <c r="AA22" s="1814">
        <v>1</v>
      </c>
      <c r="AB22" s="1814">
        <v>1</v>
      </c>
      <c r="AC22" s="1814">
        <v>1</v>
      </c>
    </row>
    <row r="23" spans="1:29" ht="15">
      <c r="A23" s="404"/>
      <c r="B23" s="451" t="s">
        <v>2752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9"/>
      <c r="Q23" s="1813" t="str">
        <f t="shared" ref="Q23:Q37" si="8">B23</f>
        <v>区域土地利用方向</v>
      </c>
      <c r="R23" s="774" t="s">
        <v>17</v>
      </c>
      <c r="S23" s="775">
        <f>F23</f>
        <v>100</v>
      </c>
      <c r="T23" s="774" t="s">
        <v>17</v>
      </c>
      <c r="U23" s="775">
        <f>H23</f>
        <v>100</v>
      </c>
      <c r="V23" s="774" t="s">
        <v>17</v>
      </c>
      <c r="W23" s="775">
        <f>J23</f>
        <v>100</v>
      </c>
      <c r="X23" s="1816"/>
      <c r="Y23" s="3179"/>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79"/>
      <c r="Q24" s="1813"/>
      <c r="R24" s="774"/>
      <c r="S24" s="775"/>
      <c r="T24" s="774"/>
      <c r="U24" s="775"/>
      <c r="V24" s="774"/>
      <c r="W24" s="775"/>
      <c r="X24" s="1816"/>
      <c r="Y24" s="3179"/>
      <c r="Z24" s="1817"/>
      <c r="AA24" s="1814"/>
      <c r="AB24" s="1814"/>
      <c r="AC24" s="1814"/>
    </row>
    <row r="25" spans="1:29" ht="57">
      <c r="A25" s="404"/>
      <c r="B25" s="1387" t="s">
        <v>2753</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9"/>
      <c r="Q25" s="1813" t="str">
        <f t="shared" si="8"/>
        <v>自然及人文环境状况</v>
      </c>
      <c r="R25" s="774" t="s">
        <v>17</v>
      </c>
      <c r="S25" s="775">
        <f>F25</f>
        <v>100</v>
      </c>
      <c r="T25" s="774" t="s">
        <v>17</v>
      </c>
      <c r="U25" s="775">
        <f>H25</f>
        <v>100</v>
      </c>
      <c r="V25" s="774" t="s">
        <v>17</v>
      </c>
      <c r="W25" s="775">
        <f>J25</f>
        <v>100</v>
      </c>
      <c r="X25" s="1816"/>
      <c r="Y25" s="3179"/>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79"/>
      <c r="Q26" s="1813"/>
      <c r="R26" s="774"/>
      <c r="S26" s="775"/>
      <c r="T26" s="774"/>
      <c r="U26" s="775"/>
      <c r="V26" s="774"/>
      <c r="W26" s="775"/>
      <c r="X26" s="1816"/>
      <c r="Y26" s="3179"/>
      <c r="Z26" s="1817"/>
      <c r="AA26" s="1814">
        <v>1</v>
      </c>
      <c r="AB26" s="1814">
        <v>1</v>
      </c>
      <c r="AC26" s="1814">
        <v>1</v>
      </c>
    </row>
    <row r="27" spans="1:29" s="117" customFormat="1" ht="42.75">
      <c r="A27" s="649"/>
      <c r="B27" s="1387" t="s">
        <v>2658</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9"/>
      <c r="Q27" s="1798" t="str">
        <f t="shared" si="8"/>
        <v>公共配套设施</v>
      </c>
      <c r="R27" s="770" t="s">
        <v>17</v>
      </c>
      <c r="S27" s="771">
        <f>F27</f>
        <v>100</v>
      </c>
      <c r="T27" s="770" t="s">
        <v>17</v>
      </c>
      <c r="U27" s="771">
        <f>H27</f>
        <v>100</v>
      </c>
      <c r="V27" s="770" t="s">
        <v>17</v>
      </c>
      <c r="W27" s="771">
        <f>J27</f>
        <v>100</v>
      </c>
      <c r="X27" s="772"/>
      <c r="Y27" s="3179"/>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79"/>
      <c r="Q28" s="1798"/>
      <c r="R28" s="770"/>
      <c r="S28" s="771"/>
      <c r="T28" s="770"/>
      <c r="U28" s="771"/>
      <c r="V28" s="770"/>
      <c r="W28" s="771"/>
      <c r="X28" s="772"/>
      <c r="Y28" s="3179"/>
      <c r="Z28" s="55"/>
      <c r="AA28" s="1814">
        <v>1</v>
      </c>
      <c r="AB28" s="1814">
        <v>1</v>
      </c>
      <c r="AC28" s="1814">
        <v>1</v>
      </c>
    </row>
    <row r="29" spans="1:29" s="117" customFormat="1" ht="28.5">
      <c r="A29" s="649"/>
      <c r="B29" s="1387" t="s">
        <v>2659</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9"/>
      <c r="Q29" s="1798" t="str">
        <f t="shared" ref="Q29" si="9">B29</f>
        <v>基础设施水平</v>
      </c>
      <c r="R29" s="770" t="s">
        <v>17</v>
      </c>
      <c r="S29" s="771">
        <f>F29</f>
        <v>100</v>
      </c>
      <c r="T29" s="770" t="s">
        <v>17</v>
      </c>
      <c r="U29" s="771">
        <f>H29</f>
        <v>100</v>
      </c>
      <c r="V29" s="770" t="s">
        <v>17</v>
      </c>
      <c r="W29" s="771">
        <f>J29</f>
        <v>100</v>
      </c>
      <c r="X29" s="772"/>
      <c r="Y29" s="3179"/>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79"/>
      <c r="Q30" s="1798"/>
      <c r="R30" s="770"/>
      <c r="S30" s="771"/>
      <c r="T30" s="770"/>
      <c r="U30" s="771"/>
      <c r="V30" s="770"/>
      <c r="W30" s="771"/>
      <c r="X30" s="772"/>
      <c r="Y30" s="3179"/>
      <c r="Z30" s="55"/>
      <c r="AA30" s="1814">
        <v>1</v>
      </c>
      <c r="AB30" s="1814">
        <v>1</v>
      </c>
      <c r="AC30" s="1814">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9"/>
      <c r="Z31" s="1817" t="str">
        <f t="shared" ref="Z31:Z45" si="13">Q31</f>
        <v>临街状况</v>
      </c>
      <c r="AA31" s="1814">
        <f t="shared" si="3"/>
        <v>1</v>
      </c>
      <c r="AB31" s="1814">
        <f t="shared" si="4"/>
        <v>1</v>
      </c>
      <c r="AC31" s="1814">
        <f t="shared" si="5"/>
        <v>1</v>
      </c>
    </row>
    <row r="32" spans="1:29" ht="27">
      <c r="A32" s="428"/>
      <c r="B32" s="1387"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9"/>
      <c r="Q32" s="1813" t="str">
        <f t="shared" si="8"/>
        <v>毗邻道路的类型与等级</v>
      </c>
      <c r="R32" s="774" t="s">
        <v>17</v>
      </c>
      <c r="S32" s="775">
        <f t="shared" si="10"/>
        <v>100</v>
      </c>
      <c r="T32" s="774" t="s">
        <v>17</v>
      </c>
      <c r="U32" s="775">
        <f t="shared" si="11"/>
        <v>100</v>
      </c>
      <c r="V32" s="774" t="s">
        <v>17</v>
      </c>
      <c r="W32" s="775">
        <f t="shared" si="12"/>
        <v>100</v>
      </c>
      <c r="X32" s="1816"/>
      <c r="Y32" s="317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79"/>
      <c r="Q33" s="1813"/>
      <c r="R33" s="774"/>
      <c r="S33" s="775"/>
      <c r="T33" s="774"/>
      <c r="U33" s="775"/>
      <c r="V33" s="774"/>
      <c r="W33" s="775"/>
      <c r="X33" s="1816"/>
      <c r="Y33" s="3179"/>
      <c r="Z33" s="1817"/>
      <c r="AA33" s="1814">
        <v>1</v>
      </c>
      <c r="AB33" s="1814">
        <v>1</v>
      </c>
      <c r="AC33" s="1814">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9"/>
      <c r="Q34" s="1813" t="str">
        <f t="shared" si="8"/>
        <v>土地级别</v>
      </c>
      <c r="R34" s="774" t="s">
        <v>17</v>
      </c>
      <c r="S34" s="775">
        <f t="shared" si="10"/>
        <v>100</v>
      </c>
      <c r="T34" s="774" t="s">
        <v>17</v>
      </c>
      <c r="U34" s="775">
        <f t="shared" si="11"/>
        <v>100</v>
      </c>
      <c r="V34" s="774" t="s">
        <v>17</v>
      </c>
      <c r="W34" s="775">
        <f t="shared" si="12"/>
        <v>100</v>
      </c>
      <c r="X34" s="1816"/>
      <c r="Y34" s="317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9"/>
      <c r="Q35" s="1813">
        <f t="shared" si="8"/>
        <v>111</v>
      </c>
      <c r="R35" s="774" t="s">
        <v>17</v>
      </c>
      <c r="S35" s="775">
        <f t="shared" si="10"/>
        <v>100</v>
      </c>
      <c r="T35" s="774" t="s">
        <v>17</v>
      </c>
      <c r="U35" s="775">
        <f t="shared" si="11"/>
        <v>100</v>
      </c>
      <c r="V35" s="774" t="s">
        <v>17</v>
      </c>
      <c r="W35" s="775">
        <f t="shared" si="12"/>
        <v>100</v>
      </c>
      <c r="X35" s="1816"/>
      <c r="Y35" s="317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0" t="s">
        <v>2569</v>
      </c>
      <c r="Q36" s="1813">
        <f t="shared" si="8"/>
        <v>111</v>
      </c>
      <c r="R36" s="774" t="s">
        <v>17</v>
      </c>
      <c r="S36" s="775">
        <f t="shared" si="10"/>
        <v>100</v>
      </c>
      <c r="T36" s="774" t="s">
        <v>17</v>
      </c>
      <c r="U36" s="775">
        <f t="shared" si="11"/>
        <v>100</v>
      </c>
      <c r="V36" s="774" t="s">
        <v>17</v>
      </c>
      <c r="W36" s="775">
        <f t="shared" si="12"/>
        <v>100</v>
      </c>
      <c r="X36" s="1816"/>
      <c r="Y36" s="3181" t="s">
        <v>2569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1"/>
      <c r="Q37" s="1813">
        <f t="shared" si="8"/>
        <v>111</v>
      </c>
      <c r="R37" s="777" t="s">
        <v>17</v>
      </c>
      <c r="S37" s="778">
        <f t="shared" si="10"/>
        <v>100</v>
      </c>
      <c r="T37" s="777" t="s">
        <v>17</v>
      </c>
      <c r="U37" s="778">
        <f t="shared" si="11"/>
        <v>100</v>
      </c>
      <c r="V37" s="777" t="s">
        <v>17</v>
      </c>
      <c r="W37" s="778">
        <f t="shared" si="12"/>
        <v>100</v>
      </c>
      <c r="X37" s="779"/>
      <c r="Y37" s="3181"/>
      <c r="Z37" s="780">
        <f t="shared" si="13"/>
        <v>111</v>
      </c>
      <c r="AA37" s="1814">
        <f t="shared" si="3"/>
        <v>1</v>
      </c>
      <c r="AB37" s="1814">
        <f t="shared" si="4"/>
        <v>1</v>
      </c>
      <c r="AC37" s="1814">
        <f t="shared" si="5"/>
        <v>1</v>
      </c>
    </row>
    <row r="38" spans="1:29" ht="15">
      <c r="A38" s="472" t="s">
        <v>2567</v>
      </c>
      <c r="B38" s="456" t="s">
        <v>2755</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3"/>
      <c r="M38" s="1134"/>
      <c r="N38" s="1134"/>
      <c r="O38" s="1142"/>
      <c r="P38" s="3181"/>
      <c r="Q38" s="1813" t="str">
        <f>B38</f>
        <v>宗地面积</v>
      </c>
      <c r="R38" s="774" t="s">
        <v>17</v>
      </c>
      <c r="S38" s="775">
        <f t="shared" si="10"/>
        <v>100</v>
      </c>
      <c r="T38" s="774" t="s">
        <v>17</v>
      </c>
      <c r="U38" s="775">
        <f t="shared" si="11"/>
        <v>100</v>
      </c>
      <c r="V38" s="774" t="s">
        <v>17</v>
      </c>
      <c r="W38" s="775">
        <f t="shared" si="12"/>
        <v>100</v>
      </c>
      <c r="X38" s="1816"/>
      <c r="Y38" s="3181"/>
      <c r="Z38" s="1817" t="str">
        <f t="shared" si="13"/>
        <v>宗地面积</v>
      </c>
      <c r="AA38" s="1814">
        <f t="shared" si="3"/>
        <v>1</v>
      </c>
      <c r="AB38" s="1814">
        <f t="shared" si="4"/>
        <v>1</v>
      </c>
      <c r="AC38" s="1814">
        <f t="shared" si="5"/>
        <v>1</v>
      </c>
    </row>
    <row r="39" spans="1:29" ht="15">
      <c r="A39" s="472"/>
      <c r="B39" s="422" t="s">
        <v>2756</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81"/>
      <c r="Q39" s="1813" t="str">
        <f t="shared" ref="Q39:Q45" si="14">B39</f>
        <v>宗地形状</v>
      </c>
      <c r="R39" s="774" t="s">
        <v>17</v>
      </c>
      <c r="S39" s="775">
        <f t="shared" si="10"/>
        <v>100</v>
      </c>
      <c r="T39" s="774" t="s">
        <v>17</v>
      </c>
      <c r="U39" s="775">
        <f t="shared" si="11"/>
        <v>100</v>
      </c>
      <c r="V39" s="774" t="s">
        <v>17</v>
      </c>
      <c r="W39" s="775">
        <f t="shared" si="12"/>
        <v>100</v>
      </c>
      <c r="X39" s="1816"/>
      <c r="Y39" s="3181"/>
      <c r="Z39" s="1817" t="str">
        <f t="shared" si="13"/>
        <v>宗地形状</v>
      </c>
      <c r="AA39" s="1814">
        <f t="shared" si="3"/>
        <v>1</v>
      </c>
      <c r="AB39" s="1814">
        <f t="shared" si="4"/>
        <v>1</v>
      </c>
      <c r="AC39" s="1814">
        <f t="shared" si="5"/>
        <v>1</v>
      </c>
    </row>
    <row r="40" spans="1:29" ht="15">
      <c r="A40" s="472"/>
      <c r="B40" s="422" t="s">
        <v>2757</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81"/>
      <c r="Q40" s="1813" t="str">
        <f t="shared" si="14"/>
        <v>临街宽度及深度</v>
      </c>
      <c r="R40" s="774" t="s">
        <v>17</v>
      </c>
      <c r="S40" s="775">
        <f t="shared" si="10"/>
        <v>100</v>
      </c>
      <c r="T40" s="774" t="s">
        <v>17</v>
      </c>
      <c r="U40" s="775">
        <f t="shared" si="11"/>
        <v>100</v>
      </c>
      <c r="V40" s="774" t="s">
        <v>17</v>
      </c>
      <c r="W40" s="775">
        <f t="shared" si="12"/>
        <v>100</v>
      </c>
      <c r="X40" s="1816"/>
      <c r="Y40" s="3181"/>
      <c r="Z40" s="1817" t="str">
        <f t="shared" si="13"/>
        <v>临街宽度及深度</v>
      </c>
      <c r="AA40" s="1814">
        <f t="shared" si="3"/>
        <v>1</v>
      </c>
      <c r="AB40" s="1814">
        <f t="shared" si="4"/>
        <v>1</v>
      </c>
      <c r="AC40" s="1814">
        <f t="shared" si="5"/>
        <v>1</v>
      </c>
    </row>
    <row r="41" spans="1:29" s="117" customFormat="1" ht="15">
      <c r="A41" s="473"/>
      <c r="B41" s="422" t="s">
        <v>2758</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81"/>
      <c r="Q41" s="1813"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2759</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81" t="s">
        <v>2569</v>
      </c>
      <c r="Q42" s="1813" t="str">
        <f t="shared" si="14"/>
        <v>工程地质条件</v>
      </c>
      <c r="R42" s="774" t="s">
        <v>17</v>
      </c>
      <c r="S42" s="775">
        <f t="shared" si="10"/>
        <v>100</v>
      </c>
      <c r="T42" s="774" t="s">
        <v>17</v>
      </c>
      <c r="U42" s="775">
        <f t="shared" si="11"/>
        <v>100</v>
      </c>
      <c r="V42" s="774" t="s">
        <v>17</v>
      </c>
      <c r="W42" s="775">
        <f t="shared" si="12"/>
        <v>100</v>
      </c>
      <c r="X42" s="1816"/>
      <c r="Y42" s="3181" t="s">
        <v>2569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1"/>
      <c r="Q43" s="1813">
        <f t="shared" si="14"/>
        <v>111</v>
      </c>
      <c r="R43" s="774" t="s">
        <v>17</v>
      </c>
      <c r="S43" s="775">
        <f t="shared" si="10"/>
        <v>100</v>
      </c>
      <c r="T43" s="774" t="s">
        <v>17</v>
      </c>
      <c r="U43" s="775">
        <f t="shared" si="11"/>
        <v>100</v>
      </c>
      <c r="V43" s="774" t="s">
        <v>17</v>
      </c>
      <c r="W43" s="775">
        <f t="shared" si="12"/>
        <v>100</v>
      </c>
      <c r="X43" s="1816"/>
      <c r="Y43" s="318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1"/>
      <c r="Q44" s="1813">
        <f t="shared" si="14"/>
        <v>111</v>
      </c>
      <c r="R44" s="774" t="s">
        <v>17</v>
      </c>
      <c r="S44" s="775">
        <f t="shared" si="10"/>
        <v>100</v>
      </c>
      <c r="T44" s="774" t="s">
        <v>17</v>
      </c>
      <c r="U44" s="775">
        <f t="shared" si="11"/>
        <v>100</v>
      </c>
      <c r="V44" s="774" t="s">
        <v>17</v>
      </c>
      <c r="W44" s="775">
        <f t="shared" si="12"/>
        <v>100</v>
      </c>
      <c r="X44" s="1816"/>
      <c r="Y44" s="3181"/>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1"/>
      <c r="Q45" s="1813">
        <f t="shared" si="14"/>
        <v>111</v>
      </c>
      <c r="R45" s="777" t="s">
        <v>17</v>
      </c>
      <c r="S45" s="778">
        <f t="shared" si="10"/>
        <v>100</v>
      </c>
      <c r="T45" s="777" t="s">
        <v>17</v>
      </c>
      <c r="U45" s="778">
        <f t="shared" si="11"/>
        <v>100</v>
      </c>
      <c r="V45" s="777" t="s">
        <v>17</v>
      </c>
      <c r="W45" s="778">
        <f t="shared" si="12"/>
        <v>100</v>
      </c>
      <c r="X45" s="779"/>
      <c r="Y45" s="3181"/>
      <c r="Z45" s="780">
        <f t="shared" si="13"/>
        <v>111</v>
      </c>
      <c r="AA45" s="1814">
        <f t="shared" si="3"/>
        <v>1</v>
      </c>
      <c r="AB45" s="1814">
        <f t="shared" si="4"/>
        <v>1</v>
      </c>
      <c r="AC45" s="1814">
        <f t="shared" si="5"/>
        <v>1</v>
      </c>
    </row>
    <row r="46" spans="1:29" ht="15">
      <c r="A46" s="479" t="s">
        <v>2724</v>
      </c>
      <c r="B46" s="2711" t="s">
        <v>2760</v>
      </c>
      <c r="C46" s="682" t="s">
        <v>1</v>
      </c>
      <c r="D46" s="481"/>
      <c r="E46" s="482">
        <f ca="1">结果表!G22+结果表!G23</f>
        <v>423031</v>
      </c>
      <c r="F46" s="483"/>
      <c r="G46" s="484">
        <f ca="1">E46</f>
        <v>423031</v>
      </c>
      <c r="H46" s="485"/>
      <c r="I46" s="482">
        <f ca="1">E46</f>
        <v>423031</v>
      </c>
      <c r="J46" s="485"/>
      <c r="K46" s="783"/>
      <c r="L46" s="1146"/>
      <c r="M46" s="1147"/>
      <c r="N46" s="1134"/>
      <c r="O46" s="1147"/>
      <c r="P46" s="3163" t="str">
        <f>A46</f>
        <v>成交单价</v>
      </c>
      <c r="Q46" s="3163"/>
      <c r="R46" s="3176">
        <f ca="1">E46</f>
        <v>423031</v>
      </c>
      <c r="S46" s="3176"/>
      <c r="T46" s="3176">
        <f ca="1">G46</f>
        <v>423031</v>
      </c>
      <c r="U46" s="3176"/>
      <c r="V46" s="3176">
        <f ca="1">I46</f>
        <v>423031</v>
      </c>
      <c r="W46" s="3176"/>
      <c r="X46" s="759"/>
      <c r="Y46" s="781"/>
      <c r="Z46" s="759"/>
      <c r="AA46" s="759"/>
      <c r="AB46" s="759"/>
      <c r="AC46" s="759"/>
    </row>
    <row r="47" spans="1:29" ht="15.75" thickBot="1">
      <c r="A47" s="486" t="s">
        <v>2673</v>
      </c>
      <c r="B47" s="683"/>
      <c r="C47" s="490">
        <f ca="1">R48</f>
        <v>423031</v>
      </c>
      <c r="D47" s="489"/>
      <c r="E47" s="490">
        <f ca="1">R47</f>
        <v>423031</v>
      </c>
      <c r="F47" s="491"/>
      <c r="G47" s="488">
        <f ca="1">T47</f>
        <v>423031</v>
      </c>
      <c r="H47" s="489"/>
      <c r="I47" s="490">
        <f ca="1">V47</f>
        <v>423031</v>
      </c>
      <c r="J47" s="489"/>
      <c r="K47" s="784"/>
      <c r="L47" s="1146"/>
      <c r="M47" s="1147"/>
      <c r="N47" s="1147"/>
      <c r="O47" s="1147"/>
      <c r="P47" s="3163" t="str">
        <f>A47</f>
        <v>比较价值（元/平方米）</v>
      </c>
      <c r="Q47" s="3163"/>
      <c r="R47" s="3182">
        <f ca="1">ROUND(PRODUCT(R46,AA7:AA45),0)</f>
        <v>423031</v>
      </c>
      <c r="S47" s="3182"/>
      <c r="T47" s="3182">
        <f ca="1">ROUND(PRODUCT(T46,AB7:AB45),0)</f>
        <v>423031</v>
      </c>
      <c r="U47" s="3182"/>
      <c r="V47" s="3182">
        <f ca="1">ROUND(PRODUCT(V46,AC7:AC45),0)</f>
        <v>423031</v>
      </c>
      <c r="W47" s="3182"/>
      <c r="X47" s="759"/>
      <c r="Y47" s="759"/>
      <c r="Z47" s="759"/>
      <c r="AA47" s="759"/>
      <c r="AB47" s="759"/>
      <c r="AC47" s="759"/>
    </row>
    <row r="48" spans="1:29" ht="15.75" thickBot="1">
      <c r="A48" s="492" t="s">
        <v>2761</v>
      </c>
      <c r="B48" s="493"/>
      <c r="C48" s="494">
        <f ca="1">R48</f>
        <v>423031</v>
      </c>
      <c r="D48" s="494"/>
      <c r="E48" s="494"/>
      <c r="F48" s="494"/>
      <c r="G48" s="494"/>
      <c r="H48" s="494"/>
      <c r="I48" s="494"/>
      <c r="J48" s="494"/>
      <c r="K48" s="785"/>
      <c r="L48" s="1146"/>
      <c r="M48" s="1147"/>
      <c r="N48" s="1147"/>
      <c r="O48" s="1147"/>
      <c r="P48" s="3183" t="str">
        <f>A48</f>
        <v>估价对象XX用房的比较价值（楼面单价，元/平方米）</v>
      </c>
      <c r="Q48" s="3184"/>
      <c r="R48" s="3185">
        <f ca="1">ROUND(AVERAGE(R47:V47),0)</f>
        <v>423031</v>
      </c>
      <c r="S48" s="3185"/>
      <c r="T48" s="3185"/>
      <c r="U48" s="3185"/>
      <c r="V48" s="3185"/>
      <c r="W48" s="318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f ca="1">IF(E46&lt;E47,E47/E46-1,E46/E47-1)</f>
        <v>0</v>
      </c>
      <c r="F51" s="500" t="str">
        <f ca="1">IF(OR(E51&gt;=0.3,E51&lt;=-0.3),"超过30%","")</f>
        <v/>
      </c>
      <c r="G51" s="499">
        <f ca="1">IF(G46&lt;G47,G47/G46-1,G46/G47-1)</f>
        <v>0</v>
      </c>
      <c r="H51" s="500" t="str">
        <f ca="1">IF(OR(G51&gt;=0.3,G51&lt;=-0.3),"超过30%","")</f>
        <v/>
      </c>
      <c r="I51" s="499">
        <f ca="1">IF(I46&lt;I47,I47/I46-1,I46/I47-1)</f>
        <v>0</v>
      </c>
      <c r="J51" s="500" t="str">
        <f ca="1">IF(OR(I51&gt;=0.3,I51&lt;=-0.3),"超过30%","")</f>
        <v/>
      </c>
      <c r="K51" s="1108"/>
      <c r="L51" s="1109"/>
      <c r="M51" s="1147"/>
      <c r="N51" s="1147"/>
      <c r="O51" s="1147"/>
    </row>
    <row r="52" spans="1:15" ht="13.5" customHeight="1">
      <c r="A52" s="1147"/>
      <c r="B52" s="1147"/>
      <c r="C52" s="497" t="s">
        <v>2676</v>
      </c>
      <c r="D52" s="501"/>
      <c r="E52" s="499">
        <f ca="1">IF(E47&lt;G47,G47/E47-1,E47/G47-1)</f>
        <v>0</v>
      </c>
      <c r="F52" s="500" t="str">
        <f ca="1">IF(OR(E52&gt;=0.2,E52&lt;=-0.2),"超过20%","")</f>
        <v/>
      </c>
      <c r="G52" s="499">
        <f ca="1">IF(G47&lt;I47,I47/G47-1,G47/I47-1)</f>
        <v>0</v>
      </c>
      <c r="H52" s="500" t="str">
        <f ca="1">IF(OR(G52&gt;=0.2,G52&lt;=-0.2),"超过20%","")</f>
        <v/>
      </c>
      <c r="I52" s="499">
        <f ca="1">IF(I47&lt;E47,E47/I47-1,I47/E47-1)</f>
        <v>0</v>
      </c>
      <c r="J52" s="500" t="str">
        <f ca="1">IF(OR(I52&gt;=0.2,I52&lt;=-0.2),"超过20%","")</f>
        <v/>
      </c>
      <c r="K52" s="1108"/>
      <c r="L52" s="1109"/>
      <c r="M52" s="1147"/>
      <c r="N52" s="1147"/>
      <c r="O52" s="1147"/>
    </row>
    <row r="53" spans="1:15" s="502" customFormat="1" ht="13.5" customHeight="1">
      <c r="A53" s="1148"/>
      <c r="B53" s="1148"/>
      <c r="C53" s="497" t="s">
        <v>2677</v>
      </c>
      <c r="D53" s="501"/>
      <c r="E53" s="499">
        <f ca="1">IF(E46&lt;G46,G46/E46-1,E46/G46-1)</f>
        <v>0</v>
      </c>
      <c r="F53" s="500" t="str">
        <f ca="1">IF(OR(E53&gt;=0.3,E53&lt;=-0.3),"超过30%","")</f>
        <v/>
      </c>
      <c r="G53" s="499">
        <f ca="1">IF(G46&lt;I46,I46/G46-1,G46/I46-1)</f>
        <v>0</v>
      </c>
      <c r="H53" s="500" t="str">
        <f ca="1">IF(OR(G53&gt;=0.3,G53&lt;=-0.3),"超过30%","")</f>
        <v/>
      </c>
      <c r="I53" s="499">
        <f ca="1">IF(I46&lt;E46,E46/I46-1,I46/E46-1)</f>
        <v>0</v>
      </c>
      <c r="J53" s="500" t="str">
        <f ca="1">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2" t="s">
        <v>2764</v>
      </c>
      <c r="D55" s="2713" t="s">
        <v>2765</v>
      </c>
      <c r="E55" s="686" t="s">
        <v>2766</v>
      </c>
      <c r="F55" s="1110" t="s">
        <v>2767</v>
      </c>
      <c r="G55" s="3164" t="s">
        <v>2768</v>
      </c>
      <c r="H55" s="3186"/>
      <c r="I55" s="144" t="s">
        <v>2769</v>
      </c>
      <c r="J55" s="2714">
        <f>项目基本情况!F35</f>
        <v>0</v>
      </c>
      <c r="K55" s="2715" t="s">
        <v>2770</v>
      </c>
      <c r="L55" s="1109"/>
      <c r="M55" s="1147"/>
      <c r="N55" s="1147"/>
      <c r="O55" s="1147"/>
    </row>
    <row r="56" spans="1:15" s="692" customFormat="1">
      <c r="A56" s="688" t="s">
        <v>2771</v>
      </c>
      <c r="B56" s="689">
        <f ca="1">C48</f>
        <v>423031</v>
      </c>
      <c r="C56" s="690">
        <v>1</v>
      </c>
      <c r="D56" s="1166">
        <v>1</v>
      </c>
      <c r="E56" s="690">
        <f>'数据-汇总表'!E8+'数据-汇总表'!E9</f>
        <v>10000</v>
      </c>
      <c r="F56" s="1106">
        <f t="shared" ref="F56:F65" ca="1" si="15">ROUND(B56*E56/10000,0)</f>
        <v>423031</v>
      </c>
      <c r="G56" s="3187"/>
      <c r="H56" s="3163"/>
      <c r="I56" s="1111">
        <v>1</v>
      </c>
      <c r="J56" s="1114">
        <v>1</v>
      </c>
      <c r="K56" s="1148"/>
      <c r="L56" s="944"/>
      <c r="M56" s="944"/>
      <c r="N56" s="944"/>
      <c r="O56" s="944"/>
    </row>
    <row r="57" spans="1:15" s="692" customFormat="1">
      <c r="A57" s="693" t="s">
        <v>2772</v>
      </c>
      <c r="B57" s="262">
        <f ca="1">ROUND($C$48*C57*D57,0)</f>
        <v>0</v>
      </c>
      <c r="C57" s="200">
        <f t="shared" ref="C57:C65" si="16">IF($C$55="北京市系数",I57,J57)</f>
        <v>0</v>
      </c>
      <c r="D57" s="1167">
        <v>0.25</v>
      </c>
      <c r="E57" s="694"/>
      <c r="F57" s="1106">
        <f t="shared" ca="1" si="15"/>
        <v>0</v>
      </c>
      <c r="G57" s="3188" t="s">
        <v>2773</v>
      </c>
      <c r="H57" s="1107">
        <f>项目基本情况!B37</f>
        <v>0</v>
      </c>
      <c r="I57" s="1111">
        <f>SUMIF(修正!A45:A56,H57,修正!B45:B56)</f>
        <v>0</v>
      </c>
      <c r="J57" s="1115"/>
      <c r="K57" s="1147"/>
      <c r="L57" s="944"/>
      <c r="M57" s="944"/>
      <c r="N57" s="944"/>
      <c r="O57" s="944"/>
    </row>
    <row r="58" spans="1:15" s="692" customFormat="1">
      <c r="A58" s="693" t="s">
        <v>2774</v>
      </c>
      <c r="B58" s="262">
        <f t="shared" ref="B58:B65" ca="1" si="17">ROUND($C$48*C58*D58,0)</f>
        <v>0</v>
      </c>
      <c r="C58" s="200">
        <f t="shared" si="16"/>
        <v>0</v>
      </c>
      <c r="D58" s="1167">
        <v>0.25</v>
      </c>
      <c r="E58" s="694"/>
      <c r="F58" s="1106">
        <f t="shared" ca="1" si="15"/>
        <v>0</v>
      </c>
      <c r="G58" s="3188"/>
      <c r="H58" s="1107">
        <f>项目基本情况!B37</f>
        <v>0</v>
      </c>
      <c r="I58" s="1111">
        <f>SUMIF(修正!A45:A56,H58,修正!C45:C56)</f>
        <v>0</v>
      </c>
      <c r="J58" s="1115"/>
      <c r="K58" s="1148"/>
      <c r="L58" s="944"/>
      <c r="M58" s="944"/>
      <c r="N58" s="944"/>
      <c r="O58" s="944"/>
    </row>
    <row r="59" spans="1:15" s="692" customFormat="1">
      <c r="A59" s="693" t="s">
        <v>2775</v>
      </c>
      <c r="B59" s="262">
        <f t="shared" ca="1" si="17"/>
        <v>0</v>
      </c>
      <c r="C59" s="200">
        <f t="shared" si="16"/>
        <v>0</v>
      </c>
      <c r="D59" s="1167">
        <v>0.25</v>
      </c>
      <c r="E59" s="694"/>
      <c r="F59" s="1106">
        <f t="shared" ca="1" si="15"/>
        <v>0</v>
      </c>
      <c r="G59" s="3188"/>
      <c r="H59" s="1107">
        <f>项目基本情况!B37</f>
        <v>0</v>
      </c>
      <c r="I59" s="1111">
        <f>SUMIF(修正!A45:A56,H59,修正!D45:D56)</f>
        <v>0</v>
      </c>
      <c r="J59" s="1115"/>
      <c r="K59" s="1147"/>
      <c r="L59" s="944"/>
      <c r="M59" s="944"/>
      <c r="N59" s="944"/>
      <c r="O59" s="944"/>
    </row>
    <row r="60" spans="1:15" s="692" customFormat="1">
      <c r="A60" s="693" t="s">
        <v>2776</v>
      </c>
      <c r="B60" s="262">
        <f t="shared" ca="1" si="17"/>
        <v>0</v>
      </c>
      <c r="C60" s="200">
        <f t="shared" si="16"/>
        <v>0</v>
      </c>
      <c r="D60" s="1167">
        <v>0.25</v>
      </c>
      <c r="E60" s="694"/>
      <c r="F60" s="1106">
        <f t="shared" ca="1" si="15"/>
        <v>0</v>
      </c>
      <c r="G60" s="3188"/>
      <c r="H60" s="1107">
        <f>项目基本情况!B37</f>
        <v>0</v>
      </c>
      <c r="I60" s="1111">
        <f>SUMIF(修正!A45:A56,H60,修正!E45:E56)</f>
        <v>0</v>
      </c>
      <c r="J60" s="1115"/>
      <c r="K60" s="1148"/>
      <c r="L60" s="944"/>
      <c r="M60" s="944"/>
      <c r="N60" s="944"/>
      <c r="O60" s="944"/>
    </row>
    <row r="61" spans="1:15" s="692" customFormat="1">
      <c r="A61" s="693" t="s">
        <v>2777</v>
      </c>
      <c r="B61" s="262">
        <f t="shared" ca="1" si="17"/>
        <v>0</v>
      </c>
      <c r="C61" s="200">
        <f t="shared" si="16"/>
        <v>0</v>
      </c>
      <c r="D61" s="1167">
        <v>0.25</v>
      </c>
      <c r="E61" s="261">
        <f>'数据-汇总表'!E11</f>
        <v>0</v>
      </c>
      <c r="F61" s="1106">
        <f t="shared" ca="1" si="15"/>
        <v>0</v>
      </c>
      <c r="G61" s="2716" t="s">
        <v>2778</v>
      </c>
      <c r="H61" s="1107">
        <f>项目基本情况!C37</f>
        <v>0</v>
      </c>
      <c r="I61" s="1111">
        <f>SUMIF(修正!A45:A56,H61,修正!F45:F56)</f>
        <v>0</v>
      </c>
      <c r="J61" s="1115"/>
      <c r="K61" s="1147"/>
      <c r="L61" s="944"/>
      <c r="M61" s="944"/>
      <c r="N61" s="944"/>
      <c r="O61" s="944"/>
    </row>
    <row r="62" spans="1:15" s="692" customFormat="1">
      <c r="A62" s="693" t="s">
        <v>2779</v>
      </c>
      <c r="B62" s="262">
        <f t="shared" ca="1" si="17"/>
        <v>0</v>
      </c>
      <c r="C62" s="200">
        <f t="shared" si="16"/>
        <v>0</v>
      </c>
      <c r="D62" s="1167">
        <v>0.25</v>
      </c>
      <c r="E62" s="261">
        <f>'数据-汇总表'!E12</f>
        <v>0</v>
      </c>
      <c r="F62" s="1106">
        <f t="shared" ca="1" si="15"/>
        <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f t="shared" ca="1" si="17"/>
        <v>0</v>
      </c>
      <c r="C63" s="200">
        <f t="shared" si="16"/>
        <v>0</v>
      </c>
      <c r="D63" s="1167">
        <v>0.25</v>
      </c>
      <c r="E63" s="261">
        <f>'数据-汇总表'!E13</f>
        <v>0</v>
      </c>
      <c r="F63" s="1106">
        <f t="shared" ca="1" si="15"/>
        <v>0</v>
      </c>
      <c r="G63" s="1112" t="s">
        <v>2782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2783</v>
      </c>
      <c r="B64" s="262">
        <f t="shared" ca="1" si="17"/>
        <v>0</v>
      </c>
      <c r="C64" s="200">
        <f t="shared" si="16"/>
        <v>0</v>
      </c>
      <c r="D64" s="1167">
        <v>0.25</v>
      </c>
      <c r="E64" s="261">
        <f>'数据-汇总表'!E14</f>
        <v>0</v>
      </c>
      <c r="F64" s="1106">
        <f t="shared" ca="1" si="15"/>
        <v>0</v>
      </c>
      <c r="G64" s="2716" t="s">
        <v>2773</v>
      </c>
      <c r="H64" s="1107">
        <f>项目基本情况!B37</f>
        <v>0</v>
      </c>
      <c r="I64" s="1111">
        <f>SUMIF(修正!A45:A56,H64,修正!H45:H56)</f>
        <v>0</v>
      </c>
      <c r="J64" s="1115"/>
      <c r="K64" s="1148"/>
      <c r="L64" s="944"/>
      <c r="M64" s="944"/>
      <c r="N64" s="944"/>
      <c r="O64" s="944"/>
    </row>
    <row r="65" spans="1:17" s="692" customFormat="1" ht="15" thickBot="1">
      <c r="A65" s="693" t="s">
        <v>2784</v>
      </c>
      <c r="B65" s="262">
        <f t="shared" ca="1" si="17"/>
        <v>0</v>
      </c>
      <c r="C65" s="200">
        <f t="shared" si="16"/>
        <v>0</v>
      </c>
      <c r="D65" s="1167">
        <v>0.25</v>
      </c>
      <c r="E65" s="261">
        <f>'数据-汇总表'!E15</f>
        <v>0</v>
      </c>
      <c r="F65" s="1106">
        <f t="shared" ca="1" si="15"/>
        <v>0</v>
      </c>
      <c r="G65" s="2717"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10000</v>
      </c>
      <c r="F66" s="697">
        <f ca="1">IF(B46="楼面地价",SUM(F56:F65),ROUND(C48*E66/10000,0))</f>
        <v>423031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8" t="s">
        <v>2786</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2787</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0（含）-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2795</v>
      </c>
      <c r="C116" s="529" t="str">
        <f>C117&amp;"(含)"&amp;"-"&amp;D117</f>
        <v>0(含)-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c r="E117" s="595"/>
      <c r="F117" s="595"/>
      <c r="G117" s="595"/>
      <c r="H117" s="595"/>
      <c r="I117" s="595"/>
      <c r="J117" s="596"/>
      <c r="K117" s="596"/>
      <c r="L117" s="597"/>
      <c r="M117" s="598"/>
      <c r="N117" s="1155"/>
      <c r="O117" s="1155"/>
      <c r="P117" s="45"/>
      <c r="Q117" s="504"/>
    </row>
    <row r="118" spans="1:17" ht="15.75" thickBot="1">
      <c r="A118" s="534"/>
      <c r="B118" s="543"/>
      <c r="C118" s="570">
        <v>100</v>
      </c>
      <c r="D118" s="591"/>
      <c r="E118" s="591"/>
      <c r="F118" s="591"/>
      <c r="G118" s="591"/>
      <c r="H118" s="591"/>
      <c r="I118" s="591"/>
      <c r="J118" s="591"/>
      <c r="K118" s="591"/>
      <c r="L118" s="591"/>
      <c r="M118" s="592"/>
      <c r="N118" s="1156"/>
      <c r="O118" s="1156"/>
      <c r="P118" s="45"/>
      <c r="Q118" s="504"/>
    </row>
    <row r="119" spans="1:17" ht="15" thickTop="1">
      <c r="A119" s="599"/>
      <c r="B119" s="538" t="s">
        <v>2796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7" sqref="G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7</v>
      </c>
    </row>
    <row r="2" spans="1:9" s="244" customFormat="1" ht="18" customHeight="1">
      <c r="A2" s="245" t="s">
        <v>2331</v>
      </c>
      <c r="B2" s="246">
        <f ca="1">IF(D2="——",C52,C52-E2)</f>
        <v>828</v>
      </c>
      <c r="C2" s="243" t="s">
        <v>2332</v>
      </c>
      <c r="D2" s="2554" t="s">
        <v>70</v>
      </c>
      <c r="E2" s="1443" t="e">
        <f ca="1">SUMIF(INDIRECT("'"&amp;G2&amp;"'"&amp;"!A:A"),"承租人权益价值",INDIRECT("'"&amp;G2&amp;"'"&amp;"!c:c"))</f>
        <v>#REF!</v>
      </c>
      <c r="F2" s="2555" t="s">
        <v>2332</v>
      </c>
      <c r="G2" s="2556"/>
    </row>
    <row r="3" spans="1:9" s="244" customFormat="1" ht="18" customHeight="1" thickBot="1">
      <c r="A3" s="247" t="s">
        <v>2333</v>
      </c>
      <c r="B3" s="248">
        <f ca="1">ROUND(B2*10000/(IF(B1="",'数据-汇总表'!E3,INDIRECT("'数据-取费表'!k"&amp;$G$1))),0)</f>
        <v>828</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52" t="s">
        <v>2341</v>
      </c>
      <c r="B6" s="259" t="s">
        <v>2342</v>
      </c>
      <c r="C6" s="260"/>
      <c r="D6" s="261"/>
      <c r="E6" s="262"/>
      <c r="F6" s="262"/>
      <c r="G6" s="263"/>
    </row>
    <row r="7" spans="1:9" s="258" customFormat="1" ht="13.5" customHeight="1">
      <c r="A7" s="952" t="s">
        <v>2343</v>
      </c>
      <c r="B7" s="259" t="s">
        <v>2344</v>
      </c>
      <c r="C7" s="264">
        <f>ROUND(C6*F7,0)</f>
        <v>0</v>
      </c>
      <c r="D7" s="264"/>
      <c r="E7" s="262"/>
      <c r="F7" s="265">
        <f>'数据-取费表'!B48+'数据-取费表'!B49</f>
        <v>3.0499999999999999E-2</v>
      </c>
      <c r="G7" s="263"/>
    </row>
    <row r="8" spans="1:9" s="267" customFormat="1">
      <c r="A8" s="952" t="s">
        <v>2345</v>
      </c>
      <c r="B8" s="259" t="s">
        <v>2346</v>
      </c>
      <c r="C8" s="264">
        <f>IF(G8="已包含在土地购买价格中","0",IF(B1="",'数据-取费表'!B29,IF(G9="全部缴纳",C9+C10,H9)))</f>
        <v>0</v>
      </c>
      <c r="D8" s="266"/>
      <c r="E8" s="264"/>
      <c r="F8" s="265"/>
      <c r="G8" s="2557"/>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160</v>
      </c>
      <c r="F9" s="265"/>
      <c r="G9" s="2558"/>
      <c r="H9" s="1393"/>
      <c r="I9" s="2559" t="s">
        <v>2348</v>
      </c>
    </row>
    <row r="10" spans="1:9" s="258" customFormat="1" ht="13.5" customHeight="1">
      <c r="A10" s="953" t="s">
        <v>801</v>
      </c>
      <c r="B10" s="268" t="s">
        <v>2349</v>
      </c>
      <c r="C10" s="269">
        <f ca="1">ROUND(D10*E10/10000,0)</f>
        <v>200</v>
      </c>
      <c r="D10" s="1035">
        <f ca="1">IF(B1="",'数据-汇总表'!E6,IF(INDIRECT("'数据-取费表'!c"&amp;$G$1)="住宅",INDIRECT("'数据-取费表'!s"&amp;$G$1),INDIRECT("'数据-取费表'!k"&amp;$G$1)+INDIRECT("'数据-取费表'!s"&amp;$G$1)))</f>
        <v>10000</v>
      </c>
      <c r="E10" s="269">
        <f>'数据-取费表'!B28</f>
        <v>200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f ca="1">IF(G19="已包含在土地取得成本中","0",ROUND(D19*E19/10000,0))</f>
        <v>200</v>
      </c>
      <c r="D19" s="1039">
        <f ca="1">D9+D10</f>
        <v>10000</v>
      </c>
      <c r="E19" s="255">
        <f>'数据-取费表'!B31</f>
        <v>200</v>
      </c>
      <c r="F19" s="275"/>
      <c r="G19" s="2557"/>
    </row>
    <row r="20" spans="1:7" s="258" customFormat="1" ht="13.5" customHeight="1">
      <c r="A20" s="299" t="s">
        <v>2362</v>
      </c>
      <c r="B20" s="254" t="s">
        <v>2363</v>
      </c>
      <c r="C20" s="276">
        <f ca="1">ROUND((C5+C19)*F20,0)</f>
        <v>4</v>
      </c>
      <c r="D20" s="276"/>
      <c r="E20" s="276"/>
      <c r="F20" s="277">
        <f>'数据-取费表'!B37</f>
        <v>0.02</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7">
        <f ca="1">ROUND(SUM(C23:C25),0)</f>
        <v>18</v>
      </c>
      <c r="D22" s="279">
        <f ca="1">C26</f>
        <v>1.4E-3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0</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18</v>
      </c>
      <c r="D24" s="282"/>
      <c r="E24" s="282"/>
      <c r="F24" s="283"/>
      <c r="G24" s="284" t="s">
        <v>2376</v>
      </c>
    </row>
    <row r="25" spans="1:7" s="258" customFormat="1" ht="24">
      <c r="A25" s="954" t="s">
        <v>2377</v>
      </c>
      <c r="B25" s="259" t="s">
        <v>2378</v>
      </c>
      <c r="C25" s="1358">
        <f ca="1">ROUND(IF('数据-取费表'!B22&lt;=1,C20*F22*'数据-取费表'!B23/2,C20*(POWER((1+F22),'数据-取费表'!B23/2)-1)),0)</f>
        <v>0</v>
      </c>
      <c r="D25" s="282"/>
      <c r="E25" s="285"/>
      <c r="F25" s="283"/>
      <c r="G25" s="286" t="s">
        <v>2379</v>
      </c>
    </row>
    <row r="26" spans="1:7" s="258" customFormat="1">
      <c r="A26" s="954"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29</v>
      </c>
      <c r="D27" s="279">
        <f ca="1">C29</f>
        <v>4.3E-3</v>
      </c>
      <c r="E27" s="280" t="s">
        <v>2383</v>
      </c>
      <c r="F27" s="290">
        <f ca="1">IF(B1="",'数据-取费表'!Q16,INDIRECT("'数据-取费表'!q"&amp;$G$1))</f>
        <v>0.15</v>
      </c>
      <c r="G27" s="291" t="s">
        <v>2384</v>
      </c>
    </row>
    <row r="28" spans="1:7" s="258" customFormat="1" ht="13.5" customHeight="1">
      <c r="A28" s="954" t="s">
        <v>791</v>
      </c>
      <c r="B28" s="292" t="s">
        <v>2385</v>
      </c>
      <c r="C28" s="293">
        <f ca="1">ROUND((C5+C19+C20)*F27*'数据-取费表'!B21/'数据-取费表'!B20,0)</f>
        <v>29</v>
      </c>
      <c r="D28" s="279"/>
      <c r="E28" s="280"/>
      <c r="F28" s="290"/>
      <c r="G28" s="291"/>
    </row>
    <row r="29" spans="1:7" s="258" customFormat="1" ht="13.5" customHeight="1">
      <c r="A29" s="954" t="s">
        <v>792</v>
      </c>
      <c r="B29" s="292" t="s">
        <v>2386</v>
      </c>
      <c r="C29" s="282">
        <f ca="1">ROUND(C21*F27*'数据-取费表'!B21/'数据-取费表'!B20,4)</f>
        <v>4.3E-3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276</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413</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200</v>
      </c>
      <c r="D34" s="261"/>
      <c r="E34" s="264"/>
      <c r="F34" s="301">
        <f ca="1">IF('数据-取费表'!B24=0,1,IF(B1="",'数据-取费表'!N16,INDIRECT("'数据-取费表'!n"&amp;$G$1)))</f>
        <v>1</v>
      </c>
      <c r="G34" s="263" t="s">
        <v>2395</v>
      </c>
    </row>
    <row r="35" spans="1:7" ht="13.5" customHeight="1">
      <c r="A35" s="954" t="s">
        <v>796</v>
      </c>
      <c r="B35" s="259" t="s">
        <v>2396</v>
      </c>
      <c r="C35" s="264">
        <f ca="1">ROUND(C34*F35,0)</f>
        <v>10</v>
      </c>
      <c r="D35" s="264"/>
      <c r="E35" s="264"/>
      <c r="F35" s="303">
        <f>'数据-取费表'!B33</f>
        <v>0.05</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4" t="s">
        <v>798</v>
      </c>
      <c r="B37" s="259" t="s">
        <v>2400</v>
      </c>
      <c r="C37" s="293">
        <f ca="1">ROUND(E37*D37*F34/10000,0)</f>
        <v>200</v>
      </c>
      <c r="D37" s="261">
        <f ca="1">D19</f>
        <v>10000</v>
      </c>
      <c r="E37" s="293">
        <f>'数据-取费表'!B35</f>
        <v>200</v>
      </c>
      <c r="F37" s="303"/>
      <c r="G37" s="305" t="s">
        <v>2401</v>
      </c>
    </row>
    <row r="38" spans="1:7" ht="13.5" customHeight="1">
      <c r="A38" s="954" t="s">
        <v>799</v>
      </c>
      <c r="B38" s="259" t="s">
        <v>2402</v>
      </c>
      <c r="C38" s="264">
        <f ca="1">ROUND(C34*F38,0)</f>
        <v>3</v>
      </c>
      <c r="D38" s="264"/>
      <c r="E38" s="264"/>
      <c r="F38" s="303">
        <f>'数据-取费表'!B36</f>
        <v>1.4999999999999999E-2</v>
      </c>
      <c r="G38" s="263" t="s">
        <v>2397</v>
      </c>
    </row>
    <row r="39" spans="1:7" s="258" customFormat="1" ht="13.5" customHeight="1">
      <c r="A39" s="299" t="s">
        <v>2403</v>
      </c>
      <c r="B39" s="254" t="s">
        <v>2404</v>
      </c>
      <c r="C39" s="276">
        <f ca="1">ROUND(C33*F20,0)</f>
        <v>8</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19</v>
      </c>
      <c r="D41" s="279">
        <f ca="1">C44</f>
        <v>1.4E-3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19</v>
      </c>
      <c r="D42" s="282"/>
      <c r="E42" s="282"/>
      <c r="F42" s="283"/>
      <c r="G42" s="3189" t="s">
        <v>2413</v>
      </c>
    </row>
    <row r="43" spans="1:7" ht="13.5" customHeight="1">
      <c r="A43" s="954" t="s">
        <v>792</v>
      </c>
      <c r="B43" s="259" t="s">
        <v>2414</v>
      </c>
      <c r="C43" s="282">
        <f ca="1">ROUND(IF('数据-取费表'!B22&lt;=1,C39*F22*'数据-取费表'!B21/2,C39*(POWER((1+F22),'数据-取费表'!B21/2)-1)),0)</f>
        <v>0</v>
      </c>
      <c r="D43" s="282"/>
      <c r="E43" s="282"/>
      <c r="F43" s="283"/>
      <c r="G43" s="3190"/>
    </row>
    <row r="44" spans="1:7" ht="13.5" customHeight="1">
      <c r="A44" s="954" t="s">
        <v>793</v>
      </c>
      <c r="B44" s="259" t="s">
        <v>2415</v>
      </c>
      <c r="C44" s="282">
        <f ca="1">ROUND(IF('数据-取费表'!B22&lt;=1,C40*F22*'数据-取费表'!B21/2,C40*(POWER((1+F22),'数据-取费表'!B21/2)-1)),4)</f>
        <v>1.4E-3</v>
      </c>
      <c r="D44" s="282"/>
      <c r="E44" s="282"/>
      <c r="F44" s="283"/>
      <c r="G44" s="3191"/>
    </row>
    <row r="45" spans="1:7" s="258" customFormat="1" ht="13.5" customHeight="1">
      <c r="A45" s="299" t="s">
        <v>2416</v>
      </c>
      <c r="B45" s="288" t="s">
        <v>2382</v>
      </c>
      <c r="C45" s="289">
        <f ca="1">C46</f>
        <v>63</v>
      </c>
      <c r="D45" s="279">
        <f ca="1">C47</f>
        <v>4.4999999999999997E-3</v>
      </c>
      <c r="E45" s="280" t="s">
        <v>2408</v>
      </c>
      <c r="F45" s="290"/>
      <c r="G45" s="291" t="s">
        <v>2417</v>
      </c>
    </row>
    <row r="46" spans="1:7" s="258" customFormat="1" ht="13.5" customHeight="1">
      <c r="A46" s="954" t="s">
        <v>791</v>
      </c>
      <c r="B46" s="292" t="s">
        <v>2418</v>
      </c>
      <c r="C46" s="293">
        <f ca="1">ROUND((C33+C39)*F27,0)</f>
        <v>63</v>
      </c>
      <c r="D46" s="307"/>
      <c r="E46" s="280"/>
      <c r="F46" s="290"/>
      <c r="G46" s="291"/>
    </row>
    <row r="47" spans="1:7" s="258" customFormat="1" ht="13.5" customHeight="1">
      <c r="A47" s="954" t="s">
        <v>792</v>
      </c>
      <c r="B47" s="292" t="s">
        <v>2419</v>
      </c>
      <c r="C47" s="282">
        <f ca="1">ROUND(C40*F27,4)</f>
        <v>4.4999999999999997E-3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552</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552</v>
      </c>
      <c r="D51" s="276"/>
      <c r="E51" s="276"/>
      <c r="F51" s="308"/>
      <c r="G51" s="278" t="s">
        <v>2429</v>
      </c>
    </row>
    <row r="52" spans="1:7" s="252" customFormat="1" ht="16.5" thickBot="1">
      <c r="A52" s="309" t="s">
        <v>2430</v>
      </c>
      <c r="B52" s="310"/>
      <c r="C52" s="311">
        <f ca="1">C31+C51</f>
        <v>828</v>
      </c>
      <c r="D52" s="310"/>
      <c r="E52" s="310"/>
      <c r="F52" s="310"/>
      <c r="G52" s="312"/>
    </row>
    <row r="55" spans="1:7" ht="15">
      <c r="B55" s="314" t="s">
        <v>2431</v>
      </c>
      <c r="C55" s="315"/>
    </row>
    <row r="56" spans="1:7">
      <c r="B56" s="317" t="s">
        <v>1513</v>
      </c>
      <c r="C56" s="319">
        <f ca="1">1-C57</f>
        <v>0.33299999999999996</v>
      </c>
    </row>
    <row r="57" spans="1:7">
      <c r="B57" s="317" t="s">
        <v>1514</v>
      </c>
      <c r="C57" s="318">
        <f ca="1">ROUND(C51/C52,3)</f>
        <v>0.66700000000000004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60" t="s">
        <v>2432</v>
      </c>
      <c r="D1" s="242"/>
      <c r="E1" s="242"/>
      <c r="F1" s="242"/>
      <c r="G1" s="1382">
        <f>MATCH(B1,'数据-取费表'!A6:A16,0)+5</f>
        <v>7</v>
      </c>
      <c r="H1" s="1285" t="str">
        <f>IF(ISERROR(FIND("住宅",B1)),"非住宅","住宅")</f>
        <v>非住宅</v>
      </c>
    </row>
    <row r="2" spans="1:8" s="244" customFormat="1" ht="18" customHeight="1">
      <c r="A2" s="245" t="s">
        <v>2331</v>
      </c>
      <c r="B2" s="246">
        <f ca="1">ROUND(IF(D2="——",C52/10000,C52/10000-E2),0)</f>
        <v>1112</v>
      </c>
      <c r="C2" s="243" t="s">
        <v>2332</v>
      </c>
      <c r="D2" s="2554" t="s">
        <v>70</v>
      </c>
      <c r="E2" s="1443" t="e">
        <f ca="1">SUMIF(INDIRECT("'"&amp;G2&amp;"'"&amp;"!A:A"),"承租人权益价值",INDIRECT("'"&amp;G2&amp;"'"&amp;"!c:c"))</f>
        <v>#REF!</v>
      </c>
      <c r="F2" s="2555" t="s">
        <v>2332</v>
      </c>
      <c r="G2" s="2556"/>
    </row>
    <row r="3" spans="1:8" s="244" customFormat="1" ht="18" customHeight="1" thickBot="1">
      <c r="A3" s="247" t="s">
        <v>2333</v>
      </c>
      <c r="B3" s="248">
        <f ca="1">ROUND(B2*10000/(IF(B1="",'数据-汇总表'!E3,INDIRECT("'数据-取费表'!k"&amp;$G$1))),0)</f>
        <v>1112</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2000000</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2000000</v>
      </c>
      <c r="D8" s="266"/>
      <c r="E8" s="264"/>
      <c r="F8" s="265"/>
      <c r="G8" s="2557"/>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2349</v>
      </c>
      <c r="C10" s="269">
        <f ca="1">ROUND(D10*E10,0)</f>
        <v>2000000</v>
      </c>
      <c r="D10" s="1035">
        <f ca="1">IF(B1="",'数据-汇总表'!E6,IF(INDIRECT("'数据-取费表'!c"&amp;$G$1)="住宅",INDIRECT("'数据-取费表'!s"&amp;$G$1),INDIRECT("'数据-取费表'!k"&amp;$G$1)+INDIRECT("'数据-取费表'!s"&amp;$G$1)))</f>
        <v>10000</v>
      </c>
      <c r="E10" s="269">
        <f>'数据-取费表'!B28</f>
        <v>200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2000000</v>
      </c>
      <c r="D19" s="1039">
        <f ca="1">D9+D10</f>
        <v>10000</v>
      </c>
      <c r="E19" s="255">
        <f>'数据-取费表'!B31</f>
        <v>200</v>
      </c>
      <c r="F19" s="275"/>
      <c r="G19" s="2557"/>
    </row>
    <row r="20" spans="1:7" s="258" customFormat="1" ht="13.5" customHeight="1">
      <c r="A20" s="299" t="s">
        <v>2443</v>
      </c>
      <c r="B20" s="254" t="s">
        <v>2444</v>
      </c>
      <c r="C20" s="276">
        <f ca="1">ROUND((C5+C19)*F20,0)</f>
        <v>80000</v>
      </c>
      <c r="D20" s="276"/>
      <c r="E20" s="276"/>
      <c r="F20" s="277">
        <f>'数据-取费表'!B37</f>
        <v>0.02</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83">
        <f ca="1">ROUND(SUM(C23:C25),0)</f>
        <v>392826</v>
      </c>
      <c r="D22" s="279">
        <f ca="1">C26</f>
        <v>1.4E-3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194513</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194513</v>
      </c>
      <c r="D24" s="282"/>
      <c r="E24" s="282"/>
      <c r="F24" s="283"/>
      <c r="G24" s="284" t="s">
        <v>2455</v>
      </c>
    </row>
    <row r="25" spans="1:7" s="258" customFormat="1" ht="24">
      <c r="A25" s="954" t="s">
        <v>2345</v>
      </c>
      <c r="B25" s="259" t="s">
        <v>2456</v>
      </c>
      <c r="C25" s="1384">
        <f ca="1">ROUND(IF('数据-取费表'!B22&lt;=1,C20*F22*'数据-取费表'!B22/2,C20*(POWER((1+F22),'数据-取费表'!B22/2)-1)),0)</f>
        <v>3800</v>
      </c>
      <c r="D25" s="282"/>
      <c r="E25" s="285"/>
      <c r="F25" s="283"/>
      <c r="G25" s="286" t="s">
        <v>2457</v>
      </c>
    </row>
    <row r="26" spans="1:7" s="258" customFormat="1">
      <c r="A26" s="954"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612000</v>
      </c>
      <c r="D27" s="279">
        <f ca="1">C29</f>
        <v>4.4999999999999997E-3</v>
      </c>
      <c r="E27" s="280" t="s">
        <v>2383</v>
      </c>
      <c r="F27" s="290">
        <f ca="1">IF(B1="",'数据-取费表'!Q16,INDIRECT("'数据-取费表'!q"&amp;$G$1))</f>
        <v>0.15</v>
      </c>
      <c r="G27" s="291" t="s">
        <v>2384</v>
      </c>
    </row>
    <row r="28" spans="1:7" s="258" customFormat="1" ht="13.5" customHeight="1">
      <c r="A28" s="954" t="s">
        <v>791</v>
      </c>
      <c r="B28" s="292" t="s">
        <v>2385</v>
      </c>
      <c r="C28" s="293">
        <f ca="1">ROUND((C5+C19+C20)*F27,0)</f>
        <v>612000</v>
      </c>
      <c r="D28" s="279"/>
      <c r="E28" s="280"/>
      <c r="F28" s="290"/>
      <c r="G28" s="291"/>
    </row>
    <row r="29" spans="1:7" s="258" customFormat="1" ht="13.5" customHeight="1">
      <c r="A29" s="954" t="s">
        <v>792</v>
      </c>
      <c r="B29" s="292" t="s">
        <v>2386</v>
      </c>
      <c r="C29" s="282">
        <f ca="1">ROUND(C21*F27,4)</f>
        <v>4.4999999999999997E-3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5582813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4130000</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2000000</v>
      </c>
      <c r="D34" s="261"/>
      <c r="E34" s="264"/>
      <c r="F34" s="301"/>
      <c r="G34" s="263"/>
    </row>
    <row r="35" spans="1:7" ht="13.5" customHeight="1">
      <c r="A35" s="954" t="s">
        <v>796</v>
      </c>
      <c r="B35" s="259" t="s">
        <v>2396</v>
      </c>
      <c r="C35" s="264">
        <f ca="1">ROUND(C34*F35,0)</f>
        <v>100000</v>
      </c>
      <c r="D35" s="264"/>
      <c r="E35" s="264"/>
      <c r="F35" s="303">
        <f>'数据-取费表'!B33</f>
        <v>0.05</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4" t="s">
        <v>798</v>
      </c>
      <c r="B37" s="259" t="s">
        <v>2400</v>
      </c>
      <c r="C37" s="293">
        <f ca="1">ROUND(E37*D37,0)</f>
        <v>2000000</v>
      </c>
      <c r="D37" s="261">
        <f ca="1">D19</f>
        <v>10000</v>
      </c>
      <c r="E37" s="293">
        <f>'数据-取费表'!B35</f>
        <v>200</v>
      </c>
      <c r="F37" s="303"/>
      <c r="G37" s="305"/>
    </row>
    <row r="38" spans="1:7" ht="13.5" customHeight="1">
      <c r="A38" s="954" t="s">
        <v>799</v>
      </c>
      <c r="B38" s="259" t="s">
        <v>2402</v>
      </c>
      <c r="C38" s="264">
        <f ca="1">ROUND(C34*F38,0)</f>
        <v>30000</v>
      </c>
      <c r="D38" s="264"/>
      <c r="E38" s="264"/>
      <c r="F38" s="303">
        <f>'数据-取费表'!B36</f>
        <v>1.4999999999999999E-2</v>
      </c>
      <c r="G38" s="263" t="s">
        <v>2397</v>
      </c>
    </row>
    <row r="39" spans="1:7" s="258" customFormat="1" ht="13.5" customHeight="1">
      <c r="A39" s="299" t="s">
        <v>2403</v>
      </c>
      <c r="B39" s="254" t="s">
        <v>2404</v>
      </c>
      <c r="C39" s="276">
        <f ca="1">ROUND(C33*F20,0)</f>
        <v>82600</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200099</v>
      </c>
      <c r="D41" s="279">
        <f ca="1">C44</f>
        <v>1.4E-3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196175</v>
      </c>
      <c r="D42" s="282"/>
      <c r="E42" s="282"/>
      <c r="F42" s="283"/>
      <c r="G42" s="3189" t="s">
        <v>2460</v>
      </c>
    </row>
    <row r="43" spans="1:7" ht="13.5" customHeight="1">
      <c r="A43" s="954" t="s">
        <v>792</v>
      </c>
      <c r="B43" s="259" t="s">
        <v>2414</v>
      </c>
      <c r="C43" s="282">
        <f ca="1">ROUND(IF('数据-取费表'!B22&lt;=1,C39*F22*'数据-取费表'!B20/2,C39*(POWER((1+F22),'数据-取费表'!B20/2)-1)),0)</f>
        <v>3924</v>
      </c>
      <c r="D43" s="282"/>
      <c r="E43" s="282"/>
      <c r="F43" s="283"/>
      <c r="G43" s="3190"/>
    </row>
    <row r="44" spans="1:7" ht="13.5" customHeight="1">
      <c r="A44" s="954" t="s">
        <v>793</v>
      </c>
      <c r="B44" s="259" t="s">
        <v>2415</v>
      </c>
      <c r="C44" s="282">
        <f ca="1">ROUND(IF('数据-取费表'!B22&lt;=1,C40*F22*'数据-取费表'!B20/2,C40*(POWER((1+F22),'数据-取费表'!B20/2)-1)),4)</f>
        <v>1.4E-3</v>
      </c>
      <c r="D44" s="282"/>
      <c r="E44" s="282"/>
      <c r="F44" s="283"/>
      <c r="G44" s="3191"/>
    </row>
    <row r="45" spans="1:7" s="258" customFormat="1" ht="13.5" customHeight="1">
      <c r="A45" s="299" t="s">
        <v>2416</v>
      </c>
      <c r="B45" s="288" t="s">
        <v>2382</v>
      </c>
      <c r="C45" s="289">
        <f ca="1">C46</f>
        <v>631890</v>
      </c>
      <c r="D45" s="279">
        <f ca="1">C47</f>
        <v>4.4999999999999997E-3</v>
      </c>
      <c r="E45" s="280" t="s">
        <v>2408</v>
      </c>
      <c r="F45" s="290"/>
      <c r="G45" s="291" t="s">
        <v>2417</v>
      </c>
    </row>
    <row r="46" spans="1:7" s="258" customFormat="1" ht="13.5" customHeight="1">
      <c r="A46" s="954" t="s">
        <v>791</v>
      </c>
      <c r="B46" s="292" t="s">
        <v>2418</v>
      </c>
      <c r="C46" s="293">
        <f ca="1">ROUND((C33+C39)*F27,0)</f>
        <v>631890</v>
      </c>
      <c r="D46" s="307"/>
      <c r="E46" s="280"/>
      <c r="F46" s="290"/>
      <c r="G46" s="291"/>
    </row>
    <row r="47" spans="1:7" s="258" customFormat="1" ht="13.5" customHeight="1">
      <c r="A47" s="954" t="s">
        <v>792</v>
      </c>
      <c r="B47" s="292" t="s">
        <v>2419</v>
      </c>
      <c r="C47" s="282">
        <f ca="1">ROUND(C40*F27,4)</f>
        <v>4.4999999999999997E-3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5538635</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5538635</v>
      </c>
      <c r="D51" s="276"/>
      <c r="E51" s="276"/>
      <c r="F51" s="308"/>
      <c r="G51" s="278" t="s">
        <v>2429</v>
      </c>
    </row>
    <row r="52" spans="1:7" s="252" customFormat="1" ht="16.5" thickBot="1">
      <c r="A52" s="309" t="s">
        <v>2430</v>
      </c>
      <c r="B52" s="310"/>
      <c r="C52" s="311">
        <f ca="1">C31+C51</f>
        <v>11121448</v>
      </c>
      <c r="D52" s="310"/>
      <c r="E52" s="310"/>
      <c r="F52" s="310"/>
      <c r="G52" s="312"/>
    </row>
    <row r="55" spans="1:7" ht="15">
      <c r="B55" s="314" t="s">
        <v>2431</v>
      </c>
      <c r="C55" s="315"/>
    </row>
    <row r="56" spans="1:7">
      <c r="B56" s="317" t="s">
        <v>1513</v>
      </c>
      <c r="C56" s="319">
        <f ca="1">1-C57</f>
        <v>0.502</v>
      </c>
    </row>
    <row r="57" spans="1:7">
      <c r="B57" s="317" t="s">
        <v>1514</v>
      </c>
      <c r="C57" s="318">
        <f ca="1">ROUND(C51/C52,3)</f>
        <v>0.498</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7</v>
      </c>
    </row>
    <row r="2" spans="1:33" ht="18" customHeight="1">
      <c r="A2" s="245" t="s">
        <v>2331</v>
      </c>
      <c r="B2" s="248">
        <f ca="1">C32</f>
        <v>-226</v>
      </c>
      <c r="C2" s="320" t="s">
        <v>2464</v>
      </c>
      <c r="D2" s="320"/>
      <c r="E2" s="320"/>
      <c r="F2" s="320"/>
      <c r="G2" s="320"/>
      <c r="H2" s="320"/>
      <c r="I2" s="320"/>
      <c r="J2" s="320"/>
      <c r="K2" s="320"/>
    </row>
    <row r="3" spans="1:33" ht="18" customHeight="1" thickBot="1">
      <c r="A3" s="247" t="s">
        <v>2333</v>
      </c>
      <c r="B3" s="248">
        <f ca="1">ROUND(B2*10000/IF(C1="",'数据-汇总表'!E3,INDIRECT("'数据-取费表'!K"&amp;$K$1)),0)</f>
        <v>-226</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61" t="s">
        <v>2469</v>
      </c>
      <c r="D5" s="2561" t="s">
        <v>2470</v>
      </c>
      <c r="E5" s="2561" t="s">
        <v>2471</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0.05</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10000</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10000</v>
      </c>
      <c r="E17" s="24">
        <f>'数据-取费表'!B32</f>
        <v>0</v>
      </c>
      <c r="F17" s="981"/>
      <c r="G17" s="140" t="s">
        <v>2495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200</v>
      </c>
      <c r="D18" s="1036"/>
      <c r="E18" s="24"/>
      <c r="F18" s="979"/>
      <c r="G18" s="2563"/>
      <c r="H18" s="1580"/>
      <c r="I18" s="2564"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2499</v>
      </c>
      <c r="C20" s="24">
        <f ca="1">ROUND(D20*E20/10000,0)</f>
        <v>200</v>
      </c>
      <c r="D20" s="1036">
        <f ca="1">IF(C1="",'数据-汇总表'!E6,IF(INDIRECT("'数据-取费表'!c"&amp;$K$1)="住宅",INDIRECT("'数据-取费表'!s"&amp;$K$1),INDIRECT("'数据-取费表'!k"&amp;$K$1)+INDIRECT("'数据-取费表'!s"&amp;$K$1)))</f>
        <v>10000</v>
      </c>
      <c r="E20" s="24">
        <f>'数据-取费表'!B28</f>
        <v>200</v>
      </c>
      <c r="F20" s="979"/>
      <c r="G20" s="15"/>
      <c r="H20" s="984"/>
      <c r="I20" s="984"/>
      <c r="J20" s="984"/>
      <c r="K20" s="985"/>
    </row>
    <row r="21" spans="1:33" s="978" customFormat="1" ht="13.5" customHeight="1">
      <c r="A21" s="964" t="s">
        <v>802</v>
      </c>
      <c r="B21" s="988" t="s">
        <v>2500</v>
      </c>
      <c r="C21" s="989">
        <f ca="1">C16+C17+C18</f>
        <v>200</v>
      </c>
      <c r="D21" s="990"/>
      <c r="E21" s="325"/>
      <c r="F21" s="325"/>
      <c r="G21" s="140" t="s">
        <v>2501</v>
      </c>
      <c r="H21" s="982"/>
      <c r="I21" s="982"/>
      <c r="J21" s="982"/>
      <c r="K21" s="983"/>
    </row>
    <row r="22" spans="1:33" s="978" customFormat="1" ht="13.5" customHeight="1">
      <c r="A22" s="964" t="s">
        <v>2473</v>
      </c>
      <c r="B22" s="988" t="s">
        <v>2502</v>
      </c>
      <c r="C22" s="989">
        <f ca="1">ROUND(C21*F22,0)</f>
        <v>4</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0.03</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0</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4.7999999999999996E-3</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2513</v>
      </c>
      <c r="B28" s="2566" t="s">
        <v>2514</v>
      </c>
      <c r="C28" s="331">
        <f ca="1">C30</f>
        <v>31</v>
      </c>
      <c r="D28" s="324">
        <f ca="1">C29</f>
        <v>7.7000000000000002E-3</v>
      </c>
      <c r="E28" s="326" t="s">
        <v>15</v>
      </c>
      <c r="F28" s="332">
        <f ca="1">IF(C1="",'数据-取费表'!Q16,INDIRECT("'数据-取费表'!q"&amp;$K$1))</f>
        <v>0.15</v>
      </c>
      <c r="G28" s="992"/>
      <c r="H28" s="993"/>
      <c r="I28" s="993"/>
      <c r="J28" s="993"/>
      <c r="K28" s="994"/>
    </row>
    <row r="29" spans="1:33" s="335" customFormat="1" ht="13.5" customHeight="1">
      <c r="A29" s="974" t="s">
        <v>803</v>
      </c>
      <c r="B29" s="997" t="s">
        <v>2515</v>
      </c>
      <c r="C29" s="328">
        <f ca="1">ROUND((1+C24)*F28*'数据-取费表'!B24/'数据-取费表'!B20,4)</f>
        <v>7.7000000000000002E-3</v>
      </c>
      <c r="D29" s="328"/>
      <c r="E29" s="329"/>
      <c r="F29" s="334"/>
      <c r="G29" s="140" t="s">
        <v>2516</v>
      </c>
      <c r="H29" s="982"/>
      <c r="I29" s="982"/>
      <c r="J29" s="982"/>
      <c r="K29" s="983"/>
    </row>
    <row r="30" spans="1:33" s="335" customFormat="1" ht="13.5" customHeight="1">
      <c r="A30" s="974" t="s">
        <v>804</v>
      </c>
      <c r="B30" s="997" t="s">
        <v>2517</v>
      </c>
      <c r="C30" s="336">
        <f ca="1">ROUND((C21+C22+C23)*F28,0)</f>
        <v>31</v>
      </c>
      <c r="D30" s="328"/>
      <c r="E30" s="329"/>
      <c r="F30" s="334"/>
      <c r="G30" s="140"/>
      <c r="H30" s="982"/>
      <c r="I30" s="982"/>
      <c r="J30" s="982"/>
      <c r="K30" s="983"/>
    </row>
    <row r="31" spans="1:33" s="978" customFormat="1" ht="13.5" customHeight="1" thickBot="1">
      <c r="A31" s="2567"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-226</v>
      </c>
      <c r="D32" s="1004"/>
      <c r="E32" s="1004"/>
      <c r="F32" s="1004"/>
      <c r="G32" s="1006" t="s">
        <v>2522</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94" t="s">
        <v>1403</v>
      </c>
      <c r="C6" s="1299">
        <f ca="1">ROUND(F6*F8*F7*(1-F9)/10000,0)</f>
        <v>0</v>
      </c>
      <c r="D6" s="164" t="s">
        <v>3038</v>
      </c>
      <c r="E6" s="347" t="s">
        <v>1405</v>
      </c>
      <c r="F6" s="348">
        <f ca="1">INDIRECT("'数据-取费表'!u"&amp;$G$1)</f>
        <v>0</v>
      </c>
      <c r="G6" s="1854"/>
      <c r="H6" s="1294" t="s">
        <v>1035</v>
      </c>
      <c r="I6" s="3194" t="s">
        <v>1403</v>
      </c>
      <c r="J6" s="346">
        <f ca="1">ROUND(M6*M8*M7*(1-M9)/10000,0)</f>
        <v>0</v>
      </c>
      <c r="K6" s="164" t="s">
        <v>3037</v>
      </c>
      <c r="L6" s="347" t="s">
        <v>1405</v>
      </c>
      <c r="M6" s="348">
        <f ca="1">INDIRECT("'数据-取费表'!z"&amp;$G$1)</f>
        <v>0</v>
      </c>
    </row>
    <row r="7" spans="1:37" ht="18" customHeight="1">
      <c r="A7" s="1298"/>
      <c r="B7" s="3195"/>
      <c r="C7" s="1300"/>
      <c r="D7" s="352"/>
      <c r="E7" s="1301" t="s">
        <v>1406</v>
      </c>
      <c r="F7" s="348">
        <f ca="1">IF(INDIRECT("'数据-取费表'!ah"&amp;$G$1)="",INDIRECT("'数据-取费表'!k"&amp;$G$1),INDIRECT("'数据-取费表'!ah"&amp;$G$1))</f>
        <v>0</v>
      </c>
      <c r="G7" s="1854"/>
      <c r="H7" s="349"/>
      <c r="I7" s="3195"/>
      <c r="J7" s="351"/>
      <c r="K7" s="352"/>
      <c r="L7" s="347" t="s">
        <v>1406</v>
      </c>
      <c r="M7" s="348">
        <f ca="1">F7</f>
        <v>0</v>
      </c>
    </row>
    <row r="8" spans="1:37" ht="18" customHeight="1">
      <c r="A8" s="349"/>
      <c r="B8" s="3195"/>
      <c r="C8" s="351"/>
      <c r="D8" s="352"/>
      <c r="E8" s="347" t="s">
        <v>1407</v>
      </c>
      <c r="F8" s="348">
        <f ca="1">INDIRECT("'数据-取费表'!ai"&amp;$G$1)</f>
        <v>0</v>
      </c>
      <c r="G8" s="1854"/>
      <c r="H8" s="349"/>
      <c r="I8" s="3195"/>
      <c r="J8" s="351"/>
      <c r="K8" s="352"/>
      <c r="L8" s="347" t="s">
        <v>1407</v>
      </c>
      <c r="M8" s="348">
        <f ca="1">INDIRECT("'数据-取费表'!ai"&amp;$G$1)</f>
        <v>0</v>
      </c>
    </row>
    <row r="9" spans="1:37" ht="18" customHeight="1">
      <c r="A9" s="349"/>
      <c r="B9" s="3196"/>
      <c r="C9" s="351"/>
      <c r="D9" s="352"/>
      <c r="E9" s="347" t="s">
        <v>1408</v>
      </c>
      <c r="F9" s="357">
        <f ca="1">INDIRECT("'数据-取费表'!w"&amp;$G$1)</f>
        <v>0</v>
      </c>
      <c r="G9" s="1854"/>
      <c r="H9" s="349"/>
      <c r="I9" s="319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c r="G10" s="1854"/>
      <c r="H10" s="1294" t="s">
        <v>1039</v>
      </c>
      <c r="I10" s="1826" t="s">
        <v>1409</v>
      </c>
      <c r="J10" s="346">
        <f ca="1">ROUND(IF(M10="押一",J6/12*M11,IF(M10="押二",J6/12*2*M11,IF(M10="押三",J6/12*3*M11,J11*M11))),0)</f>
        <v>0</v>
      </c>
      <c r="K10" s="1827" t="s">
        <v>3046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3039</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3046</v>
      </c>
      <c r="E53" s="358" t="s">
        <v>1410</v>
      </c>
      <c r="F53" s="1369"/>
      <c r="I53" s="1908" t="s">
        <v>1547</v>
      </c>
      <c r="J53" s="1909" t="b">
        <f>IF(M47="住宅",J51,IF(D1="——",MIN(J51,L48),IF(D1="在建（套用方法）",MIN(J51,L48-'数据-取费表'!B24),IF(D1="土地（套用方法）",MIN(J51,L48-'数据-取费表'!B20)))))</f>
        <v>0</v>
      </c>
      <c r="K53" s="3192" t="s">
        <v>1548</v>
      </c>
      <c r="L53" s="3193"/>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4" t="s">
        <v>1403</v>
      </c>
      <c r="C6" s="1299">
        <f ca="1">ROUND(F6*F8*F7*(1-F9),0)</f>
        <v>0</v>
      </c>
      <c r="D6" s="164" t="s">
        <v>3035</v>
      </c>
      <c r="E6" s="347" t="s">
        <v>1405</v>
      </c>
      <c r="F6" s="348">
        <f ca="1">INDIRECT("'数据-取费表'!u"&amp;$G$1)</f>
        <v>0</v>
      </c>
      <c r="G6" s="1854"/>
      <c r="H6" s="1294" t="s">
        <v>1035</v>
      </c>
      <c r="I6" s="3194" t="s">
        <v>1403</v>
      </c>
      <c r="J6" s="346">
        <f ca="1">ROUND(M6*M8*M7*(1-M9),0)</f>
        <v>0</v>
      </c>
      <c r="K6" s="1837" t="s">
        <v>3036</v>
      </c>
      <c r="L6" s="347" t="s">
        <v>1405</v>
      </c>
      <c r="M6" s="348">
        <f ca="1">INDIRECT("'数据-取费表'!z"&amp;$G$1)</f>
        <v>0</v>
      </c>
    </row>
    <row r="7" spans="1:37" ht="18" customHeight="1">
      <c r="A7" s="1298"/>
      <c r="B7" s="3195"/>
      <c r="C7" s="1300"/>
      <c r="D7" s="352"/>
      <c r="E7" s="1301" t="s">
        <v>1406</v>
      </c>
      <c r="F7" s="348">
        <f ca="1">IF(INDIRECT("'数据-取费表'!ah"&amp;$G$1)="",INDIRECT("'数据-取费表'!k"&amp;$G$1),INDIRECT("'数据-取费表'!ah"&amp;$G$1))</f>
        <v>0</v>
      </c>
      <c r="G7" s="1854"/>
      <c r="H7" s="349"/>
      <c r="I7" s="3195"/>
      <c r="J7" s="351"/>
      <c r="K7" s="352"/>
      <c r="L7" s="347" t="s">
        <v>1406</v>
      </c>
      <c r="M7" s="348">
        <f ca="1">F7</f>
        <v>0</v>
      </c>
    </row>
    <row r="8" spans="1:37" ht="18" customHeight="1">
      <c r="A8" s="349"/>
      <c r="B8" s="3195"/>
      <c r="C8" s="351"/>
      <c r="D8" s="352"/>
      <c r="E8" s="347" t="s">
        <v>1407</v>
      </c>
      <c r="F8" s="348">
        <f ca="1">INDIRECT("'数据-取费表'!ai"&amp;$G$1)</f>
        <v>0</v>
      </c>
      <c r="G8" s="1854"/>
      <c r="H8" s="349"/>
      <c r="I8" s="3195"/>
      <c r="J8" s="351"/>
      <c r="K8" s="352"/>
      <c r="L8" s="347" t="s">
        <v>1407</v>
      </c>
      <c r="M8" s="348">
        <f ca="1">INDIRECT("'数据-取费表'!ai"&amp;$G$1)</f>
        <v>0</v>
      </c>
    </row>
    <row r="9" spans="1:37" ht="18" customHeight="1">
      <c r="A9" s="349"/>
      <c r="B9" s="3196"/>
      <c r="C9" s="351"/>
      <c r="D9" s="352"/>
      <c r="E9" s="347" t="s">
        <v>1408</v>
      </c>
      <c r="F9" s="357">
        <f ca="1">INDIRECT("'数据-取费表'!w"&amp;$G$1)</f>
        <v>0</v>
      </c>
      <c r="G9" s="1854"/>
      <c r="H9" s="349"/>
      <c r="I9" s="319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c r="G10" s="1854"/>
      <c r="H10" s="1294" t="s">
        <v>1039</v>
      </c>
      <c r="I10" s="1826" t="s">
        <v>1409</v>
      </c>
      <c r="J10" s="346">
        <f ca="1">ROUND(IF(M10="押一",J6/12*M11,IF(M10="押二",J6/12*2*M11,IF(M10="押三",J6/12*3*M11,J11*M11))),0)</f>
        <v>0</v>
      </c>
      <c r="K10" s="1838" t="s">
        <v>3048</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3049</v>
      </c>
      <c r="E53" s="358" t="s">
        <v>1410</v>
      </c>
      <c r="F53" s="1369"/>
      <c r="I53" s="1908" t="s">
        <v>1547</v>
      </c>
      <c r="J53" s="1909" t="b">
        <f>IF(M47="住宅",J51,IF(D1="——",MIN(J51,L48),IF(D1="在建（套用方法）",MIN(J51,L48-'数据-取费表'!B24),IF(D1="土地（套用方法）",MIN(J51,L48-'数据-取费表'!B20)))))</f>
        <v>0</v>
      </c>
      <c r="K53" s="3192" t="s">
        <v>1548</v>
      </c>
      <c r="L53" s="3193"/>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2530</v>
      </c>
      <c r="B1" s="2569"/>
      <c r="C1" s="2569"/>
      <c r="D1" s="2569"/>
      <c r="E1" s="2570"/>
    </row>
    <row r="2" spans="1:6" ht="15.75">
      <c r="A2" s="2571" t="s">
        <v>2331</v>
      </c>
      <c r="B2" s="2572">
        <f ca="1">SUMIF(B6:B13,"&lt;&gt;#ref!",B6:B13)</f>
        <v>0</v>
      </c>
      <c r="C2" s="2573" t="s">
        <v>2523</v>
      </c>
      <c r="D2" s="2574" t="s">
        <v>2524</v>
      </c>
      <c r="E2" s="2575">
        <f>SUM(E6:E13)</f>
        <v>0</v>
      </c>
    </row>
    <row r="3" spans="1:6" ht="15.75">
      <c r="A3" s="2571" t="s">
        <v>1395</v>
      </c>
      <c r="B3" s="2572" t="e">
        <f ca="1">ROUND(B2*10000/E2,0)</f>
        <v>#DIV/0!</v>
      </c>
      <c r="C3" s="2573" t="s">
        <v>2531</v>
      </c>
      <c r="D3" s="2576"/>
      <c r="E3" s="2577"/>
    </row>
    <row r="4" spans="1:6" ht="15.75">
      <c r="A4" s="2578"/>
      <c r="B4" s="2576"/>
      <c r="C4" s="2576"/>
      <c r="D4" s="2576"/>
      <c r="E4" s="2577"/>
    </row>
    <row r="5" spans="1:6" ht="15">
      <c r="A5" s="2579" t="s">
        <v>2525</v>
      </c>
      <c r="B5" s="3197" t="s">
        <v>2526</v>
      </c>
      <c r="C5" s="3197"/>
      <c r="D5" s="2580"/>
      <c r="E5" s="2581" t="s">
        <v>2527</v>
      </c>
      <c r="F5" s="2582" t="s">
        <v>2528</v>
      </c>
    </row>
    <row r="6" spans="1:6">
      <c r="A6" s="2583">
        <f>'数据-取费表'!AN6</f>
        <v>0</v>
      </c>
      <c r="B6" s="2582" t="e">
        <f ca="1">IF(F6="是",'数据-取费表'!AO6,0)</f>
        <v>#REF!</v>
      </c>
      <c r="C6" s="2573" t="s">
        <v>2523</v>
      </c>
      <c r="D6" s="2576"/>
      <c r="E6" s="2584">
        <f>IF(OR(A6=0,F6="否"),0,'数据-取费表'!K6+'数据-取费表'!S6)</f>
        <v>0</v>
      </c>
      <c r="F6" s="2585" t="s">
        <v>2529</v>
      </c>
    </row>
    <row r="7" spans="1:6">
      <c r="A7" s="2583">
        <f>'数据-取费表'!AN7</f>
        <v>0</v>
      </c>
      <c r="B7" s="2582" t="e">
        <f ca="1">IF(F7="是",'数据-取费表'!AO7,0)</f>
        <v>#REF!</v>
      </c>
      <c r="C7" s="2573" t="s">
        <v>2523</v>
      </c>
      <c r="D7" s="2576"/>
      <c r="E7" s="2584">
        <f>IF(OR(A7=0,F7="否"),0,'数据-取费表'!K7+'数据-取费表'!S7)</f>
        <v>0</v>
      </c>
      <c r="F7" s="2585" t="s">
        <v>2529</v>
      </c>
    </row>
    <row r="8" spans="1:6">
      <c r="A8" s="2583">
        <f>'数据-取费表'!AN8</f>
        <v>0</v>
      </c>
      <c r="B8" s="2582" t="e">
        <f ca="1">IF(F8="是",'数据-取费表'!AO8,0)</f>
        <v>#REF!</v>
      </c>
      <c r="C8" s="2573" t="s">
        <v>2523</v>
      </c>
      <c r="D8" s="2576"/>
      <c r="E8" s="2584">
        <f>IF(OR(A8=0,F8="否"),0,'数据-取费表'!K8+'数据-取费表'!S8)</f>
        <v>0</v>
      </c>
      <c r="F8" s="2585" t="s">
        <v>2529</v>
      </c>
    </row>
    <row r="9" spans="1:6">
      <c r="A9" s="2583">
        <f>'数据-取费表'!AN9</f>
        <v>0</v>
      </c>
      <c r="B9" s="2582" t="e">
        <f ca="1">IF(F9="是",'数据-取费表'!AO9,0)</f>
        <v>#REF!</v>
      </c>
      <c r="C9" s="2573" t="s">
        <v>2523</v>
      </c>
      <c r="D9" s="2576"/>
      <c r="E9" s="2584">
        <f>IF(OR(A9=0,F9="否"),0,'数据-取费表'!K9+'数据-取费表'!S9)</f>
        <v>0</v>
      </c>
      <c r="F9" s="2585" t="s">
        <v>2529</v>
      </c>
    </row>
    <row r="10" spans="1:6">
      <c r="A10" s="2583">
        <f>'数据-取费表'!AN10</f>
        <v>0</v>
      </c>
      <c r="B10" s="2582" t="e">
        <f ca="1">IF(F10="是",'数据-取费表'!AO10,0)</f>
        <v>#REF!</v>
      </c>
      <c r="C10" s="2573" t="s">
        <v>2523</v>
      </c>
      <c r="D10" s="2576"/>
      <c r="E10" s="2584">
        <f>IF(OR(A10=0,F10="否"),0,'数据-取费表'!K10+'数据-取费表'!S10)</f>
        <v>0</v>
      </c>
      <c r="F10" s="2585" t="s">
        <v>2529</v>
      </c>
    </row>
    <row r="11" spans="1:6">
      <c r="A11" s="2583">
        <f>'数据-取费表'!AN11</f>
        <v>0</v>
      </c>
      <c r="B11" s="2582" t="e">
        <f ca="1">IF(F11="是",'数据-取费表'!AO11,0)</f>
        <v>#REF!</v>
      </c>
      <c r="C11" s="2573" t="s">
        <v>2523</v>
      </c>
      <c r="D11" s="2576"/>
      <c r="E11" s="2584">
        <f>IF(OR(A11=0,F11="否"),0,'数据-取费表'!K11+'数据-取费表'!S11)</f>
        <v>0</v>
      </c>
      <c r="F11" s="2585" t="s">
        <v>2529</v>
      </c>
    </row>
    <row r="12" spans="1:6">
      <c r="A12" s="2583">
        <f>'数据-取费表'!AN12</f>
        <v>0</v>
      </c>
      <c r="B12" s="2582" t="e">
        <f ca="1">IF(F12="是",'数据-取费表'!AO12,0)</f>
        <v>#REF!</v>
      </c>
      <c r="C12" s="2573" t="s">
        <v>2523</v>
      </c>
      <c r="D12" s="2576"/>
      <c r="E12" s="2584">
        <f>IF(OR(A12=0,F12="否"),0,'数据-取费表'!K12+'数据-取费表'!S12)</f>
        <v>0</v>
      </c>
      <c r="F12" s="2585" t="s">
        <v>2529</v>
      </c>
    </row>
    <row r="13" spans="1:6" ht="15" thickBot="1">
      <c r="A13" s="2586">
        <f>'数据-取费表'!AN13</f>
        <v>0</v>
      </c>
      <c r="B13" s="2582" t="e">
        <f ca="1">IF(F13="是",'数据-取费表'!AO13,0)</f>
        <v>#REF!</v>
      </c>
      <c r="C13" s="2587" t="s">
        <v>2523</v>
      </c>
      <c r="D13" s="2588"/>
      <c r="E13" s="2584">
        <f>IF(OR(A13=0,F13="否"),0,'数据-取费表'!K13+'数据-取费表'!S13)</f>
        <v>0</v>
      </c>
      <c r="F13" s="2585" t="s">
        <v>2529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8" t="s">
        <v>1076</v>
      </c>
      <c r="B1" s="3199"/>
      <c r="C1" s="3200"/>
      <c r="D1" s="3201">
        <f>SUM(I10,I15,I20,I21,I23)</f>
        <v>0</v>
      </c>
      <c r="E1" s="3201"/>
      <c r="F1" s="3201"/>
      <c r="G1" s="3201"/>
      <c r="H1" s="3201"/>
      <c r="I1" s="3202"/>
    </row>
    <row r="2" spans="1:9">
      <c r="A2" s="3203" t="s">
        <v>1077</v>
      </c>
      <c r="B2" s="3204" t="s">
        <v>1078</v>
      </c>
      <c r="C2" s="3204"/>
      <c r="D2" s="1304" t="s">
        <v>1079</v>
      </c>
      <c r="E2" s="1304" t="s">
        <v>1080</v>
      </c>
      <c r="F2" s="1304" t="s">
        <v>1081</v>
      </c>
      <c r="G2" s="1304" t="s">
        <v>1082</v>
      </c>
      <c r="H2" s="1304" t="s">
        <v>1083</v>
      </c>
      <c r="I2" s="1305" t="s">
        <v>1084</v>
      </c>
    </row>
    <row r="3" spans="1:9">
      <c r="A3" s="3203"/>
      <c r="B3" s="3204" t="s">
        <v>1085</v>
      </c>
      <c r="C3" s="3204"/>
      <c r="D3" s="1306"/>
      <c r="E3" s="1304"/>
      <c r="F3" s="1307"/>
      <c r="G3" s="1307"/>
      <c r="H3" s="1308"/>
      <c r="I3" s="1309">
        <f>ROUND(D3*E3*F3*G3*H3/10000,0)</f>
        <v>0</v>
      </c>
    </row>
    <row r="4" spans="1:9">
      <c r="A4" s="3203"/>
      <c r="B4" s="3204" t="s">
        <v>1086</v>
      </c>
      <c r="C4" s="3204"/>
      <c r="D4" s="1306"/>
      <c r="E4" s="1304"/>
      <c r="F4" s="1307"/>
      <c r="G4" s="1307"/>
      <c r="H4" s="1308"/>
      <c r="I4" s="1309">
        <f t="shared" ref="I4:I9" si="0">ROUND(D4*E4*F4*G4*H4/10000,0)</f>
        <v>0</v>
      </c>
    </row>
    <row r="5" spans="1:9">
      <c r="A5" s="3203"/>
      <c r="B5" s="3204" t="s">
        <v>1087</v>
      </c>
      <c r="C5" s="3204"/>
      <c r="D5" s="1306"/>
      <c r="E5" s="1304"/>
      <c r="F5" s="1307"/>
      <c r="G5" s="1307"/>
      <c r="H5" s="1308"/>
      <c r="I5" s="1309">
        <f t="shared" si="0"/>
        <v>0</v>
      </c>
    </row>
    <row r="6" spans="1:9">
      <c r="A6" s="3203"/>
      <c r="B6" s="3204" t="s">
        <v>1088</v>
      </c>
      <c r="C6" s="3204"/>
      <c r="D6" s="1306"/>
      <c r="E6" s="1304"/>
      <c r="F6" s="1307"/>
      <c r="G6" s="1307"/>
      <c r="H6" s="1308"/>
      <c r="I6" s="1309">
        <f t="shared" si="0"/>
        <v>0</v>
      </c>
    </row>
    <row r="7" spans="1:9">
      <c r="A7" s="3203"/>
      <c r="B7" s="3204" t="s">
        <v>1089</v>
      </c>
      <c r="C7" s="3204"/>
      <c r="D7" s="1306"/>
      <c r="E7" s="1304"/>
      <c r="F7" s="1307"/>
      <c r="G7" s="1307"/>
      <c r="H7" s="1308"/>
      <c r="I7" s="1309">
        <f t="shared" si="0"/>
        <v>0</v>
      </c>
    </row>
    <row r="8" spans="1:9">
      <c r="A8" s="3203"/>
      <c r="B8" s="3204" t="s">
        <v>1090</v>
      </c>
      <c r="C8" s="3204"/>
      <c r="D8" s="1306"/>
      <c r="E8" s="1304"/>
      <c r="F8" s="1307"/>
      <c r="G8" s="1307"/>
      <c r="H8" s="1308"/>
      <c r="I8" s="1309">
        <f t="shared" si="0"/>
        <v>0</v>
      </c>
    </row>
    <row r="9" spans="1:9">
      <c r="A9" s="3203"/>
      <c r="B9" s="3204" t="s">
        <v>1091</v>
      </c>
      <c r="C9" s="3204"/>
      <c r="D9" s="1306"/>
      <c r="E9" s="1304"/>
      <c r="F9" s="1307"/>
      <c r="G9" s="1307"/>
      <c r="H9" s="1308"/>
      <c r="I9" s="1309">
        <f t="shared" si="0"/>
        <v>0</v>
      </c>
    </row>
    <row r="10" spans="1:9">
      <c r="A10" s="3203"/>
      <c r="B10" s="3205" t="s">
        <v>1092</v>
      </c>
      <c r="C10" s="3205"/>
      <c r="D10" s="1310"/>
      <c r="E10" s="1310" t="e">
        <f>ROUND(D1*10000/D10/H9,0)</f>
        <v>#DIV/0!</v>
      </c>
      <c r="F10" s="1311"/>
      <c r="G10" s="1311"/>
      <c r="H10" s="1312"/>
      <c r="I10" s="1313">
        <f>SUM(I3:I9)</f>
        <v>0</v>
      </c>
    </row>
    <row r="11" spans="1:9" ht="14.25">
      <c r="A11" s="3203" t="s">
        <v>1093</v>
      </c>
      <c r="B11" s="3204" t="s">
        <v>1094</v>
      </c>
      <c r="C11" s="3204"/>
      <c r="D11" s="1306" t="s">
        <v>1095</v>
      </c>
      <c r="E11" s="1306" t="s">
        <v>1096</v>
      </c>
      <c r="F11" s="1307" t="s">
        <v>1097</v>
      </c>
      <c r="G11" s="1307" t="s">
        <v>1083</v>
      </c>
      <c r="H11" s="1314" t="s">
        <v>1098</v>
      </c>
      <c r="I11" s="1305" t="s">
        <v>1084</v>
      </c>
    </row>
    <row r="12" spans="1:9">
      <c r="A12" s="3203"/>
      <c r="B12" s="3204" t="s">
        <v>1099</v>
      </c>
      <c r="C12" s="3204"/>
      <c r="D12" s="1306"/>
      <c r="E12" s="1306"/>
      <c r="F12" s="1307"/>
      <c r="G12" s="1308"/>
      <c r="H12" s="1315"/>
      <c r="I12" s="1305">
        <f>ROUND(D12*E12*F12*G12/10000,0)</f>
        <v>0</v>
      </c>
    </row>
    <row r="13" spans="1:9">
      <c r="A13" s="3203"/>
      <c r="B13" s="3204" t="s">
        <v>1100</v>
      </c>
      <c r="C13" s="3204"/>
      <c r="D13" s="1306"/>
      <c r="E13" s="1306"/>
      <c r="F13" s="1307"/>
      <c r="G13" s="1308"/>
      <c r="H13" s="1315"/>
      <c r="I13" s="1305">
        <f>ROUND(D13*E13*F13*G13/10000,0)</f>
        <v>0</v>
      </c>
    </row>
    <row r="14" spans="1:9">
      <c r="A14" s="3203"/>
      <c r="B14" s="3204" t="s">
        <v>1101</v>
      </c>
      <c r="C14" s="3204"/>
      <c r="D14" s="1306"/>
      <c r="E14" s="1306"/>
      <c r="F14" s="1307"/>
      <c r="G14" s="1308"/>
      <c r="H14" s="1315"/>
      <c r="I14" s="1305">
        <f>ROUND(D14*E14*F14*G14/10000,0)</f>
        <v>0</v>
      </c>
    </row>
    <row r="15" spans="1:9">
      <c r="A15" s="3203"/>
      <c r="B15" s="3205" t="s">
        <v>1092</v>
      </c>
      <c r="C15" s="3205"/>
      <c r="D15" s="1310"/>
      <c r="E15" s="1310">
        <f>SUM(E12:E14)</f>
        <v>0</v>
      </c>
      <c r="F15" s="1311"/>
      <c r="G15" s="1308"/>
      <c r="H15" s="1315"/>
      <c r="I15" s="1316">
        <f>SUM(I12:I14)</f>
        <v>0</v>
      </c>
    </row>
    <row r="16" spans="1:9" ht="24">
      <c r="A16" s="3203" t="s">
        <v>1102</v>
      </c>
      <c r="B16" s="3204" t="s">
        <v>1103</v>
      </c>
      <c r="C16" s="3204"/>
      <c r="D16" s="1306" t="s">
        <v>1079</v>
      </c>
      <c r="E16" s="1317" t="s">
        <v>1104</v>
      </c>
      <c r="F16" s="1307" t="s">
        <v>1105</v>
      </c>
      <c r="G16" s="1308" t="s">
        <v>1083</v>
      </c>
      <c r="H16" s="1314" t="s">
        <v>1098</v>
      </c>
      <c r="I16" s="1305" t="s">
        <v>1084</v>
      </c>
    </row>
    <row r="17" spans="1:9" ht="14.25">
      <c r="A17" s="3203"/>
      <c r="B17" s="3204" t="s">
        <v>1106</v>
      </c>
      <c r="C17" s="3204"/>
      <c r="D17" s="1306"/>
      <c r="E17" s="1306"/>
      <c r="F17" s="1307"/>
      <c r="G17" s="1308"/>
      <c r="H17" s="1318"/>
      <c r="I17" s="1319">
        <f>ROUND(D17*E17*F17*G17/10000,0)</f>
        <v>0</v>
      </c>
    </row>
    <row r="18" spans="1:9" ht="14.25">
      <c r="A18" s="3203"/>
      <c r="B18" s="3204" t="s">
        <v>1107</v>
      </c>
      <c r="C18" s="3204"/>
      <c r="D18" s="1306"/>
      <c r="E18" s="1306"/>
      <c r="F18" s="1307"/>
      <c r="G18" s="1308"/>
      <c r="H18" s="1318"/>
      <c r="I18" s="1319">
        <f>ROUND(D18*E18*F18*G18/10000,0)</f>
        <v>0</v>
      </c>
    </row>
    <row r="19" spans="1:9" ht="14.25">
      <c r="A19" s="3203"/>
      <c r="B19" s="3204" t="s">
        <v>1108</v>
      </c>
      <c r="C19" s="3204"/>
      <c r="D19" s="1306"/>
      <c r="E19" s="1306"/>
      <c r="F19" s="1307"/>
      <c r="G19" s="1308"/>
      <c r="H19" s="1318"/>
      <c r="I19" s="1319">
        <f>ROUND(D19*E19*F19*G19/10000,0)</f>
        <v>0</v>
      </c>
    </row>
    <row r="20" spans="1:9">
      <c r="A20" s="3203"/>
      <c r="B20" s="3205" t="s">
        <v>1092</v>
      </c>
      <c r="C20" s="3205"/>
      <c r="D20" s="1310">
        <f>SUM(D17:D19)</f>
        <v>0</v>
      </c>
      <c r="E20" s="1310"/>
      <c r="F20" s="1311"/>
      <c r="G20" s="1308"/>
      <c r="H20" s="1315"/>
      <c r="I20" s="1316">
        <f>SUM(I17:I19)</f>
        <v>0</v>
      </c>
    </row>
    <row r="21" spans="1:9">
      <c r="A21" s="3203" t="s">
        <v>1109</v>
      </c>
      <c r="B21" s="3207"/>
      <c r="C21" s="3207"/>
      <c r="D21" s="3207"/>
      <c r="E21" s="3207"/>
      <c r="F21" s="3207"/>
      <c r="G21" s="3207"/>
      <c r="H21" s="1768">
        <v>0.1</v>
      </c>
      <c r="I21" s="1313">
        <f>ROUND(I10*H21,0)</f>
        <v>0</v>
      </c>
    </row>
    <row r="22" spans="1:9" ht="14.25">
      <c r="A22" s="3208" t="s">
        <v>1110</v>
      </c>
      <c r="B22" s="3209"/>
      <c r="C22" s="3210"/>
      <c r="D22" s="1320" t="s">
        <v>1111</v>
      </c>
      <c r="E22" s="1320" t="s">
        <v>1112</v>
      </c>
      <c r="F22" s="1321" t="s">
        <v>1113</v>
      </c>
      <c r="G22" s="1321" t="s">
        <v>1114</v>
      </c>
      <c r="H22" s="1314" t="s">
        <v>1115</v>
      </c>
      <c r="I22" s="1305" t="s">
        <v>1116</v>
      </c>
    </row>
    <row r="23" spans="1:9" ht="14.25" thickBot="1">
      <c r="A23" s="3211"/>
      <c r="B23" s="3212"/>
      <c r="C23" s="3213"/>
      <c r="D23" s="1322"/>
      <c r="E23" s="1322"/>
      <c r="F23" s="1322"/>
      <c r="G23" s="1323"/>
      <c r="H23" s="1324"/>
      <c r="I23" s="1325">
        <f>ROUND(E23*D23*F23*(1-G23)/10000,0)</f>
        <v>0</v>
      </c>
    </row>
    <row r="26" spans="1:9">
      <c r="A26" s="1326" t="s">
        <v>1117</v>
      </c>
      <c r="B26" s="1326"/>
      <c r="C26" s="1326"/>
      <c r="D26" s="1326"/>
      <c r="E26" s="3214">
        <f>C27-C30-C31-C32</f>
        <v>0</v>
      </c>
      <c r="F26" s="3214"/>
      <c r="G26" s="3214"/>
      <c r="H26" s="1740" t="s">
        <v>1340</v>
      </c>
    </row>
    <row r="27" spans="1:9">
      <c r="A27" s="1327">
        <v>1</v>
      </c>
      <c r="B27" s="1328" t="s">
        <v>1118</v>
      </c>
      <c r="C27" s="1328">
        <f>C28+C29</f>
        <v>0</v>
      </c>
      <c r="D27" s="1328"/>
      <c r="E27" s="3215"/>
      <c r="F27" s="3215"/>
      <c r="G27" s="3215"/>
    </row>
    <row r="28" spans="1:9">
      <c r="A28" s="1329" t="s">
        <v>1119</v>
      </c>
      <c r="B28" s="1328" t="s">
        <v>1120</v>
      </c>
      <c r="C28" s="1328"/>
      <c r="D28" s="1328"/>
      <c r="E28" s="3215"/>
      <c r="F28" s="3215"/>
      <c r="G28" s="321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6"/>
      <c r="F32" s="3206"/>
      <c r="G32" s="3206"/>
    </row>
    <row r="33" spans="1:7" hidden="1">
      <c r="A33" s="3216" t="s">
        <v>1129</v>
      </c>
      <c r="B33" s="3217"/>
      <c r="C33" s="3217"/>
      <c r="D33" s="3218"/>
      <c r="E33" s="3214"/>
      <c r="F33" s="3214"/>
      <c r="G33" s="3214"/>
    </row>
    <row r="34" spans="1:7" hidden="1">
      <c r="A34" s="1331">
        <v>1</v>
      </c>
      <c r="B34" s="1328" t="s">
        <v>1130</v>
      </c>
      <c r="C34" s="1328"/>
      <c r="D34" s="1328"/>
      <c r="E34" s="3215"/>
      <c r="F34" s="3215"/>
      <c r="G34" s="3215"/>
    </row>
    <row r="35" spans="1:7" hidden="1">
      <c r="A35" s="1331">
        <v>2</v>
      </c>
      <c r="B35" s="1328" t="s">
        <v>1131</v>
      </c>
      <c r="C35" s="1328"/>
      <c r="D35" s="1328"/>
      <c r="E35" s="3215"/>
      <c r="F35" s="3215"/>
      <c r="G35" s="3215"/>
    </row>
    <row r="36" spans="1:7" hidden="1">
      <c r="A36" s="1331">
        <v>3</v>
      </c>
      <c r="B36" s="1328" t="s">
        <v>1132</v>
      </c>
      <c r="C36" s="1328"/>
      <c r="D36" s="1328"/>
      <c r="E36" s="3215"/>
      <c r="F36" s="3215"/>
      <c r="G36" s="3215"/>
    </row>
    <row r="37" spans="1:7" hidden="1">
      <c r="A37" s="1331">
        <v>4</v>
      </c>
      <c r="B37" s="1328" t="s">
        <v>1133</v>
      </c>
      <c r="C37" s="1328"/>
      <c r="D37" s="1328"/>
      <c r="E37" s="3215"/>
      <c r="F37" s="3215"/>
      <c r="G37" s="3215"/>
    </row>
    <row r="38" spans="1:7" hidden="1">
      <c r="A38" s="3216" t="s">
        <v>1134</v>
      </c>
      <c r="B38" s="3217"/>
      <c r="C38" s="3217"/>
      <c r="D38" s="3218"/>
      <c r="E38" s="3214"/>
      <c r="F38" s="3214"/>
      <c r="G38" s="32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2533</v>
      </c>
      <c r="C1" s="1637" t="s">
        <v>2534</v>
      </c>
      <c r="D1" s="1624"/>
      <c r="E1" s="2590"/>
      <c r="F1" s="2591" t="s">
        <v>2535</v>
      </c>
      <c r="G1" s="1634" t="s">
        <v>2536</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2537</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2538</v>
      </c>
      <c r="D3" s="399">
        <f>IF(D1="",'数据-汇总表'!E3,SUMIF('数据-汇总表'!$C19:$C33,D1,'数据-汇总表'!$E19:$E33))</f>
        <v>10000</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2539</v>
      </c>
      <c r="B4" s="402"/>
      <c r="C4" s="3164" t="s">
        <v>2540</v>
      </c>
      <c r="D4" s="3165"/>
      <c r="E4" s="3166" t="s">
        <v>2541</v>
      </c>
      <c r="F4" s="3167"/>
      <c r="G4" s="3164" t="s">
        <v>2542</v>
      </c>
      <c r="H4" s="3165"/>
      <c r="I4" s="3164" t="s">
        <v>2543</v>
      </c>
      <c r="J4" s="3165"/>
      <c r="K4" s="2603" t="s">
        <v>2544</v>
      </c>
      <c r="L4" s="1133"/>
      <c r="M4" s="1134"/>
      <c r="N4" s="1134"/>
      <c r="O4" s="1134"/>
      <c r="P4" s="3168" t="s">
        <v>2545</v>
      </c>
      <c r="Q4" s="3169"/>
      <c r="R4" s="3151" t="s">
        <v>2541</v>
      </c>
      <c r="S4" s="3152"/>
      <c r="T4" s="3151" t="s">
        <v>2542</v>
      </c>
      <c r="U4" s="3152"/>
      <c r="V4" s="3176" t="s">
        <v>2543</v>
      </c>
      <c r="W4" s="3176"/>
      <c r="X4" s="1816"/>
      <c r="Y4" s="3151" t="s">
        <v>2545</v>
      </c>
      <c r="Z4" s="3152"/>
      <c r="AA4" s="3146" t="s">
        <v>2541</v>
      </c>
      <c r="AB4" s="3146" t="s">
        <v>2542</v>
      </c>
      <c r="AC4" s="3146" t="s">
        <v>2543</v>
      </c>
    </row>
    <row r="5" spans="1:29" ht="15">
      <c r="A5" s="404"/>
      <c r="B5" s="405"/>
      <c r="C5" s="3157" t="s">
        <v>2546</v>
      </c>
      <c r="D5" s="3158"/>
      <c r="E5" s="3155" t="s">
        <v>2547</v>
      </c>
      <c r="F5" s="3156"/>
      <c r="G5" s="3157" t="s">
        <v>2548</v>
      </c>
      <c r="H5" s="3158"/>
      <c r="I5" s="3157" t="s">
        <v>2549</v>
      </c>
      <c r="J5" s="3158"/>
      <c r="K5" s="2604"/>
      <c r="L5" s="1133"/>
      <c r="M5" s="1134"/>
      <c r="N5" s="1134"/>
      <c r="O5" s="1134"/>
      <c r="P5" s="3170"/>
      <c r="Q5" s="3171"/>
      <c r="R5" s="3153"/>
      <c r="S5" s="3154"/>
      <c r="T5" s="3153"/>
      <c r="U5" s="3154"/>
      <c r="V5" s="3176"/>
      <c r="W5" s="3176"/>
      <c r="X5" s="1816"/>
      <c r="Y5" s="3153"/>
      <c r="Z5" s="3154"/>
      <c r="AA5" s="3147"/>
      <c r="AB5" s="3147"/>
      <c r="AC5" s="3147"/>
    </row>
    <row r="6" spans="1:29" ht="15.75" thickBot="1">
      <c r="A6" s="406"/>
      <c r="B6" s="407"/>
      <c r="C6" s="3159" t="s">
        <v>2550</v>
      </c>
      <c r="D6" s="3160"/>
      <c r="E6" s="3161" t="s">
        <v>2550</v>
      </c>
      <c r="F6" s="3162"/>
      <c r="G6" s="3159" t="s">
        <v>2550</v>
      </c>
      <c r="H6" s="3160"/>
      <c r="I6" s="3159" t="s">
        <v>2550</v>
      </c>
      <c r="J6" s="3160"/>
      <c r="K6" s="2604" t="s">
        <v>2551</v>
      </c>
      <c r="L6" s="1133"/>
      <c r="M6" s="1134"/>
      <c r="N6" s="1134"/>
      <c r="O6" s="1134"/>
      <c r="P6" s="3172"/>
      <c r="Q6" s="3173"/>
      <c r="R6" s="3153"/>
      <c r="S6" s="3154"/>
      <c r="T6" s="3174"/>
      <c r="U6" s="3175"/>
      <c r="V6" s="3176"/>
      <c r="W6" s="3176"/>
      <c r="X6" s="1816"/>
      <c r="Y6" s="3174"/>
      <c r="Z6" s="3175"/>
      <c r="AA6" s="3148"/>
      <c r="AB6" s="3148"/>
      <c r="AC6" s="3148"/>
    </row>
    <row r="7" spans="1:29" s="117" customFormat="1" ht="15.75" thickBot="1">
      <c r="A7" s="408" t="s">
        <v>2552</v>
      </c>
      <c r="B7" s="409"/>
      <c r="C7" s="410">
        <f>'数据-取费表'!B2</f>
        <v>43231</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49" t="s">
        <v>2553</v>
      </c>
      <c r="Q7" s="3177"/>
      <c r="R7" s="770" t="s">
        <v>23</v>
      </c>
      <c r="S7" s="771">
        <f t="shared" ref="S7:S15" si="0">F7</f>
        <v>0</v>
      </c>
      <c r="T7" s="770" t="s">
        <v>23</v>
      </c>
      <c r="U7" s="771">
        <f t="shared" ref="U7:U15" si="1">H7</f>
        <v>0</v>
      </c>
      <c r="V7" s="770" t="s">
        <v>23</v>
      </c>
      <c r="W7" s="771">
        <f t="shared" ref="W7:W15" si="2">J7</f>
        <v>0</v>
      </c>
      <c r="X7" s="772"/>
      <c r="Y7" s="3149" t="s">
        <v>2553</v>
      </c>
      <c r="Z7" s="3150"/>
      <c r="AA7" s="773" t="e">
        <f>D7/F7</f>
        <v>#DIV/0!</v>
      </c>
      <c r="AB7" s="773" t="e">
        <f>D7/H7</f>
        <v>#DIV/0!</v>
      </c>
      <c r="AC7" s="773" t="e">
        <f>D7/J7</f>
        <v>#DIV/0!</v>
      </c>
    </row>
    <row r="8" spans="1:29" s="117" customFormat="1" ht="15.75" thickBot="1">
      <c r="A8" s="408" t="s">
        <v>2554</v>
      </c>
      <c r="B8" s="409"/>
      <c r="C8" s="414" t="s">
        <v>2555</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49" t="s">
        <v>2556</v>
      </c>
      <c r="Q8" s="3150"/>
      <c r="R8" s="770" t="s">
        <v>23</v>
      </c>
      <c r="S8" s="771">
        <f t="shared" si="0"/>
        <v>0</v>
      </c>
      <c r="T8" s="770" t="s">
        <v>23</v>
      </c>
      <c r="U8" s="771">
        <f t="shared" si="1"/>
        <v>0</v>
      </c>
      <c r="V8" s="770" t="s">
        <v>23</v>
      </c>
      <c r="W8" s="771">
        <f t="shared" si="2"/>
        <v>0</v>
      </c>
      <c r="X8" s="772"/>
      <c r="Y8" s="3149" t="s">
        <v>2556</v>
      </c>
      <c r="Z8" s="3150"/>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87" t="s">
        <v>2559</v>
      </c>
      <c r="Q9" s="1798"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7"/>
      <c r="Q11" s="1798"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7"/>
      <c r="Q12" s="1798">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7"/>
      <c r="Q13" s="1798">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7"/>
      <c r="Q14" s="1798">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2563</v>
      </c>
      <c r="B15" s="69" t="s">
        <v>2090</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5" t="s">
        <v>2564</v>
      </c>
      <c r="Q15" s="1813" t="str">
        <f t="shared" si="6"/>
        <v>居住社区成熟度</v>
      </c>
      <c r="R15" s="774" t="s">
        <v>21</v>
      </c>
      <c r="S15" s="775">
        <f t="shared" si="0"/>
        <v>100</v>
      </c>
      <c r="T15" s="774" t="s">
        <v>21</v>
      </c>
      <c r="U15" s="775">
        <f t="shared" si="1"/>
        <v>100</v>
      </c>
      <c r="V15" s="774" t="s">
        <v>21</v>
      </c>
      <c r="W15" s="775">
        <f t="shared" si="2"/>
        <v>100</v>
      </c>
      <c r="X15" s="1816"/>
      <c r="Y15" s="3178" t="s">
        <v>2564</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26"/>
      <c r="Q16" s="1813"/>
      <c r="R16" s="774"/>
      <c r="S16" s="775"/>
      <c r="T16" s="774"/>
      <c r="U16" s="775"/>
      <c r="V16" s="774"/>
      <c r="W16" s="775"/>
      <c r="X16" s="1816"/>
      <c r="Y16" s="3179"/>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6"/>
      <c r="Q17" s="1813" t="str">
        <f>B17</f>
        <v>交通便捷度</v>
      </c>
      <c r="R17" s="774" t="s">
        <v>21</v>
      </c>
      <c r="S17" s="775">
        <f>F17</f>
        <v>100</v>
      </c>
      <c r="T17" s="774" t="s">
        <v>21</v>
      </c>
      <c r="U17" s="775">
        <f>H17</f>
        <v>100</v>
      </c>
      <c r="V17" s="774" t="s">
        <v>21</v>
      </c>
      <c r="W17" s="775">
        <f>J17</f>
        <v>100</v>
      </c>
      <c r="X17" s="1816"/>
      <c r="Y17" s="3179"/>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26"/>
      <c r="Q18" s="1813"/>
      <c r="R18" s="774"/>
      <c r="S18" s="775"/>
      <c r="T18" s="774"/>
      <c r="U18" s="775"/>
      <c r="V18" s="774"/>
      <c r="W18" s="775"/>
      <c r="X18" s="1816"/>
      <c r="Y18" s="3179"/>
      <c r="Z18" s="1817"/>
      <c r="AA18" s="1814">
        <v>1</v>
      </c>
      <c r="AB18" s="1814">
        <v>1</v>
      </c>
      <c r="AC18" s="1814">
        <v>1</v>
      </c>
    </row>
    <row r="19" spans="1:29" ht="42.75">
      <c r="A19" s="428"/>
      <c r="B19" s="451" t="s">
        <v>2100</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6"/>
      <c r="Q19" s="1813" t="str">
        <f>B19</f>
        <v>公共配套设施</v>
      </c>
      <c r="R19" s="774" t="s">
        <v>21</v>
      </c>
      <c r="S19" s="775">
        <f>F19</f>
        <v>100</v>
      </c>
      <c r="T19" s="774" t="s">
        <v>21</v>
      </c>
      <c r="U19" s="775">
        <f>H19</f>
        <v>100</v>
      </c>
      <c r="V19" s="774" t="s">
        <v>21</v>
      </c>
      <c r="W19" s="775">
        <f>J19</f>
        <v>100</v>
      </c>
      <c r="X19" s="1816"/>
      <c r="Y19" s="3179"/>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26"/>
      <c r="Q20" s="1813"/>
      <c r="R20" s="774"/>
      <c r="S20" s="775"/>
      <c r="T20" s="774"/>
      <c r="U20" s="775"/>
      <c r="V20" s="774"/>
      <c r="W20" s="775"/>
      <c r="X20" s="1816"/>
      <c r="Y20" s="3179"/>
      <c r="Z20" s="1817"/>
      <c r="AA20" s="1814">
        <v>1</v>
      </c>
      <c r="AB20" s="1814">
        <v>1</v>
      </c>
      <c r="AC20" s="1814">
        <v>1</v>
      </c>
    </row>
    <row r="21" spans="1:29" ht="28.5">
      <c r="A21" s="428"/>
      <c r="B21" s="1387" t="s">
        <v>2103</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7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26"/>
      <c r="Q22" s="1813"/>
      <c r="R22" s="774"/>
      <c r="S22" s="775"/>
      <c r="T22" s="774"/>
      <c r="U22" s="775"/>
      <c r="V22" s="774"/>
      <c r="W22" s="775"/>
      <c r="X22" s="1816"/>
      <c r="Y22" s="3179"/>
      <c r="Z22" s="1817"/>
      <c r="AA22" s="1814">
        <v>1</v>
      </c>
      <c r="AB22" s="1814">
        <v>1</v>
      </c>
      <c r="AC22" s="1814">
        <v>1</v>
      </c>
    </row>
    <row r="23" spans="1:29" ht="57">
      <c r="A23" s="428"/>
      <c r="B23" s="451" t="s">
        <v>2107</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6"/>
      <c r="Q23" s="1813" t="str">
        <f>B23</f>
        <v>自然及人文环境</v>
      </c>
      <c r="R23" s="774" t="s">
        <v>21</v>
      </c>
      <c r="S23" s="775">
        <f>F23</f>
        <v>100</v>
      </c>
      <c r="T23" s="774" t="s">
        <v>21</v>
      </c>
      <c r="U23" s="775">
        <f>H23</f>
        <v>100</v>
      </c>
      <c r="V23" s="774" t="s">
        <v>21</v>
      </c>
      <c r="W23" s="775">
        <f>J23</f>
        <v>100</v>
      </c>
      <c r="X23" s="1816"/>
      <c r="Y23" s="3179"/>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26"/>
      <c r="Q24" s="1813"/>
      <c r="R24" s="774"/>
      <c r="S24" s="775"/>
      <c r="T24" s="774"/>
      <c r="U24" s="775"/>
      <c r="V24" s="774"/>
      <c r="W24" s="775"/>
      <c r="X24" s="1816"/>
      <c r="Y24" s="3179"/>
      <c r="Z24" s="1817"/>
      <c r="AA24" s="1814">
        <v>1</v>
      </c>
      <c r="AB24" s="1814">
        <v>1</v>
      </c>
      <c r="AC24" s="1814">
        <v>1</v>
      </c>
    </row>
    <row r="25" spans="1:29" ht="15">
      <c r="A25" s="428"/>
      <c r="B25" s="422" t="s">
        <v>2565</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2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9"/>
      <c r="Z25" s="1817" t="str">
        <f>Q25</f>
        <v>楼层-1</v>
      </c>
      <c r="AA25" s="1814">
        <f t="shared" ref="AA25:AA46" si="15">D25/F25</f>
        <v>1</v>
      </c>
      <c r="AB25" s="1814">
        <f t="shared" ref="AB25:AB46" si="16">D25/H25</f>
        <v>1</v>
      </c>
      <c r="AC25" s="1814">
        <f t="shared" ref="AC25:AC46" si="17">D25/J25</f>
        <v>1</v>
      </c>
    </row>
    <row r="26" spans="1:29" ht="15">
      <c r="A26" s="428"/>
      <c r="B26" s="422" t="s">
        <v>2566</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26"/>
      <c r="Q26" s="1813" t="str">
        <f t="shared" si="11"/>
        <v>朝向</v>
      </c>
      <c r="R26" s="774" t="s">
        <v>21</v>
      </c>
      <c r="S26" s="775">
        <f t="shared" si="12"/>
        <v>100</v>
      </c>
      <c r="T26" s="774" t="s">
        <v>21</v>
      </c>
      <c r="U26" s="775">
        <f t="shared" si="13"/>
        <v>100</v>
      </c>
      <c r="V26" s="774" t="s">
        <v>21</v>
      </c>
      <c r="W26" s="775">
        <f t="shared" si="14"/>
        <v>100</v>
      </c>
      <c r="X26" s="1816"/>
      <c r="Y26" s="317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26"/>
      <c r="Q27" s="1798">
        <f t="shared" si="11"/>
        <v>111</v>
      </c>
      <c r="R27" s="770" t="s">
        <v>21</v>
      </c>
      <c r="S27" s="771">
        <f t="shared" si="12"/>
        <v>100</v>
      </c>
      <c r="T27" s="770" t="s">
        <v>21</v>
      </c>
      <c r="U27" s="771">
        <f t="shared" si="13"/>
        <v>100</v>
      </c>
      <c r="V27" s="770" t="s">
        <v>21</v>
      </c>
      <c r="W27" s="771">
        <f t="shared" si="14"/>
        <v>100</v>
      </c>
      <c r="X27" s="772"/>
      <c r="Y27" s="317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26"/>
      <c r="Q28" s="1813">
        <f t="shared" si="11"/>
        <v>111</v>
      </c>
      <c r="R28" s="774" t="s">
        <v>21</v>
      </c>
      <c r="S28" s="775">
        <f t="shared" si="12"/>
        <v>100</v>
      </c>
      <c r="T28" s="774" t="s">
        <v>21</v>
      </c>
      <c r="U28" s="775">
        <f t="shared" si="13"/>
        <v>100</v>
      </c>
      <c r="V28" s="774" t="s">
        <v>21</v>
      </c>
      <c r="W28" s="775">
        <f t="shared" si="14"/>
        <v>100</v>
      </c>
      <c r="X28" s="1816"/>
      <c r="Y28" s="317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26"/>
      <c r="Q29" s="1813">
        <f t="shared" si="11"/>
        <v>111</v>
      </c>
      <c r="R29" s="774" t="s">
        <v>21</v>
      </c>
      <c r="S29" s="775">
        <f t="shared" si="12"/>
        <v>100</v>
      </c>
      <c r="T29" s="774" t="s">
        <v>21</v>
      </c>
      <c r="U29" s="775">
        <f t="shared" si="13"/>
        <v>100</v>
      </c>
      <c r="V29" s="774" t="s">
        <v>21</v>
      </c>
      <c r="W29" s="775">
        <f t="shared" si="14"/>
        <v>100</v>
      </c>
      <c r="X29" s="1816"/>
      <c r="Y29" s="317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26"/>
      <c r="Q30" s="1813">
        <f t="shared" si="11"/>
        <v>111</v>
      </c>
      <c r="R30" s="774" t="s">
        <v>21</v>
      </c>
      <c r="S30" s="775">
        <f t="shared" si="12"/>
        <v>100</v>
      </c>
      <c r="T30" s="774" t="s">
        <v>21</v>
      </c>
      <c r="U30" s="775">
        <f t="shared" si="13"/>
        <v>100</v>
      </c>
      <c r="V30" s="774" t="s">
        <v>21</v>
      </c>
      <c r="W30" s="775">
        <f t="shared" si="14"/>
        <v>100</v>
      </c>
      <c r="X30" s="1816"/>
      <c r="Y30" s="317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26"/>
      <c r="Q31" s="1813">
        <f t="shared" si="11"/>
        <v>111</v>
      </c>
      <c r="R31" s="774" t="s">
        <v>21</v>
      </c>
      <c r="S31" s="775">
        <f t="shared" si="12"/>
        <v>100</v>
      </c>
      <c r="T31" s="774" t="s">
        <v>21</v>
      </c>
      <c r="U31" s="775">
        <f t="shared" si="13"/>
        <v>100</v>
      </c>
      <c r="V31" s="774" t="s">
        <v>21</v>
      </c>
      <c r="W31" s="775">
        <f t="shared" si="14"/>
        <v>100</v>
      </c>
      <c r="X31" s="1816"/>
      <c r="Y31" s="3179"/>
      <c r="Z31" s="1817">
        <f t="shared" si="18"/>
        <v>111</v>
      </c>
      <c r="AA31" s="1814">
        <f t="shared" si="15"/>
        <v>1</v>
      </c>
      <c r="AB31" s="1814">
        <f t="shared" si="16"/>
        <v>1</v>
      </c>
      <c r="AC31" s="1814">
        <f t="shared" si="17"/>
        <v>1</v>
      </c>
    </row>
    <row r="32" spans="1:29" ht="15">
      <c r="A32" s="440" t="s">
        <v>2567</v>
      </c>
      <c r="B32" s="71" t="s">
        <v>2568</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21" t="s">
        <v>2569</v>
      </c>
      <c r="Q32" s="1813" t="str">
        <f t="shared" si="11"/>
        <v>建筑类型</v>
      </c>
      <c r="R32" s="774" t="s">
        <v>21</v>
      </c>
      <c r="S32" s="775">
        <f t="shared" si="12"/>
        <v>100</v>
      </c>
      <c r="T32" s="774" t="s">
        <v>21</v>
      </c>
      <c r="U32" s="775">
        <f t="shared" si="13"/>
        <v>100</v>
      </c>
      <c r="V32" s="774" t="s">
        <v>21</v>
      </c>
      <c r="W32" s="775">
        <f t="shared" si="14"/>
        <v>100</v>
      </c>
      <c r="X32" s="1816"/>
      <c r="Y32" s="3181" t="s">
        <v>2569</v>
      </c>
      <c r="Z32" s="1817" t="str">
        <f t="shared" si="18"/>
        <v>建筑类型</v>
      </c>
      <c r="AA32" s="1814">
        <f t="shared" si="15"/>
        <v>1</v>
      </c>
      <c r="AB32" s="1814">
        <f t="shared" si="16"/>
        <v>1</v>
      </c>
      <c r="AC32" s="1814">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22"/>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14" t="e">
        <f t="shared" si="15"/>
        <v>#N/A</v>
      </c>
      <c r="AB33" s="1814" t="e">
        <f t="shared" si="16"/>
        <v>#N/A</v>
      </c>
      <c r="AC33" s="1814" t="e">
        <f t="shared" si="17"/>
        <v>#N/A</v>
      </c>
    </row>
    <row r="34" spans="1:29" ht="15">
      <c r="A34" s="472"/>
      <c r="B34" s="422" t="s">
        <v>2571</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22"/>
      <c r="Q34" s="1813" t="str">
        <f t="shared" si="11"/>
        <v>建筑结构</v>
      </c>
      <c r="R34" s="774" t="s">
        <v>21</v>
      </c>
      <c r="S34" s="775">
        <f t="shared" si="12"/>
        <v>100</v>
      </c>
      <c r="T34" s="774" t="s">
        <v>21</v>
      </c>
      <c r="U34" s="775">
        <f t="shared" si="13"/>
        <v>100</v>
      </c>
      <c r="V34" s="774" t="s">
        <v>21</v>
      </c>
      <c r="W34" s="775">
        <f t="shared" si="14"/>
        <v>100</v>
      </c>
      <c r="X34" s="1816"/>
      <c r="Y34" s="3181"/>
      <c r="Z34" s="1817" t="str">
        <f t="shared" si="18"/>
        <v>建筑结构</v>
      </c>
      <c r="AA34" s="1814">
        <f t="shared" si="15"/>
        <v>1</v>
      </c>
      <c r="AB34" s="1814">
        <f t="shared" si="16"/>
        <v>1</v>
      </c>
      <c r="AC34" s="1814">
        <f t="shared" si="17"/>
        <v>1</v>
      </c>
    </row>
    <row r="35" spans="1:29" ht="15">
      <c r="A35" s="472"/>
      <c r="B35" s="422" t="s">
        <v>2572</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22"/>
      <c r="Q35" s="1813" t="str">
        <f t="shared" si="11"/>
        <v>建筑品质</v>
      </c>
      <c r="R35" s="774" t="s">
        <v>21</v>
      </c>
      <c r="S35" s="775">
        <f t="shared" si="12"/>
        <v>100</v>
      </c>
      <c r="T35" s="774" t="s">
        <v>21</v>
      </c>
      <c r="U35" s="775">
        <f t="shared" si="13"/>
        <v>100</v>
      </c>
      <c r="V35" s="774" t="s">
        <v>21</v>
      </c>
      <c r="W35" s="775">
        <f t="shared" si="14"/>
        <v>100</v>
      </c>
      <c r="X35" s="1816"/>
      <c r="Y35" s="3181"/>
      <c r="Z35" s="1817" t="str">
        <f t="shared" si="18"/>
        <v>建筑品质</v>
      </c>
      <c r="AA35" s="1814">
        <f t="shared" si="15"/>
        <v>1</v>
      </c>
      <c r="AB35" s="1814">
        <f t="shared" si="16"/>
        <v>1</v>
      </c>
      <c r="AC35" s="1814">
        <f t="shared" si="17"/>
        <v>1</v>
      </c>
    </row>
    <row r="36" spans="1:29" ht="15">
      <c r="A36" s="472"/>
      <c r="B36" s="422" t="s">
        <v>2573</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22"/>
      <c r="Q36" s="1813" t="str">
        <f t="shared" si="11"/>
        <v>公共部分装修</v>
      </c>
      <c r="R36" s="774" t="s">
        <v>21</v>
      </c>
      <c r="S36" s="775">
        <f t="shared" si="12"/>
        <v>100</v>
      </c>
      <c r="T36" s="774" t="s">
        <v>21</v>
      </c>
      <c r="U36" s="775">
        <f t="shared" si="13"/>
        <v>100</v>
      </c>
      <c r="V36" s="774" t="s">
        <v>21</v>
      </c>
      <c r="W36" s="775">
        <f t="shared" si="14"/>
        <v>100</v>
      </c>
      <c r="X36" s="1816"/>
      <c r="Y36" s="3181"/>
      <c r="Z36" s="1817" t="str">
        <f t="shared" si="18"/>
        <v>公共部分装修</v>
      </c>
      <c r="AA36" s="1814">
        <f t="shared" si="15"/>
        <v>1</v>
      </c>
      <c r="AB36" s="1814">
        <f t="shared" si="16"/>
        <v>1</v>
      </c>
      <c r="AC36" s="1814">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2"/>
      <c r="Q37" s="1798"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2575</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22" t="s">
        <v>2569</v>
      </c>
      <c r="Q38" s="1813" t="str">
        <f t="shared" si="11"/>
        <v>物业管理</v>
      </c>
      <c r="R38" s="774" t="s">
        <v>21</v>
      </c>
      <c r="S38" s="775">
        <f t="shared" si="12"/>
        <v>100</v>
      </c>
      <c r="T38" s="774" t="s">
        <v>21</v>
      </c>
      <c r="U38" s="775">
        <f t="shared" si="13"/>
        <v>100</v>
      </c>
      <c r="V38" s="774" t="s">
        <v>21</v>
      </c>
      <c r="W38" s="775">
        <f t="shared" si="14"/>
        <v>100</v>
      </c>
      <c r="X38" s="1816"/>
      <c r="Y38" s="3181" t="s">
        <v>2569</v>
      </c>
      <c r="Z38" s="1817" t="str">
        <f t="shared" si="18"/>
        <v>物业管理</v>
      </c>
      <c r="AA38" s="1814">
        <f t="shared" si="15"/>
        <v>1</v>
      </c>
      <c r="AB38" s="1814">
        <f t="shared" si="16"/>
        <v>1</v>
      </c>
      <c r="AC38" s="1814">
        <f t="shared" si="17"/>
        <v>1</v>
      </c>
    </row>
    <row r="39" spans="1:29" ht="15">
      <c r="A39" s="472"/>
      <c r="B39" s="422" t="s">
        <v>2576</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22"/>
      <c r="Q39" s="1813" t="str">
        <f t="shared" si="11"/>
        <v>市政基础设施</v>
      </c>
      <c r="R39" s="774" t="s">
        <v>21</v>
      </c>
      <c r="S39" s="775">
        <f t="shared" si="12"/>
        <v>100</v>
      </c>
      <c r="T39" s="774" t="s">
        <v>21</v>
      </c>
      <c r="U39" s="775">
        <f t="shared" si="13"/>
        <v>100</v>
      </c>
      <c r="V39" s="774" t="s">
        <v>21</v>
      </c>
      <c r="W39" s="775">
        <f t="shared" si="14"/>
        <v>100</v>
      </c>
      <c r="X39" s="1816"/>
      <c r="Y39" s="3181"/>
      <c r="Z39" s="1817" t="str">
        <f t="shared" si="18"/>
        <v>市政基础设施</v>
      </c>
      <c r="AA39" s="1814">
        <f t="shared" si="15"/>
        <v>1</v>
      </c>
      <c r="AB39" s="1814">
        <f t="shared" si="16"/>
        <v>1</v>
      </c>
      <c r="AC39" s="1814">
        <f t="shared" si="17"/>
        <v>1</v>
      </c>
    </row>
    <row r="40" spans="1:29" ht="15">
      <c r="A40" s="472"/>
      <c r="B40" s="422" t="s">
        <v>2577</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22"/>
      <c r="Q40" s="1813" t="str">
        <f t="shared" si="11"/>
        <v>房型</v>
      </c>
      <c r="R40" s="774" t="s">
        <v>21</v>
      </c>
      <c r="S40" s="775">
        <f t="shared" si="12"/>
        <v>100</v>
      </c>
      <c r="T40" s="774" t="s">
        <v>21</v>
      </c>
      <c r="U40" s="775">
        <f t="shared" si="13"/>
        <v>100</v>
      </c>
      <c r="V40" s="774" t="s">
        <v>21</v>
      </c>
      <c r="W40" s="775">
        <f t="shared" si="14"/>
        <v>100</v>
      </c>
      <c r="X40" s="1816"/>
      <c r="Y40" s="3181"/>
      <c r="Z40" s="1817" t="str">
        <f t="shared" si="18"/>
        <v>房型</v>
      </c>
      <c r="AA40" s="1814">
        <f t="shared" si="15"/>
        <v>1</v>
      </c>
      <c r="AB40" s="1814">
        <f t="shared" si="16"/>
        <v>1</v>
      </c>
      <c r="AC40" s="1814">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22"/>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4">
        <f t="shared" si="15"/>
        <v>1</v>
      </c>
      <c r="AB41" s="1814">
        <f t="shared" si="16"/>
        <v>1</v>
      </c>
      <c r="AC41" s="1814">
        <f t="shared" si="17"/>
        <v>1</v>
      </c>
    </row>
    <row r="42" spans="1:29" ht="15">
      <c r="A42" s="472"/>
      <c r="B42" s="422" t="s">
        <v>2579</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22"/>
      <c r="Q42" s="1813" t="str">
        <f t="shared" si="11"/>
        <v>内部装修</v>
      </c>
      <c r="R42" s="774" t="s">
        <v>21</v>
      </c>
      <c r="S42" s="775">
        <f t="shared" si="12"/>
        <v>100</v>
      </c>
      <c r="T42" s="774" t="s">
        <v>21</v>
      </c>
      <c r="U42" s="775">
        <f t="shared" si="13"/>
        <v>100</v>
      </c>
      <c r="V42" s="774" t="s">
        <v>21</v>
      </c>
      <c r="W42" s="775">
        <f t="shared" si="14"/>
        <v>100</v>
      </c>
      <c r="X42" s="1816"/>
      <c r="Y42" s="3181"/>
      <c r="Z42" s="1817" t="str">
        <f t="shared" si="18"/>
        <v>内部装修</v>
      </c>
      <c r="AA42" s="1814">
        <f t="shared" si="15"/>
        <v>1</v>
      </c>
      <c r="AB42" s="1814">
        <f t="shared" si="16"/>
        <v>1</v>
      </c>
      <c r="AC42" s="1814">
        <f t="shared" si="17"/>
        <v>1</v>
      </c>
    </row>
    <row r="43" spans="1:29" ht="15">
      <c r="A43" s="472"/>
      <c r="B43" s="422" t="s">
        <v>2580</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22"/>
      <c r="Q43" s="1813" t="str">
        <f t="shared" si="11"/>
        <v>内部装修维护情况</v>
      </c>
      <c r="R43" s="774" t="s">
        <v>21</v>
      </c>
      <c r="S43" s="775">
        <f t="shared" si="12"/>
        <v>100</v>
      </c>
      <c r="T43" s="774" t="s">
        <v>21</v>
      </c>
      <c r="U43" s="775">
        <f t="shared" si="13"/>
        <v>100</v>
      </c>
      <c r="V43" s="774" t="s">
        <v>21</v>
      </c>
      <c r="W43" s="775">
        <f t="shared" si="14"/>
        <v>100</v>
      </c>
      <c r="X43" s="1816"/>
      <c r="Y43" s="318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22"/>
      <c r="Q44" s="1798">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22"/>
      <c r="Q45" s="1813">
        <f t="shared" si="11"/>
        <v>111</v>
      </c>
      <c r="R45" s="774" t="s">
        <v>21</v>
      </c>
      <c r="S45" s="775">
        <f t="shared" si="12"/>
        <v>100</v>
      </c>
      <c r="T45" s="774" t="s">
        <v>21</v>
      </c>
      <c r="U45" s="775">
        <f t="shared" si="13"/>
        <v>100</v>
      </c>
      <c r="V45" s="774" t="s">
        <v>21</v>
      </c>
      <c r="W45" s="775">
        <f t="shared" si="14"/>
        <v>100</v>
      </c>
      <c r="X45" s="1816"/>
      <c r="Y45" s="3181"/>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23"/>
      <c r="Q46" s="1813">
        <f t="shared" si="11"/>
        <v>111</v>
      </c>
      <c r="R46" s="774" t="s">
        <v>20</v>
      </c>
      <c r="S46" s="775">
        <f t="shared" si="12"/>
        <v>100</v>
      </c>
      <c r="T46" s="774" t="s">
        <v>20</v>
      </c>
      <c r="U46" s="775">
        <f t="shared" si="13"/>
        <v>100</v>
      </c>
      <c r="V46" s="774" t="s">
        <v>20</v>
      </c>
      <c r="W46" s="775">
        <f t="shared" si="14"/>
        <v>100</v>
      </c>
      <c r="X46" s="1816"/>
      <c r="Y46" s="3224"/>
      <c r="Z46" s="1817">
        <f t="shared" si="18"/>
        <v>111</v>
      </c>
      <c r="AA46" s="1814">
        <f t="shared" si="15"/>
        <v>1</v>
      </c>
      <c r="AB46" s="1814">
        <f t="shared" si="16"/>
        <v>1</v>
      </c>
      <c r="AC46" s="1814">
        <f t="shared" si="17"/>
        <v>1</v>
      </c>
    </row>
    <row r="47" spans="1:29" ht="15">
      <c r="A47" s="479" t="s">
        <v>2581</v>
      </c>
      <c r="B47" s="480"/>
      <c r="C47" s="1410" t="s">
        <v>19</v>
      </c>
      <c r="D47" s="1411"/>
      <c r="E47" s="1412"/>
      <c r="F47" s="1413"/>
      <c r="G47" s="1414"/>
      <c r="H47" s="1415"/>
      <c r="I47" s="1412"/>
      <c r="J47" s="1415"/>
      <c r="K47" s="2628"/>
      <c r="L47" s="1146"/>
      <c r="M47" s="1147"/>
      <c r="N47" s="1134"/>
      <c r="O47" s="1147"/>
      <c r="P47" s="3163" t="str">
        <f>A47</f>
        <v>成交单价（元/平方米）</v>
      </c>
      <c r="Q47" s="3163"/>
      <c r="R47" s="3220">
        <f>E47</f>
        <v>0</v>
      </c>
      <c r="S47" s="3220"/>
      <c r="T47" s="3220">
        <f>G47</f>
        <v>0</v>
      </c>
      <c r="U47" s="3220"/>
      <c r="V47" s="3220">
        <f>I47</f>
        <v>0</v>
      </c>
      <c r="W47" s="3220"/>
      <c r="X47" s="759"/>
      <c r="Y47" s="781"/>
      <c r="Z47" s="759"/>
      <c r="AA47" s="759"/>
      <c r="AB47" s="759"/>
      <c r="AC47" s="759"/>
    </row>
    <row r="48" spans="1:29" ht="15.75" thickBot="1">
      <c r="A48" s="486" t="s">
        <v>2582</v>
      </c>
      <c r="B48" s="487"/>
      <c r="C48" s="1416" t="e">
        <f>R49</f>
        <v>#DIV/0!</v>
      </c>
      <c r="D48" s="1417"/>
      <c r="E48" s="1418" t="e">
        <f>R48</f>
        <v>#DIV/0!</v>
      </c>
      <c r="F48" s="1418"/>
      <c r="G48" s="1416" t="e">
        <f>T48</f>
        <v>#DIV/0!</v>
      </c>
      <c r="H48" s="1417"/>
      <c r="I48" s="1418" t="e">
        <f>V48</f>
        <v>#DIV/0!</v>
      </c>
      <c r="J48" s="1417"/>
      <c r="K48" s="2629"/>
      <c r="L48" s="1146"/>
      <c r="M48" s="1147"/>
      <c r="N48" s="1147"/>
      <c r="O48" s="1147"/>
      <c r="P48" s="3163" t="str">
        <f>A48</f>
        <v>比较价值（元/平方米）</v>
      </c>
      <c r="Q48" s="3163"/>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2583</v>
      </c>
      <c r="B49" s="493"/>
      <c r="C49" s="1419" t="e">
        <f>R49</f>
        <v>#DIV/0!</v>
      </c>
      <c r="D49" s="1420"/>
      <c r="E49" s="1420"/>
      <c r="F49" s="1420"/>
      <c r="G49" s="1420"/>
      <c r="H49" s="1420"/>
      <c r="I49" s="1420"/>
      <c r="J49" s="1420"/>
      <c r="K49" s="2630"/>
      <c r="L49" s="1146"/>
      <c r="M49" s="1147"/>
      <c r="N49" s="1147"/>
      <c r="O49" s="1147"/>
      <c r="P49" s="3183" t="str">
        <f>A49</f>
        <v>估价对象XX用房的比较价值（楼面单价，元/平方米）</v>
      </c>
      <c r="Q49" s="3184"/>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33"/>
      <c r="Q57" s="504"/>
    </row>
    <row r="58" spans="1:29" s="508" customFormat="1" ht="15">
      <c r="A58" s="505" t="s">
        <v>2588</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2590</v>
      </c>
      <c r="B61" s="510"/>
      <c r="C61" s="522" t="s">
        <v>2591</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2103</v>
      </c>
      <c r="C82" s="539" t="s">
        <v>2608</v>
      </c>
      <c r="D82" s="539" t="s">
        <v>2609</v>
      </c>
      <c r="E82" s="539" t="s">
        <v>2610</v>
      </c>
      <c r="F82" s="539" t="s">
        <v>2611</v>
      </c>
      <c r="G82" s="539" t="s">
        <v>2612</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2615</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2567</v>
      </c>
      <c r="B100" s="528" t="s">
        <v>2616</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2619</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2620</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2621</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2622</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2623</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2626</v>
      </c>
    </row>
    <row r="137" spans="1:17" ht="15">
      <c r="B137" s="2645" t="s">
        <v>2627</v>
      </c>
      <c r="C137" s="2646"/>
      <c r="D137" s="2646"/>
      <c r="E137" s="2646"/>
      <c r="F137" s="2646"/>
      <c r="G137" s="2647"/>
      <c r="H137" s="2648"/>
      <c r="I137" s="2649" t="s">
        <v>2628</v>
      </c>
      <c r="J137" s="2646"/>
      <c r="K137" s="2650"/>
    </row>
    <row r="138" spans="1:17" ht="15">
      <c r="B138" s="2651"/>
      <c r="C138" s="146" t="s">
        <v>2629</v>
      </c>
      <c r="D138" s="146" t="s">
        <v>2630</v>
      </c>
      <c r="E138" s="2652" t="s">
        <v>2631</v>
      </c>
      <c r="F138" s="2653" t="s">
        <v>2632</v>
      </c>
      <c r="G138" s="146" t="s">
        <v>2630</v>
      </c>
      <c r="H138" s="147" t="s">
        <v>2631</v>
      </c>
      <c r="I138" s="2654"/>
      <c r="J138" s="146" t="s">
        <v>2633</v>
      </c>
      <c r="K138" s="147" t="s">
        <v>2634</v>
      </c>
    </row>
    <row r="139" spans="1:17" ht="15">
      <c r="B139" s="1087">
        <v>6</v>
      </c>
      <c r="C139" s="1088">
        <v>96</v>
      </c>
      <c r="D139" s="2655" t="s">
        <v>2635</v>
      </c>
      <c r="E139" s="1089">
        <v>100</v>
      </c>
      <c r="F139" s="1090">
        <v>102.5</v>
      </c>
      <c r="G139" s="2655" t="s">
        <v>2635</v>
      </c>
      <c r="H139" s="1091">
        <v>105</v>
      </c>
      <c r="I139" s="2656" t="s">
        <v>2636</v>
      </c>
      <c r="J139" s="1088">
        <v>20</v>
      </c>
      <c r="K139" s="1092">
        <f>C145/(J139-2)</f>
        <v>4.0555555555555553E-3</v>
      </c>
    </row>
    <row r="140" spans="1:17" ht="15">
      <c r="B140" s="1093">
        <v>5</v>
      </c>
      <c r="C140" s="1094">
        <v>100</v>
      </c>
      <c r="D140" s="1094"/>
      <c r="E140" s="1095"/>
      <c r="F140" s="1096">
        <v>102</v>
      </c>
      <c r="G140" s="1094"/>
      <c r="H140" s="1097"/>
      <c r="I140" s="2657" t="s">
        <v>2637</v>
      </c>
      <c r="J140" s="315">
        <f>ROUNDUP((J139-1)/2,0)</f>
        <v>10</v>
      </c>
      <c r="K140" s="1098">
        <v>100</v>
      </c>
    </row>
    <row r="141" spans="1:17" ht="15">
      <c r="B141" s="1093">
        <v>4</v>
      </c>
      <c r="C141" s="1094">
        <v>102</v>
      </c>
      <c r="D141" s="1094"/>
      <c r="E141" s="1095"/>
      <c r="F141" s="1096">
        <v>101.5</v>
      </c>
      <c r="G141" s="1094"/>
      <c r="H141" s="1097"/>
      <c r="I141" s="2657" t="s">
        <v>2638</v>
      </c>
      <c r="J141" s="315">
        <v>1</v>
      </c>
      <c r="K141" s="1099">
        <f>ROUND(100+(J141-J140)*K139*100,1)</f>
        <v>96.4</v>
      </c>
    </row>
    <row r="142" spans="1:17" ht="15">
      <c r="B142" s="1093">
        <v>3</v>
      </c>
      <c r="C142" s="1094">
        <v>103</v>
      </c>
      <c r="D142" s="1094"/>
      <c r="E142" s="1095"/>
      <c r="F142" s="1096">
        <v>101</v>
      </c>
      <c r="G142" s="1094"/>
      <c r="H142" s="1097"/>
      <c r="I142" s="2657" t="s">
        <v>2639</v>
      </c>
      <c r="J142" s="315">
        <f>J139</f>
        <v>20</v>
      </c>
      <c r="K142" s="1100">
        <v>95</v>
      </c>
    </row>
    <row r="143" spans="1:17" ht="15">
      <c r="B143" s="1093">
        <v>2</v>
      </c>
      <c r="C143" s="1094">
        <v>100</v>
      </c>
      <c r="D143" s="1094"/>
      <c r="E143" s="1095"/>
      <c r="F143" s="1096">
        <v>100.5</v>
      </c>
      <c r="G143" s="1094"/>
      <c r="H143" s="1097"/>
      <c r="I143" s="2657" t="s">
        <v>2640</v>
      </c>
      <c r="J143" s="1094">
        <v>15</v>
      </c>
      <c r="K143" s="1099">
        <f>ROUND(100+(J143-J140)*K139*100,1)</f>
        <v>102</v>
      </c>
    </row>
    <row r="144" spans="1:17" ht="15">
      <c r="B144" s="1093">
        <v>1</v>
      </c>
      <c r="C144" s="1094">
        <v>98</v>
      </c>
      <c r="D144" s="2658" t="s">
        <v>2641</v>
      </c>
      <c r="E144" s="1095">
        <v>102</v>
      </c>
      <c r="F144" s="1101">
        <v>100</v>
      </c>
      <c r="G144" s="2658" t="s">
        <v>2641</v>
      </c>
      <c r="H144" s="1097">
        <v>105</v>
      </c>
      <c r="I144" s="2657" t="s">
        <v>2640</v>
      </c>
      <c r="J144" s="1094">
        <v>18</v>
      </c>
      <c r="K144" s="1099">
        <f>ROUND(100+(J144-J140)*K139*100,1)</f>
        <v>103.2</v>
      </c>
    </row>
    <row r="145" spans="2:11" ht="15.75" thickBot="1">
      <c r="B145" s="2659" t="s">
        <v>2642</v>
      </c>
      <c r="C145" s="1102">
        <f>ROUND(MAX(C139:C144)/MIN(C139:C144)-1,3)</f>
        <v>7.2999999999999995E-2</v>
      </c>
      <c r="D145" s="1103"/>
      <c r="E145" s="1103"/>
      <c r="F145" s="2660" t="s">
        <v>2643</v>
      </c>
      <c r="G145" s="2661"/>
      <c r="H145" s="2662"/>
      <c r="I145" s="2663" t="s">
        <v>2640</v>
      </c>
      <c r="J145" s="1104">
        <v>8</v>
      </c>
      <c r="K145" s="1105">
        <f>ROUND(100+(J145-J140)*K139*100,1)</f>
        <v>99.2</v>
      </c>
    </row>
    <row r="147" spans="2:11">
      <c r="B147" s="2644" t="s">
        <v>2644</v>
      </c>
    </row>
    <row r="148" spans="2:11">
      <c r="B148" s="2644"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2646</v>
      </c>
      <c r="C1" s="1637" t="s">
        <v>2534</v>
      </c>
      <c r="D1" s="1624"/>
      <c r="E1" s="2664"/>
      <c r="F1" s="2591"/>
      <c r="G1" s="1634" t="s">
        <v>2647</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2331</v>
      </c>
      <c r="B2" s="1421" t="e">
        <f ca="1">IF(C2="——",ROUND(C49*D3/10000,0),ROUND(C49*D3/10000,0)-D2)</f>
        <v>#DIV/0!</v>
      </c>
      <c r="C2" s="2593"/>
      <c r="D2" s="1368" t="e">
        <f ca="1">SUMIF(INDIRECT("'"&amp;F2&amp;"'"&amp;"!A:A"),"承租人权益价值",INDIRECT("'"&amp;F2&amp;"'"&amp;"!c:c"))</f>
        <v>#REF!</v>
      </c>
      <c r="E2" s="2594" t="s">
        <v>2332</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2333</v>
      </c>
      <c r="B3" s="609" t="e">
        <f ca="1">IF(C2="——",C49,ROUND(B2*10000/D3,0))</f>
        <v>#DIV/0!</v>
      </c>
      <c r="C3" s="400" t="s">
        <v>2648</v>
      </c>
      <c r="D3" s="399">
        <f>IF(D1="",'数据-汇总表'!E3,SUMIF('数据-汇总表'!$C19:$C33,D1,'数据-汇总表'!$E19:$E33))</f>
        <v>10000</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2649</v>
      </c>
      <c r="B4" s="402"/>
      <c r="C4" s="3164" t="s">
        <v>2650</v>
      </c>
      <c r="D4" s="3165"/>
      <c r="E4" s="3166" t="s">
        <v>2651</v>
      </c>
      <c r="F4" s="3167"/>
      <c r="G4" s="3164" t="s">
        <v>2652</v>
      </c>
      <c r="H4" s="3165"/>
      <c r="I4" s="3164" t="s">
        <v>2653</v>
      </c>
      <c r="J4" s="3165"/>
      <c r="K4" s="610" t="s">
        <v>2654</v>
      </c>
      <c r="L4" s="1133"/>
      <c r="M4" s="1134"/>
      <c r="N4" s="1134"/>
      <c r="O4" s="1134"/>
      <c r="P4" s="3168" t="s">
        <v>2655</v>
      </c>
      <c r="Q4" s="3169"/>
      <c r="R4" s="3151" t="s">
        <v>2651</v>
      </c>
      <c r="S4" s="3152"/>
      <c r="T4" s="3151" t="s">
        <v>2652</v>
      </c>
      <c r="U4" s="3152"/>
      <c r="V4" s="3176" t="s">
        <v>2653</v>
      </c>
      <c r="W4" s="3176"/>
      <c r="X4" s="1816"/>
      <c r="Y4" s="3151" t="s">
        <v>2655</v>
      </c>
      <c r="Z4" s="3152"/>
      <c r="AA4" s="3146" t="s">
        <v>2651</v>
      </c>
      <c r="AB4" s="3176" t="s">
        <v>2652</v>
      </c>
      <c r="AC4" s="3146" t="s">
        <v>2653</v>
      </c>
    </row>
    <row r="5" spans="1:29" ht="15">
      <c r="A5" s="404"/>
      <c r="B5" s="405"/>
      <c r="C5" s="3157" t="s">
        <v>2546</v>
      </c>
      <c r="D5" s="3158"/>
      <c r="E5" s="3155" t="s">
        <v>2547</v>
      </c>
      <c r="F5" s="3156"/>
      <c r="G5" s="3157" t="s">
        <v>2548</v>
      </c>
      <c r="H5" s="3158"/>
      <c r="I5" s="3157" t="s">
        <v>2549</v>
      </c>
      <c r="J5" s="3158"/>
      <c r="K5" s="610"/>
      <c r="L5" s="1133"/>
      <c r="M5" s="1134"/>
      <c r="N5" s="1134"/>
      <c r="O5" s="1134"/>
      <c r="P5" s="3170"/>
      <c r="Q5" s="3171"/>
      <c r="R5" s="3153"/>
      <c r="S5" s="3154"/>
      <c r="T5" s="3153"/>
      <c r="U5" s="3154"/>
      <c r="V5" s="3176"/>
      <c r="W5" s="3176"/>
      <c r="X5" s="1816"/>
      <c r="Y5" s="3153"/>
      <c r="Z5" s="3154"/>
      <c r="AA5" s="3147"/>
      <c r="AB5" s="3176"/>
      <c r="AC5" s="3147"/>
    </row>
    <row r="6" spans="1:29" ht="15.75" thickBot="1">
      <c r="A6" s="406"/>
      <c r="B6" s="407"/>
      <c r="C6" s="3159" t="s">
        <v>2550</v>
      </c>
      <c r="D6" s="3160"/>
      <c r="E6" s="3161" t="s">
        <v>2550</v>
      </c>
      <c r="F6" s="3162"/>
      <c r="G6" s="3159" t="s">
        <v>2550</v>
      </c>
      <c r="H6" s="3160"/>
      <c r="I6" s="3159" t="s">
        <v>2550</v>
      </c>
      <c r="J6" s="3160"/>
      <c r="K6" s="610" t="s">
        <v>2551</v>
      </c>
      <c r="L6" s="1133"/>
      <c r="M6" s="1134"/>
      <c r="N6" s="1134"/>
      <c r="O6" s="1134"/>
      <c r="P6" s="3172"/>
      <c r="Q6" s="3173"/>
      <c r="R6" s="3153"/>
      <c r="S6" s="3154"/>
      <c r="T6" s="3174"/>
      <c r="U6" s="3175"/>
      <c r="V6" s="3176"/>
      <c r="W6" s="3176"/>
      <c r="X6" s="1816"/>
      <c r="Y6" s="3174"/>
      <c r="Z6" s="3175"/>
      <c r="AA6" s="3148"/>
      <c r="AB6" s="3176"/>
      <c r="AC6" s="3148"/>
    </row>
    <row r="7" spans="1:29" s="117" customFormat="1" ht="15.75" thickBot="1">
      <c r="A7" s="408" t="s">
        <v>2552</v>
      </c>
      <c r="B7" s="409"/>
      <c r="C7" s="410">
        <f>'数据-取费表'!B2</f>
        <v>43231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49" t="s">
        <v>2553</v>
      </c>
      <c r="Q7" s="3177"/>
      <c r="R7" s="770" t="s">
        <v>17</v>
      </c>
      <c r="S7" s="771">
        <f t="shared" ref="S7:S15" si="0">F7</f>
        <v>0</v>
      </c>
      <c r="T7" s="770" t="s">
        <v>17</v>
      </c>
      <c r="U7" s="771">
        <f t="shared" ref="U7:U15" si="1">H7</f>
        <v>0</v>
      </c>
      <c r="V7" s="770" t="s">
        <v>17</v>
      </c>
      <c r="W7" s="771">
        <f t="shared" ref="W7:W15" si="2">J7</f>
        <v>0</v>
      </c>
      <c r="X7" s="772"/>
      <c r="Y7" s="3149" t="s">
        <v>2553</v>
      </c>
      <c r="Z7" s="3150"/>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49" t="s">
        <v>2556</v>
      </c>
      <c r="Q8" s="3150"/>
      <c r="R8" s="770" t="s">
        <v>17</v>
      </c>
      <c r="S8" s="771">
        <f t="shared" si="0"/>
        <v>0</v>
      </c>
      <c r="T8" s="770" t="s">
        <v>17</v>
      </c>
      <c r="U8" s="771">
        <f t="shared" si="1"/>
        <v>0</v>
      </c>
      <c r="V8" s="770" t="s">
        <v>17</v>
      </c>
      <c r="W8" s="771">
        <f t="shared" si="2"/>
        <v>0</v>
      </c>
      <c r="X8" s="772"/>
      <c r="Y8" s="3149" t="s">
        <v>2556</v>
      </c>
      <c r="Z8" s="3150"/>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7" t="s">
        <v>2559</v>
      </c>
      <c r="Q9" s="1798"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7"/>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7"/>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2563</v>
      </c>
      <c r="B15" s="69" t="s">
        <v>2657</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5" t="s">
        <v>2564</v>
      </c>
      <c r="Q15" s="1813" t="str">
        <f t="shared" si="6"/>
        <v>商业繁华度</v>
      </c>
      <c r="R15" s="774" t="s">
        <v>17</v>
      </c>
      <c r="S15" s="775">
        <f t="shared" si="0"/>
        <v>100</v>
      </c>
      <c r="T15" s="774" t="s">
        <v>17</v>
      </c>
      <c r="U15" s="775">
        <f t="shared" si="1"/>
        <v>100</v>
      </c>
      <c r="V15" s="774" t="s">
        <v>17</v>
      </c>
      <c r="W15" s="775">
        <f t="shared" si="2"/>
        <v>100</v>
      </c>
      <c r="X15" s="1816"/>
      <c r="Y15" s="3178" t="s">
        <v>2564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6"/>
      <c r="Q16" s="1813"/>
      <c r="R16" s="774"/>
      <c r="S16" s="775"/>
      <c r="T16" s="774"/>
      <c r="U16" s="775"/>
      <c r="V16" s="774"/>
      <c r="W16" s="775"/>
      <c r="X16" s="1816"/>
      <c r="Y16" s="3179"/>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6"/>
      <c r="Q17" s="1813" t="str">
        <f>B17</f>
        <v>交通便捷度</v>
      </c>
      <c r="R17" s="774" t="s">
        <v>17</v>
      </c>
      <c r="S17" s="775">
        <f>F17</f>
        <v>100</v>
      </c>
      <c r="T17" s="774" t="s">
        <v>17</v>
      </c>
      <c r="U17" s="775">
        <f>H17</f>
        <v>100</v>
      </c>
      <c r="V17" s="774" t="s">
        <v>17</v>
      </c>
      <c r="W17" s="775">
        <f>J17</f>
        <v>100</v>
      </c>
      <c r="X17" s="1816"/>
      <c r="Y17" s="317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26"/>
      <c r="Q18" s="1813"/>
      <c r="R18" s="774"/>
      <c r="S18" s="775"/>
      <c r="T18" s="774"/>
      <c r="U18" s="775"/>
      <c r="V18" s="774"/>
      <c r="W18" s="775"/>
      <c r="X18" s="1816"/>
      <c r="Y18" s="3179"/>
      <c r="Z18" s="1817"/>
      <c r="AA18" s="1814">
        <v>1</v>
      </c>
      <c r="AB18" s="1814">
        <v>1</v>
      </c>
      <c r="AC18" s="1814">
        <v>1</v>
      </c>
    </row>
    <row r="19" spans="1:29" ht="42.75">
      <c r="A19" s="428"/>
      <c r="B19" s="451" t="s">
        <v>2658</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6"/>
      <c r="Q19" s="1813" t="str">
        <f>B19</f>
        <v>公共配套设施</v>
      </c>
      <c r="R19" s="774" t="s">
        <v>17</v>
      </c>
      <c r="S19" s="775">
        <f>F19</f>
        <v>100</v>
      </c>
      <c r="T19" s="774" t="s">
        <v>17</v>
      </c>
      <c r="U19" s="775">
        <f>H19</f>
        <v>100</v>
      </c>
      <c r="V19" s="774" t="s">
        <v>17</v>
      </c>
      <c r="W19" s="775">
        <f>J19</f>
        <v>100</v>
      </c>
      <c r="X19" s="1816"/>
      <c r="Y19" s="317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26"/>
      <c r="Q20" s="1813"/>
      <c r="R20" s="774"/>
      <c r="S20" s="775"/>
      <c r="T20" s="774"/>
      <c r="U20" s="775"/>
      <c r="V20" s="774"/>
      <c r="W20" s="775"/>
      <c r="X20" s="1816"/>
      <c r="Y20" s="3179"/>
      <c r="Z20" s="1817"/>
      <c r="AA20" s="1814">
        <v>1</v>
      </c>
      <c r="AB20" s="1814">
        <v>1</v>
      </c>
      <c r="AC20" s="1814">
        <v>1</v>
      </c>
    </row>
    <row r="21" spans="1:29" ht="28.5">
      <c r="A21" s="428"/>
      <c r="B21" s="1387" t="s">
        <v>2659</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7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26"/>
      <c r="Q22" s="1813"/>
      <c r="R22" s="774"/>
      <c r="S22" s="775"/>
      <c r="T22" s="774"/>
      <c r="U22" s="775"/>
      <c r="V22" s="774"/>
      <c r="W22" s="775"/>
      <c r="X22" s="1816"/>
      <c r="Y22" s="3179"/>
      <c r="Z22" s="1817"/>
      <c r="AA22" s="1814">
        <v>1</v>
      </c>
      <c r="AB22" s="1814">
        <v>1</v>
      </c>
      <c r="AC22" s="1814">
        <v>1</v>
      </c>
    </row>
    <row r="23" spans="1:29" ht="57">
      <c r="A23" s="428"/>
      <c r="B23" s="451" t="s">
        <v>2107</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6"/>
      <c r="Q23" s="1813" t="str">
        <f>B23</f>
        <v>自然及人文环境</v>
      </c>
      <c r="R23" s="774" t="s">
        <v>17</v>
      </c>
      <c r="S23" s="775">
        <f>F23</f>
        <v>100</v>
      </c>
      <c r="T23" s="774" t="s">
        <v>17</v>
      </c>
      <c r="U23" s="775">
        <f>H23</f>
        <v>100</v>
      </c>
      <c r="V23" s="774" t="s">
        <v>17</v>
      </c>
      <c r="W23" s="775">
        <f>J23</f>
        <v>100</v>
      </c>
      <c r="X23" s="1816"/>
      <c r="Y23" s="317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26"/>
      <c r="Q24" s="1813"/>
      <c r="R24" s="774"/>
      <c r="S24" s="775"/>
      <c r="T24" s="774"/>
      <c r="U24" s="775"/>
      <c r="V24" s="774"/>
      <c r="W24" s="775"/>
      <c r="X24" s="1816"/>
      <c r="Y24" s="3179"/>
      <c r="Z24" s="1817"/>
      <c r="AA24" s="1814">
        <v>1</v>
      </c>
      <c r="AB24" s="1814">
        <v>1</v>
      </c>
      <c r="AC24" s="1814">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6"/>
      <c r="Q25" s="1813" t="str">
        <f t="shared" ref="Q25:Q46" si="11">B25</f>
        <v>临街状况</v>
      </c>
      <c r="R25" s="774" t="s">
        <v>17</v>
      </c>
      <c r="S25" s="775">
        <f>F25</f>
        <v>100</v>
      </c>
      <c r="T25" s="774" t="s">
        <v>17</v>
      </c>
      <c r="U25" s="775">
        <f>H25</f>
        <v>100</v>
      </c>
      <c r="V25" s="774" t="s">
        <v>17</v>
      </c>
      <c r="W25" s="775">
        <f>J25</f>
        <v>100</v>
      </c>
      <c r="X25" s="1816"/>
      <c r="Y25" s="3179"/>
      <c r="Z25" s="1817" t="str">
        <f>Q25</f>
        <v>临街状况</v>
      </c>
      <c r="AA25" s="1814">
        <f t="shared" si="3"/>
        <v>1</v>
      </c>
      <c r="AB25" s="1814">
        <f t="shared" si="4"/>
        <v>1</v>
      </c>
      <c r="AC25" s="1814">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6"/>
      <c r="Q26" s="1813" t="str">
        <f t="shared" si="11"/>
        <v>平面位置/可视性</v>
      </c>
      <c r="R26" s="774" t="s">
        <v>17</v>
      </c>
      <c r="S26" s="775">
        <f>F26</f>
        <v>100</v>
      </c>
      <c r="T26" s="774" t="s">
        <v>17</v>
      </c>
      <c r="U26" s="775">
        <f>H26</f>
        <v>100</v>
      </c>
      <c r="V26" s="774" t="s">
        <v>17</v>
      </c>
      <c r="W26" s="775">
        <f>J26</f>
        <v>100</v>
      </c>
      <c r="X26" s="1816"/>
      <c r="Y26" s="3179"/>
      <c r="Z26" s="1817" t="str">
        <f>Q26</f>
        <v>平面位置/可视性</v>
      </c>
      <c r="AA26" s="1814">
        <f t="shared" si="3"/>
        <v>1</v>
      </c>
      <c r="AB26" s="1814">
        <f t="shared" si="4"/>
        <v>1</v>
      </c>
      <c r="AC26" s="1814">
        <f t="shared" si="5"/>
        <v>1</v>
      </c>
    </row>
    <row r="27" spans="1:29" s="117" customFormat="1" ht="15">
      <c r="A27" s="431"/>
      <c r="B27" s="451" t="s">
        <v>2662</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26"/>
      <c r="Q27" s="1798" t="str">
        <f t="shared" si="11"/>
        <v>人流量</v>
      </c>
      <c r="R27" s="770" t="s">
        <v>17</v>
      </c>
      <c r="S27" s="771">
        <f>F27</f>
        <v>100</v>
      </c>
      <c r="T27" s="770" t="s">
        <v>17</v>
      </c>
      <c r="U27" s="771">
        <f>H27</f>
        <v>100</v>
      </c>
      <c r="V27" s="770" t="s">
        <v>17</v>
      </c>
      <c r="W27" s="771">
        <f>J27</f>
        <v>100</v>
      </c>
      <c r="X27" s="772"/>
      <c r="Y27" s="3179"/>
      <c r="Z27" s="55" t="str">
        <f>Q27</f>
        <v>人流量</v>
      </c>
      <c r="AA27" s="1814">
        <f>D27/F27</f>
        <v>1</v>
      </c>
      <c r="AB27" s="1814">
        <f>D27/H27</f>
        <v>1</v>
      </c>
      <c r="AC27" s="1814">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6"/>
      <c r="Q29" s="1813">
        <f t="shared" si="11"/>
        <v>111</v>
      </c>
      <c r="R29" s="774" t="s">
        <v>17</v>
      </c>
      <c r="S29" s="775">
        <f t="shared" si="12"/>
        <v>100</v>
      </c>
      <c r="T29" s="774" t="s">
        <v>17</v>
      </c>
      <c r="U29" s="775">
        <f t="shared" si="13"/>
        <v>100</v>
      </c>
      <c r="V29" s="774" t="s">
        <v>17</v>
      </c>
      <c r="W29" s="775">
        <f t="shared" si="14"/>
        <v>100</v>
      </c>
      <c r="X29" s="1816"/>
      <c r="Y29" s="317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17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179"/>
      <c r="Z31" s="1817">
        <f t="shared" si="15"/>
        <v>111</v>
      </c>
      <c r="AA31" s="1814">
        <f t="shared" si="3"/>
        <v>1</v>
      </c>
      <c r="AB31" s="1814">
        <f t="shared" si="4"/>
        <v>1</v>
      </c>
      <c r="AC31" s="1814">
        <f t="shared" si="5"/>
        <v>1</v>
      </c>
    </row>
    <row r="32" spans="1:29" ht="15">
      <c r="A32" s="440" t="s">
        <v>2567</v>
      </c>
      <c r="B32" s="71" t="s">
        <v>2664</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21" t="s">
        <v>2569</v>
      </c>
      <c r="Q32" s="1813" t="str">
        <f t="shared" si="11"/>
        <v>商业类型</v>
      </c>
      <c r="R32" s="774" t="s">
        <v>17</v>
      </c>
      <c r="S32" s="775">
        <f t="shared" si="12"/>
        <v>100</v>
      </c>
      <c r="T32" s="774" t="s">
        <v>17</v>
      </c>
      <c r="U32" s="775">
        <f t="shared" si="13"/>
        <v>100</v>
      </c>
      <c r="V32" s="774" t="s">
        <v>17</v>
      </c>
      <c r="W32" s="775">
        <f t="shared" si="14"/>
        <v>100</v>
      </c>
      <c r="X32" s="1816"/>
      <c r="Y32" s="3181" t="s">
        <v>2569</v>
      </c>
      <c r="Z32" s="1817" t="str">
        <f t="shared" si="15"/>
        <v>商业类型</v>
      </c>
      <c r="AA32" s="1814">
        <f t="shared" si="3"/>
        <v>1</v>
      </c>
      <c r="AB32" s="1814">
        <f t="shared" si="4"/>
        <v>1</v>
      </c>
      <c r="AC32" s="1814">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2"/>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4" t="e">
        <f t="shared" si="3"/>
        <v>#N/A</v>
      </c>
      <c r="AB33" s="1814" t="e">
        <f t="shared" si="4"/>
        <v>#N/A</v>
      </c>
      <c r="AC33" s="1814" t="e">
        <f t="shared" si="5"/>
        <v>#N/A</v>
      </c>
    </row>
    <row r="34" spans="1:29" ht="15">
      <c r="A34" s="472"/>
      <c r="B34" s="422" t="s">
        <v>2571</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22"/>
      <c r="Q34" s="1813" t="str">
        <f t="shared" si="11"/>
        <v>建筑结构</v>
      </c>
      <c r="R34" s="774" t="s">
        <v>17</v>
      </c>
      <c r="S34" s="775">
        <f t="shared" si="12"/>
        <v>100</v>
      </c>
      <c r="T34" s="774" t="s">
        <v>17</v>
      </c>
      <c r="U34" s="775">
        <f t="shared" si="13"/>
        <v>100</v>
      </c>
      <c r="V34" s="774" t="s">
        <v>17</v>
      </c>
      <c r="W34" s="775">
        <f t="shared" si="14"/>
        <v>100</v>
      </c>
      <c r="X34" s="1816"/>
      <c r="Y34" s="3181"/>
      <c r="Z34" s="1817" t="str">
        <f t="shared" si="15"/>
        <v>建筑结构</v>
      </c>
      <c r="AA34" s="1814">
        <f t="shared" si="3"/>
        <v>1</v>
      </c>
      <c r="AB34" s="1814">
        <f t="shared" si="4"/>
        <v>1</v>
      </c>
      <c r="AC34" s="1814">
        <f t="shared" si="5"/>
        <v>1</v>
      </c>
    </row>
    <row r="35" spans="1:29" ht="15">
      <c r="A35" s="472"/>
      <c r="B35" s="422" t="s">
        <v>2665</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22"/>
      <c r="Q35" s="1813" t="str">
        <f t="shared" si="11"/>
        <v>公共部分装修</v>
      </c>
      <c r="R35" s="774" t="s">
        <v>17</v>
      </c>
      <c r="S35" s="775">
        <f t="shared" si="12"/>
        <v>100</v>
      </c>
      <c r="T35" s="774" t="s">
        <v>17</v>
      </c>
      <c r="U35" s="775">
        <f t="shared" si="13"/>
        <v>100</v>
      </c>
      <c r="V35" s="774" t="s">
        <v>17</v>
      </c>
      <c r="W35" s="775">
        <f t="shared" si="14"/>
        <v>100</v>
      </c>
      <c r="X35" s="1816"/>
      <c r="Y35" s="3181"/>
      <c r="Z35" s="1817" t="str">
        <f t="shared" si="15"/>
        <v>公共部分装修</v>
      </c>
      <c r="AA35" s="1814">
        <f t="shared" si="3"/>
        <v>1</v>
      </c>
      <c r="AB35" s="1814">
        <f t="shared" si="4"/>
        <v>1</v>
      </c>
      <c r="AC35" s="1814">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2"/>
      <c r="Q36" s="1813" t="str">
        <f t="shared" si="11"/>
        <v>成新度</v>
      </c>
      <c r="R36" s="774" t="s">
        <v>17</v>
      </c>
      <c r="S36" s="775" t="e">
        <f t="shared" si="12"/>
        <v>#N/A</v>
      </c>
      <c r="T36" s="774" t="s">
        <v>17</v>
      </c>
      <c r="U36" s="775" t="e">
        <f t="shared" si="13"/>
        <v>#N/A</v>
      </c>
      <c r="V36" s="774" t="s">
        <v>17</v>
      </c>
      <c r="W36" s="775" t="e">
        <f t="shared" si="14"/>
        <v>#N/A</v>
      </c>
      <c r="X36" s="1816"/>
      <c r="Y36" s="3181"/>
      <c r="Z36" s="1817" t="str">
        <f t="shared" si="15"/>
        <v>成新度</v>
      </c>
      <c r="AA36" s="1814" t="e">
        <f t="shared" si="3"/>
        <v>#N/A</v>
      </c>
      <c r="AB36" s="1814" t="e">
        <f t="shared" si="4"/>
        <v>#N/A</v>
      </c>
      <c r="AC36" s="1814" t="e">
        <f t="shared" si="5"/>
        <v>#N/A</v>
      </c>
    </row>
    <row r="37" spans="1:29" s="117" customFormat="1" ht="15">
      <c r="A37" s="473"/>
      <c r="B37" s="422" t="s">
        <v>2667</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22"/>
      <c r="Q37" s="1798"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2668</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22" t="s">
        <v>2569</v>
      </c>
      <c r="Q38" s="1813" t="str">
        <f t="shared" si="11"/>
        <v>业态</v>
      </c>
      <c r="R38" s="774" t="s">
        <v>17</v>
      </c>
      <c r="S38" s="775">
        <f t="shared" si="12"/>
        <v>100</v>
      </c>
      <c r="T38" s="774" t="s">
        <v>17</v>
      </c>
      <c r="U38" s="775">
        <f t="shared" si="13"/>
        <v>100</v>
      </c>
      <c r="V38" s="774" t="s">
        <v>17</v>
      </c>
      <c r="W38" s="775">
        <f t="shared" si="14"/>
        <v>100</v>
      </c>
      <c r="X38" s="1816"/>
      <c r="Y38" s="3181" t="s">
        <v>2569</v>
      </c>
      <c r="Z38" s="1817" t="str">
        <f t="shared" si="15"/>
        <v>业态</v>
      </c>
      <c r="AA38" s="1814">
        <f t="shared" si="3"/>
        <v>1</v>
      </c>
      <c r="AB38" s="1814">
        <f t="shared" si="4"/>
        <v>1</v>
      </c>
      <c r="AC38" s="1814">
        <f t="shared" si="5"/>
        <v>1</v>
      </c>
    </row>
    <row r="39" spans="1:29" ht="15">
      <c r="A39" s="472"/>
      <c r="B39" s="422" t="s">
        <v>2669</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22"/>
      <c r="Q39" s="1813" t="str">
        <f t="shared" si="11"/>
        <v>层高</v>
      </c>
      <c r="R39" s="774" t="s">
        <v>17</v>
      </c>
      <c r="S39" s="775">
        <f t="shared" si="12"/>
        <v>100</v>
      </c>
      <c r="T39" s="774" t="s">
        <v>17</v>
      </c>
      <c r="U39" s="775">
        <f t="shared" si="13"/>
        <v>100</v>
      </c>
      <c r="V39" s="774" t="s">
        <v>17</v>
      </c>
      <c r="W39" s="775">
        <f t="shared" si="14"/>
        <v>100</v>
      </c>
      <c r="X39" s="1816"/>
      <c r="Y39" s="3181"/>
      <c r="Z39" s="1817" t="str">
        <f t="shared" si="15"/>
        <v>层高</v>
      </c>
      <c r="AA39" s="1814">
        <f t="shared" si="3"/>
        <v>1</v>
      </c>
      <c r="AB39" s="1814">
        <f t="shared" si="4"/>
        <v>1</v>
      </c>
      <c r="AC39" s="1814">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2"/>
      <c r="Q40" s="1813" t="str">
        <f t="shared" si="11"/>
        <v>单套建筑面积</v>
      </c>
      <c r="R40" s="774" t="s">
        <v>17</v>
      </c>
      <c r="S40" s="775">
        <f t="shared" si="12"/>
        <v>100</v>
      </c>
      <c r="T40" s="774" t="s">
        <v>17</v>
      </c>
      <c r="U40" s="775">
        <f t="shared" si="13"/>
        <v>100</v>
      </c>
      <c r="V40" s="774" t="s">
        <v>17</v>
      </c>
      <c r="W40" s="775">
        <f t="shared" si="14"/>
        <v>100</v>
      </c>
      <c r="X40" s="1816"/>
      <c r="Y40" s="3181"/>
      <c r="Z40" s="1817" t="str">
        <f t="shared" si="15"/>
        <v>单套建筑面积</v>
      </c>
      <c r="AA40" s="1814">
        <f t="shared" si="3"/>
        <v>1</v>
      </c>
      <c r="AB40" s="1814">
        <f t="shared" si="4"/>
        <v>1</v>
      </c>
      <c r="AC40" s="1814">
        <f t="shared" si="5"/>
        <v>1</v>
      </c>
    </row>
    <row r="41" spans="1:29" s="471" customFormat="1" ht="15">
      <c r="A41" s="468"/>
      <c r="B41" s="1815"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2"/>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4">
        <f t="shared" si="3"/>
        <v>1</v>
      </c>
      <c r="AB41" s="1814">
        <f t="shared" si="4"/>
        <v>1</v>
      </c>
      <c r="AC41" s="1814">
        <f t="shared" si="5"/>
        <v>1</v>
      </c>
    </row>
    <row r="42" spans="1:29" ht="15">
      <c r="A42" s="472"/>
      <c r="B42" s="422" t="s">
        <v>2672</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22"/>
      <c r="Q42" s="1813" t="str">
        <f t="shared" si="11"/>
        <v>内部装修</v>
      </c>
      <c r="R42" s="774" t="s">
        <v>17</v>
      </c>
      <c r="S42" s="775">
        <f t="shared" si="12"/>
        <v>100</v>
      </c>
      <c r="T42" s="774" t="s">
        <v>17</v>
      </c>
      <c r="U42" s="775">
        <f t="shared" si="13"/>
        <v>100</v>
      </c>
      <c r="V42" s="774" t="s">
        <v>17</v>
      </c>
      <c r="W42" s="775">
        <f t="shared" si="14"/>
        <v>100</v>
      </c>
      <c r="X42" s="1816"/>
      <c r="Y42" s="3181"/>
      <c r="Z42" s="1817" t="str">
        <f t="shared" si="15"/>
        <v>内部装修</v>
      </c>
      <c r="AA42" s="1814">
        <f t="shared" si="3"/>
        <v>1</v>
      </c>
      <c r="AB42" s="1814">
        <f t="shared" si="4"/>
        <v>1</v>
      </c>
      <c r="AC42" s="1814">
        <f t="shared" si="5"/>
        <v>1</v>
      </c>
    </row>
    <row r="43" spans="1:29" ht="15">
      <c r="A43" s="472"/>
      <c r="B43" s="422" t="s">
        <v>2580</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22"/>
      <c r="Q43" s="1813" t="str">
        <f t="shared" si="11"/>
        <v>内部装修维护情况</v>
      </c>
      <c r="R43" s="774" t="s">
        <v>17</v>
      </c>
      <c r="S43" s="775">
        <f t="shared" si="12"/>
        <v>100</v>
      </c>
      <c r="T43" s="774" t="s">
        <v>17</v>
      </c>
      <c r="U43" s="775">
        <f t="shared" si="13"/>
        <v>100</v>
      </c>
      <c r="V43" s="774" t="s">
        <v>17</v>
      </c>
      <c r="W43" s="775">
        <f t="shared" si="14"/>
        <v>100</v>
      </c>
      <c r="X43" s="1816"/>
      <c r="Y43" s="318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2"/>
      <c r="Q44" s="1798">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2"/>
      <c r="Q45" s="1813">
        <f t="shared" si="11"/>
        <v>111</v>
      </c>
      <c r="R45" s="774" t="s">
        <v>17</v>
      </c>
      <c r="S45" s="775">
        <f t="shared" si="12"/>
        <v>100</v>
      </c>
      <c r="T45" s="774" t="s">
        <v>17</v>
      </c>
      <c r="U45" s="775">
        <f t="shared" si="13"/>
        <v>100</v>
      </c>
      <c r="V45" s="774" t="s">
        <v>17</v>
      </c>
      <c r="W45" s="775">
        <f t="shared" si="14"/>
        <v>100</v>
      </c>
      <c r="X45" s="1816"/>
      <c r="Y45" s="3181"/>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3"/>
      <c r="Q46" s="1813">
        <f t="shared" si="11"/>
        <v>111</v>
      </c>
      <c r="R46" s="774" t="s">
        <v>17</v>
      </c>
      <c r="S46" s="775">
        <f t="shared" si="12"/>
        <v>100</v>
      </c>
      <c r="T46" s="774" t="s">
        <v>17</v>
      </c>
      <c r="U46" s="775">
        <f t="shared" si="13"/>
        <v>100</v>
      </c>
      <c r="V46" s="774" t="s">
        <v>17</v>
      </c>
      <c r="W46" s="775">
        <f t="shared" si="14"/>
        <v>100</v>
      </c>
      <c r="X46" s="1816"/>
      <c r="Y46" s="3224"/>
      <c r="Z46" s="1817">
        <f t="shared" si="15"/>
        <v>111</v>
      </c>
      <c r="AA46" s="1814">
        <f t="shared" si="3"/>
        <v>1</v>
      </c>
      <c r="AB46" s="1814">
        <f t="shared" si="4"/>
        <v>1</v>
      </c>
      <c r="AC46" s="1814">
        <f t="shared" si="5"/>
        <v>1</v>
      </c>
    </row>
    <row r="47" spans="1:29" ht="15">
      <c r="A47" s="479" t="s">
        <v>2581</v>
      </c>
      <c r="B47" s="480"/>
      <c r="C47" s="1410" t="s">
        <v>1</v>
      </c>
      <c r="D47" s="1411"/>
      <c r="E47" s="1412"/>
      <c r="F47" s="1413"/>
      <c r="G47" s="1414"/>
      <c r="H47" s="1415"/>
      <c r="I47" s="1412"/>
      <c r="J47" s="1415"/>
      <c r="K47" s="783"/>
      <c r="L47" s="1146"/>
      <c r="M47" s="1147"/>
      <c r="N47" s="1134"/>
      <c r="O47" s="1147"/>
      <c r="P47" s="3163" t="str">
        <f>A47</f>
        <v>成交单价（元/平方米）</v>
      </c>
      <c r="Q47" s="3163"/>
      <c r="R47" s="3176">
        <f>E47</f>
        <v>0</v>
      </c>
      <c r="S47" s="3176"/>
      <c r="T47" s="3176">
        <f>G47</f>
        <v>0</v>
      </c>
      <c r="U47" s="3176"/>
      <c r="V47" s="3176">
        <f>I47</f>
        <v>0</v>
      </c>
      <c r="W47" s="3176"/>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163" t="str">
        <f>A48</f>
        <v>比较价值（元/平方米）</v>
      </c>
      <c r="Q48" s="3163"/>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183" t="str">
        <f>A49</f>
        <v>估价对象XX用房的比较价值（楼面单价，元/平方米）</v>
      </c>
      <c r="Q49" s="3184"/>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2552</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2554</v>
      </c>
      <c r="B61" s="510"/>
      <c r="C61" s="522" t="s">
        <v>2656</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2567</v>
      </c>
      <c r="B100" s="528" t="s">
        <v>2685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2620</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2686</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2687</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2688</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估价对象为出让国有建设用地使用权及在建建筑物房地产，为所有。根据《国有土地使用证》[]，估价对象（分摊）出让国有建设用地使用权面积为10000平方米，建筑面积为10000平方米。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10000平方米，规划建筑面积为10000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2018年5月11日（评估专业人员实地查勘之日）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本次估价的“房地产价值”是指在正常市场情况下，在价值时点2018年5月11日，估价对象规划用途为，土地取得方式为，假定未设立法定优先受偿款下的房地产市场价值。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2690</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IF(C2="——",ROUND(C50*D3/10000,0),ROUND(C50*D3/10000,0)-D2)</f>
        <v>#DIV/0!</v>
      </c>
      <c r="C2" s="2593"/>
      <c r="D2" s="1368" t="e">
        <f ca="1">SUMIF(INDIRECT("'"&amp;F2&amp;"'"&amp;"!A:A"),"承租人权益价值",INDIRECT("'"&amp;F2&amp;"'"&amp;"!c:c"))</f>
        <v>#REF!</v>
      </c>
      <c r="E2" s="2594" t="s">
        <v>2332</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10000</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164" t="s">
        <v>2650</v>
      </c>
      <c r="D4" s="3165"/>
      <c r="E4" s="3166" t="s">
        <v>2651</v>
      </c>
      <c r="F4" s="3167"/>
      <c r="G4" s="3164" t="s">
        <v>2652</v>
      </c>
      <c r="H4" s="3165"/>
      <c r="I4" s="3164" t="s">
        <v>2653</v>
      </c>
      <c r="J4" s="3165"/>
      <c r="K4" s="610" t="s">
        <v>2654</v>
      </c>
      <c r="L4" s="1133"/>
      <c r="M4" s="1134"/>
      <c r="N4" s="1134"/>
      <c r="O4" s="1134"/>
      <c r="P4" s="3233" t="s">
        <v>2655</v>
      </c>
      <c r="Q4" s="3234"/>
      <c r="R4" s="3228" t="s">
        <v>2651</v>
      </c>
      <c r="S4" s="3229"/>
      <c r="T4" s="3228" t="s">
        <v>2652</v>
      </c>
      <c r="U4" s="3229"/>
      <c r="V4" s="3237" t="s">
        <v>2653</v>
      </c>
      <c r="W4" s="3237"/>
      <c r="X4" s="2677"/>
      <c r="Y4" s="3228" t="s">
        <v>2655</v>
      </c>
      <c r="Z4" s="3229"/>
      <c r="AA4" s="3227" t="s">
        <v>2651</v>
      </c>
      <c r="AB4" s="3227" t="s">
        <v>2652</v>
      </c>
      <c r="AC4" s="3230" t="s">
        <v>2653</v>
      </c>
    </row>
    <row r="5" spans="1:29" ht="15">
      <c r="A5" s="404"/>
      <c r="B5" s="405"/>
      <c r="C5" s="3157" t="s">
        <v>2546</v>
      </c>
      <c r="D5" s="3158"/>
      <c r="E5" s="3155" t="s">
        <v>2547</v>
      </c>
      <c r="F5" s="3156"/>
      <c r="G5" s="3157" t="s">
        <v>2548</v>
      </c>
      <c r="H5" s="3158"/>
      <c r="I5" s="3157" t="s">
        <v>2549</v>
      </c>
      <c r="J5" s="3158"/>
      <c r="K5" s="610"/>
      <c r="L5" s="1133"/>
      <c r="M5" s="1134"/>
      <c r="N5" s="1134"/>
      <c r="O5" s="1134"/>
      <c r="P5" s="3235"/>
      <c r="Q5" s="3171"/>
      <c r="R5" s="3153"/>
      <c r="S5" s="3154"/>
      <c r="T5" s="3153"/>
      <c r="U5" s="3154"/>
      <c r="V5" s="3176"/>
      <c r="W5" s="3176"/>
      <c r="X5" s="1816"/>
      <c r="Y5" s="3153"/>
      <c r="Z5" s="3154"/>
      <c r="AA5" s="3147"/>
      <c r="AB5" s="3147"/>
      <c r="AC5" s="3231"/>
    </row>
    <row r="6" spans="1:29" ht="15.75" thickBot="1">
      <c r="A6" s="406"/>
      <c r="B6" s="407"/>
      <c r="C6" s="3159" t="s">
        <v>2550</v>
      </c>
      <c r="D6" s="3160"/>
      <c r="E6" s="3161" t="s">
        <v>2550</v>
      </c>
      <c r="F6" s="3162"/>
      <c r="G6" s="3159" t="s">
        <v>2550</v>
      </c>
      <c r="H6" s="3160"/>
      <c r="I6" s="3159" t="s">
        <v>2550</v>
      </c>
      <c r="J6" s="3160"/>
      <c r="K6" s="610" t="s">
        <v>2551</v>
      </c>
      <c r="L6" s="1133"/>
      <c r="M6" s="1134"/>
      <c r="N6" s="1134"/>
      <c r="O6" s="1134"/>
      <c r="P6" s="3236"/>
      <c r="Q6" s="3173"/>
      <c r="R6" s="3153"/>
      <c r="S6" s="3154"/>
      <c r="T6" s="3174"/>
      <c r="U6" s="3175"/>
      <c r="V6" s="3176"/>
      <c r="W6" s="3176"/>
      <c r="X6" s="1816"/>
      <c r="Y6" s="3174"/>
      <c r="Z6" s="3175"/>
      <c r="AA6" s="3148"/>
      <c r="AB6" s="3148"/>
      <c r="AC6" s="3232"/>
    </row>
    <row r="7" spans="1:29" s="117" customFormat="1" ht="15.75" thickBot="1">
      <c r="A7" s="408" t="s">
        <v>2552</v>
      </c>
      <c r="B7" s="409"/>
      <c r="C7" s="410">
        <f>'数据-取费表'!B2</f>
        <v>43231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8" t="s">
        <v>2553</v>
      </c>
      <c r="Q7" s="3177"/>
      <c r="R7" s="770" t="s">
        <v>17</v>
      </c>
      <c r="S7" s="771">
        <f t="shared" ref="S7:S15" si="0">F7</f>
        <v>0</v>
      </c>
      <c r="T7" s="770" t="s">
        <v>17</v>
      </c>
      <c r="U7" s="771">
        <f t="shared" ref="U7:U15" si="1">H7</f>
        <v>0</v>
      </c>
      <c r="V7" s="770" t="s">
        <v>17</v>
      </c>
      <c r="W7" s="771">
        <f t="shared" ref="W7:W15" si="2">J7</f>
        <v>0</v>
      </c>
      <c r="X7" s="772"/>
      <c r="Y7" s="3149" t="s">
        <v>2553</v>
      </c>
      <c r="Z7" s="3150"/>
      <c r="AA7" s="773" t="e">
        <f>D7/F7</f>
        <v>#DIV/0!</v>
      </c>
      <c r="AB7" s="773" t="e">
        <f>D7/H7</f>
        <v>#DIV/0!</v>
      </c>
      <c r="AC7" s="2678"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8" t="s">
        <v>2556</v>
      </c>
      <c r="Q8" s="3150"/>
      <c r="R8" s="770" t="s">
        <v>17</v>
      </c>
      <c r="S8" s="771">
        <f t="shared" si="0"/>
        <v>0</v>
      </c>
      <c r="T8" s="770" t="s">
        <v>17</v>
      </c>
      <c r="U8" s="771">
        <f t="shared" si="1"/>
        <v>0</v>
      </c>
      <c r="V8" s="770" t="s">
        <v>17</v>
      </c>
      <c r="W8" s="771">
        <f t="shared" si="2"/>
        <v>0</v>
      </c>
      <c r="X8" s="772"/>
      <c r="Y8" s="3149" t="s">
        <v>2556</v>
      </c>
      <c r="Z8" s="3150"/>
      <c r="AA8" s="773" t="e">
        <f t="shared" ref="AA8:AA47" si="3">D8/F8</f>
        <v>#DIV/0!</v>
      </c>
      <c r="AB8" s="773" t="e">
        <f t="shared" ref="AB8:AB47" si="4">D8/H8</f>
        <v>#DIV/0!</v>
      </c>
      <c r="AC8" s="2678"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7" t="s">
        <v>2559</v>
      </c>
      <c r="Q9" s="1798"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2678">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8">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7"/>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87"/>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8">
        <f t="shared" si="5"/>
        <v>1</v>
      </c>
    </row>
    <row r="15" spans="1:29" ht="71.25">
      <c r="A15" s="440" t="s">
        <v>2563</v>
      </c>
      <c r="B15" s="629" t="s">
        <v>2691</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5" t="s">
        <v>2564</v>
      </c>
      <c r="Q15" s="1813" t="str">
        <f t="shared" si="6"/>
        <v>办公集聚程度</v>
      </c>
      <c r="R15" s="774" t="s">
        <v>17</v>
      </c>
      <c r="S15" s="775">
        <f t="shared" si="0"/>
        <v>100</v>
      </c>
      <c r="T15" s="774" t="s">
        <v>17</v>
      </c>
      <c r="U15" s="775">
        <f t="shared" si="1"/>
        <v>100</v>
      </c>
      <c r="V15" s="774" t="s">
        <v>17</v>
      </c>
      <c r="W15" s="775">
        <f t="shared" si="2"/>
        <v>100</v>
      </c>
      <c r="X15" s="1816"/>
      <c r="Y15" s="3178" t="s">
        <v>2564</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26"/>
      <c r="Q16" s="1813"/>
      <c r="R16" s="774"/>
      <c r="S16" s="775"/>
      <c r="T16" s="774"/>
      <c r="U16" s="775"/>
      <c r="V16" s="774"/>
      <c r="W16" s="775"/>
      <c r="X16" s="1816"/>
      <c r="Y16" s="3179"/>
      <c r="Z16" s="1817"/>
      <c r="AA16" s="1814">
        <v>1</v>
      </c>
      <c r="AB16" s="1814">
        <v>1</v>
      </c>
      <c r="AC16" s="2681">
        <v>1</v>
      </c>
    </row>
    <row r="17" spans="1:29" ht="71.25">
      <c r="A17" s="428"/>
      <c r="B17" s="631" t="s">
        <v>2102</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6"/>
      <c r="Q17" s="1813" t="str">
        <f>B17</f>
        <v>交通便捷度</v>
      </c>
      <c r="R17" s="774" t="s">
        <v>17</v>
      </c>
      <c r="S17" s="775">
        <f>F17</f>
        <v>100</v>
      </c>
      <c r="T17" s="774" t="s">
        <v>17</v>
      </c>
      <c r="U17" s="775">
        <f>H17</f>
        <v>100</v>
      </c>
      <c r="V17" s="774" t="s">
        <v>17</v>
      </c>
      <c r="W17" s="775">
        <f>J17</f>
        <v>100</v>
      </c>
      <c r="X17" s="1816"/>
      <c r="Y17" s="3179"/>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26"/>
      <c r="Q18" s="1813"/>
      <c r="R18" s="774"/>
      <c r="S18" s="775"/>
      <c r="T18" s="774"/>
      <c r="U18" s="775"/>
      <c r="V18" s="774"/>
      <c r="W18" s="775"/>
      <c r="X18" s="1816"/>
      <c r="Y18" s="3179"/>
      <c r="Z18" s="1817"/>
      <c r="AA18" s="1814">
        <v>1</v>
      </c>
      <c r="AB18" s="1814">
        <v>1</v>
      </c>
      <c r="AC18" s="2681">
        <v>1</v>
      </c>
    </row>
    <row r="19" spans="1:29" ht="42.75">
      <c r="A19" s="428"/>
      <c r="B19" s="631" t="s">
        <v>2692</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6"/>
      <c r="Q19" s="1813" t="str">
        <f>B19</f>
        <v>公共配套设施</v>
      </c>
      <c r="R19" s="774" t="s">
        <v>17</v>
      </c>
      <c r="S19" s="775">
        <f>F19</f>
        <v>100</v>
      </c>
      <c r="T19" s="774" t="s">
        <v>17</v>
      </c>
      <c r="U19" s="775">
        <f>H19</f>
        <v>100</v>
      </c>
      <c r="V19" s="774" t="s">
        <v>17</v>
      </c>
      <c r="W19" s="775">
        <f>J19</f>
        <v>100</v>
      </c>
      <c r="X19" s="1816"/>
      <c r="Y19" s="3179"/>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26"/>
      <c r="Q20" s="1813"/>
      <c r="R20" s="774"/>
      <c r="S20" s="775"/>
      <c r="T20" s="774"/>
      <c r="U20" s="775"/>
      <c r="V20" s="774"/>
      <c r="W20" s="775"/>
      <c r="X20" s="1816"/>
      <c r="Y20" s="3179"/>
      <c r="Z20" s="1817"/>
      <c r="AA20" s="1814">
        <v>1</v>
      </c>
      <c r="AB20" s="1814">
        <v>1</v>
      </c>
      <c r="AC20" s="2681">
        <v>1</v>
      </c>
    </row>
    <row r="21" spans="1:29" ht="28.5">
      <c r="A21" s="428"/>
      <c r="B21" s="633" t="s">
        <v>2693</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79"/>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26"/>
      <c r="Q22" s="1813"/>
      <c r="R22" s="774"/>
      <c r="S22" s="775"/>
      <c r="T22" s="774"/>
      <c r="U22" s="775"/>
      <c r="V22" s="774"/>
      <c r="W22" s="775"/>
      <c r="X22" s="1816"/>
      <c r="Y22" s="3179"/>
      <c r="Z22" s="1817"/>
      <c r="AA22" s="1814">
        <v>1</v>
      </c>
      <c r="AB22" s="1814">
        <v>1</v>
      </c>
      <c r="AC22" s="2681">
        <v>1</v>
      </c>
    </row>
    <row r="23" spans="1:29" ht="42.75">
      <c r="A23" s="428"/>
      <c r="B23" s="631" t="s">
        <v>2694</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6"/>
      <c r="Q23" s="1813" t="str">
        <f>B23</f>
        <v>环境质量</v>
      </c>
      <c r="R23" s="774" t="s">
        <v>17</v>
      </c>
      <c r="S23" s="775">
        <f>F23</f>
        <v>100</v>
      </c>
      <c r="T23" s="774" t="s">
        <v>17</v>
      </c>
      <c r="U23" s="775">
        <f>H23</f>
        <v>100</v>
      </c>
      <c r="V23" s="774" t="s">
        <v>17</v>
      </c>
      <c r="W23" s="775">
        <f>J23</f>
        <v>100</v>
      </c>
      <c r="X23" s="1816"/>
      <c r="Y23" s="3179"/>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26"/>
      <c r="Q24" s="1813"/>
      <c r="R24" s="774"/>
      <c r="S24" s="775"/>
      <c r="T24" s="774"/>
      <c r="U24" s="775"/>
      <c r="V24" s="774"/>
      <c r="W24" s="775"/>
      <c r="X24" s="1816"/>
      <c r="Y24" s="3179"/>
      <c r="Z24" s="1817"/>
      <c r="AA24" s="1814">
        <v>1</v>
      </c>
      <c r="AB24" s="1814">
        <v>1</v>
      </c>
      <c r="AC24" s="2681">
        <v>1</v>
      </c>
    </row>
    <row r="25" spans="1:29" ht="27">
      <c r="A25" s="404"/>
      <c r="B25" s="631" t="s">
        <v>2695</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26"/>
      <c r="Q25" s="1813" t="str">
        <f>B25</f>
        <v>毗邻道路的类型与等级</v>
      </c>
      <c r="R25" s="774" t="s">
        <v>17</v>
      </c>
      <c r="S25" s="775">
        <f>F25</f>
        <v>100</v>
      </c>
      <c r="T25" s="774" t="s">
        <v>17</v>
      </c>
      <c r="U25" s="775">
        <f>H25</f>
        <v>100</v>
      </c>
      <c r="V25" s="774" t="s">
        <v>17</v>
      </c>
      <c r="W25" s="775">
        <f>J25</f>
        <v>100</v>
      </c>
      <c r="X25" s="1816"/>
      <c r="Y25" s="3179"/>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26"/>
      <c r="Q26" s="1813"/>
      <c r="R26" s="774"/>
      <c r="S26" s="775"/>
      <c r="T26" s="774"/>
      <c r="U26" s="775"/>
      <c r="V26" s="774"/>
      <c r="W26" s="775"/>
      <c r="X26" s="1816"/>
      <c r="Y26" s="3179"/>
      <c r="Z26" s="1817"/>
      <c r="AA26" s="1814">
        <v>1</v>
      </c>
      <c r="AB26" s="1814">
        <v>1</v>
      </c>
      <c r="AC26" s="268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6"/>
      <c r="Q27" s="1813" t="str">
        <f t="shared" ref="Q27:Q47" si="11">B27</f>
        <v>楼层</v>
      </c>
      <c r="R27" s="774" t="s">
        <v>17</v>
      </c>
      <c r="S27" s="775">
        <f>F27</f>
        <v>100</v>
      </c>
      <c r="T27" s="774" t="s">
        <v>17</v>
      </c>
      <c r="U27" s="775">
        <f>H27</f>
        <v>100</v>
      </c>
      <c r="V27" s="774" t="s">
        <v>17</v>
      </c>
      <c r="W27" s="775">
        <f>J27</f>
        <v>100</v>
      </c>
      <c r="X27" s="1816"/>
      <c r="Y27" s="3179"/>
      <c r="Z27" s="1817" t="str">
        <f>Q27</f>
        <v>楼层</v>
      </c>
      <c r="AA27" s="1814">
        <f t="shared" si="3"/>
        <v>1</v>
      </c>
      <c r="AB27" s="1814">
        <f t="shared" si="4"/>
        <v>1</v>
      </c>
      <c r="AC27" s="2681">
        <f t="shared" si="5"/>
        <v>1</v>
      </c>
    </row>
    <row r="28" spans="1:29" s="117" customFormat="1" ht="15">
      <c r="A28" s="431"/>
      <c r="B28" s="631" t="s">
        <v>2696</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26"/>
      <c r="Q28" s="1798" t="str">
        <f t="shared" si="11"/>
        <v>朝向</v>
      </c>
      <c r="R28" s="770" t="s">
        <v>17</v>
      </c>
      <c r="S28" s="771">
        <f>F28</f>
        <v>100</v>
      </c>
      <c r="T28" s="770" t="s">
        <v>17</v>
      </c>
      <c r="U28" s="771">
        <f>H28</f>
        <v>100</v>
      </c>
      <c r="V28" s="770" t="s">
        <v>17</v>
      </c>
      <c r="W28" s="771">
        <f>J28</f>
        <v>100</v>
      </c>
      <c r="X28" s="772"/>
      <c r="Y28" s="3179"/>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26"/>
      <c r="Q29" s="1813">
        <f t="shared" si="11"/>
        <v>111</v>
      </c>
      <c r="R29" s="774" t="s">
        <v>17</v>
      </c>
      <c r="S29" s="775">
        <f t="shared" ref="S29:S47" si="12">F29</f>
        <v>100</v>
      </c>
      <c r="T29" s="774" t="s">
        <v>17</v>
      </c>
      <c r="U29" s="775">
        <f t="shared" ref="U29:U47" si="13">H29</f>
        <v>100</v>
      </c>
      <c r="V29" s="774" t="s">
        <v>17</v>
      </c>
      <c r="W29" s="775">
        <f t="shared" ref="W29:W47" si="14">J29</f>
        <v>100</v>
      </c>
      <c r="X29" s="1816"/>
      <c r="Y29" s="3179"/>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179"/>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179"/>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26"/>
      <c r="Q32" s="1813">
        <f t="shared" si="11"/>
        <v>111</v>
      </c>
      <c r="R32" s="774" t="s">
        <v>17</v>
      </c>
      <c r="S32" s="775">
        <f t="shared" si="12"/>
        <v>100</v>
      </c>
      <c r="T32" s="774" t="s">
        <v>17</v>
      </c>
      <c r="U32" s="775">
        <f t="shared" si="13"/>
        <v>100</v>
      </c>
      <c r="V32" s="774" t="s">
        <v>17</v>
      </c>
      <c r="W32" s="775">
        <f t="shared" si="14"/>
        <v>100</v>
      </c>
      <c r="X32" s="1816"/>
      <c r="Y32" s="3179"/>
      <c r="Z32" s="1817">
        <f t="shared" si="15"/>
        <v>111</v>
      </c>
      <c r="AA32" s="1814">
        <f t="shared" si="3"/>
        <v>1</v>
      </c>
      <c r="AB32" s="1814">
        <f t="shared" si="4"/>
        <v>1</v>
      </c>
      <c r="AC32" s="2681">
        <f t="shared" si="5"/>
        <v>1</v>
      </c>
    </row>
    <row r="33" spans="1:29" ht="15">
      <c r="A33" s="440" t="s">
        <v>2567</v>
      </c>
      <c r="B33" s="71" t="s">
        <v>2697</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21" t="s">
        <v>2569</v>
      </c>
      <c r="Q33" s="1813" t="str">
        <f t="shared" si="11"/>
        <v>建筑类型</v>
      </c>
      <c r="R33" s="774" t="s">
        <v>17</v>
      </c>
      <c r="S33" s="775">
        <f t="shared" si="12"/>
        <v>100</v>
      </c>
      <c r="T33" s="774" t="s">
        <v>17</v>
      </c>
      <c r="U33" s="775">
        <f t="shared" si="13"/>
        <v>100</v>
      </c>
      <c r="V33" s="774" t="s">
        <v>17</v>
      </c>
      <c r="W33" s="775">
        <f t="shared" si="14"/>
        <v>100</v>
      </c>
      <c r="X33" s="1816"/>
      <c r="Y33" s="3181" t="s">
        <v>2569</v>
      </c>
      <c r="Z33" s="1817" t="str">
        <f t="shared" si="15"/>
        <v>建筑类型</v>
      </c>
      <c r="AA33" s="1814">
        <f t="shared" si="3"/>
        <v>1</v>
      </c>
      <c r="AB33" s="1814">
        <f t="shared" si="4"/>
        <v>1</v>
      </c>
      <c r="AC33" s="2681">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2"/>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14" t="e">
        <f t="shared" si="3"/>
        <v>#N/A</v>
      </c>
      <c r="AB34" s="1814" t="e">
        <f t="shared" si="4"/>
        <v>#N/A</v>
      </c>
      <c r="AC34" s="2681"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2"/>
      <c r="Q35" s="1813" t="str">
        <f t="shared" si="11"/>
        <v>建筑结构</v>
      </c>
      <c r="R35" s="774" t="s">
        <v>17</v>
      </c>
      <c r="S35" s="775">
        <f t="shared" si="12"/>
        <v>100</v>
      </c>
      <c r="T35" s="774" t="s">
        <v>17</v>
      </c>
      <c r="U35" s="775">
        <f t="shared" si="13"/>
        <v>100</v>
      </c>
      <c r="V35" s="774" t="s">
        <v>17</v>
      </c>
      <c r="W35" s="775">
        <f t="shared" si="14"/>
        <v>100</v>
      </c>
      <c r="X35" s="1816"/>
      <c r="Y35" s="3181"/>
      <c r="Z35" s="1817" t="str">
        <f t="shared" si="15"/>
        <v>建筑结构</v>
      </c>
      <c r="AA35" s="1814">
        <f t="shared" si="3"/>
        <v>1</v>
      </c>
      <c r="AB35" s="1814">
        <f t="shared" si="4"/>
        <v>1</v>
      </c>
      <c r="AC35" s="2681">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2"/>
      <c r="Q36" s="1813" t="str">
        <f t="shared" si="11"/>
        <v>公共部分装修</v>
      </c>
      <c r="R36" s="774" t="s">
        <v>17</v>
      </c>
      <c r="S36" s="775">
        <f t="shared" si="12"/>
        <v>100</v>
      </c>
      <c r="T36" s="774" t="s">
        <v>17</v>
      </c>
      <c r="U36" s="775">
        <f t="shared" si="13"/>
        <v>100</v>
      </c>
      <c r="V36" s="774" t="s">
        <v>17</v>
      </c>
      <c r="W36" s="775">
        <f t="shared" si="14"/>
        <v>100</v>
      </c>
      <c r="X36" s="1816"/>
      <c r="Y36" s="3181"/>
      <c r="Z36" s="1817" t="str">
        <f t="shared" si="15"/>
        <v>公共部分装修</v>
      </c>
      <c r="AA36" s="1814">
        <f t="shared" si="3"/>
        <v>1</v>
      </c>
      <c r="AB36" s="1814">
        <f t="shared" si="4"/>
        <v>1</v>
      </c>
      <c r="AC36" s="2681">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2"/>
      <c r="Q37" s="1813" t="str">
        <f t="shared" si="11"/>
        <v>成新度</v>
      </c>
      <c r="R37" s="774" t="s">
        <v>17</v>
      </c>
      <c r="S37" s="775" t="e">
        <f t="shared" si="12"/>
        <v>#N/A</v>
      </c>
      <c r="T37" s="774" t="s">
        <v>17</v>
      </c>
      <c r="U37" s="775" t="e">
        <f t="shared" si="13"/>
        <v>#N/A</v>
      </c>
      <c r="V37" s="774" t="s">
        <v>17</v>
      </c>
      <c r="W37" s="775" t="e">
        <f t="shared" si="14"/>
        <v>#N/A</v>
      </c>
      <c r="X37" s="1816"/>
      <c r="Y37" s="3181"/>
      <c r="Z37" s="1817" t="str">
        <f t="shared" si="15"/>
        <v>成新度</v>
      </c>
      <c r="AA37" s="1814" t="e">
        <f t="shared" si="3"/>
        <v>#N/A</v>
      </c>
      <c r="AB37" s="1814" t="e">
        <f t="shared" si="4"/>
        <v>#N/A</v>
      </c>
      <c r="AC37" s="2681"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2"/>
      <c r="Q38" s="1798"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2" t="s">
        <v>2569</v>
      </c>
      <c r="Q39" s="1813" t="str">
        <f t="shared" si="11"/>
        <v>物业管理</v>
      </c>
      <c r="R39" s="774" t="s">
        <v>17</v>
      </c>
      <c r="S39" s="775">
        <f t="shared" si="12"/>
        <v>100</v>
      </c>
      <c r="T39" s="774" t="s">
        <v>17</v>
      </c>
      <c r="U39" s="775">
        <f t="shared" si="13"/>
        <v>100</v>
      </c>
      <c r="V39" s="774" t="s">
        <v>17</v>
      </c>
      <c r="W39" s="775">
        <f t="shared" si="14"/>
        <v>100</v>
      </c>
      <c r="X39" s="1816"/>
      <c r="Y39" s="3181" t="s">
        <v>2569</v>
      </c>
      <c r="Z39" s="1817" t="str">
        <f t="shared" si="15"/>
        <v>物业管理</v>
      </c>
      <c r="AA39" s="1814">
        <f t="shared" si="3"/>
        <v>1</v>
      </c>
      <c r="AB39" s="1814">
        <f t="shared" si="4"/>
        <v>1</v>
      </c>
      <c r="AC39" s="268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2"/>
      <c r="Q40" s="1813" t="str">
        <f t="shared" si="11"/>
        <v>市政基础设施</v>
      </c>
      <c r="R40" s="774" t="s">
        <v>17</v>
      </c>
      <c r="S40" s="775">
        <f t="shared" si="12"/>
        <v>100</v>
      </c>
      <c r="T40" s="774" t="s">
        <v>17</v>
      </c>
      <c r="U40" s="775">
        <f t="shared" si="13"/>
        <v>100</v>
      </c>
      <c r="V40" s="774" t="s">
        <v>17</v>
      </c>
      <c r="W40" s="775">
        <f t="shared" si="14"/>
        <v>100</v>
      </c>
      <c r="X40" s="1816"/>
      <c r="Y40" s="3181"/>
      <c r="Z40" s="1817" t="str">
        <f t="shared" si="15"/>
        <v>市政基础设施</v>
      </c>
      <c r="AA40" s="1814">
        <f t="shared" si="3"/>
        <v>1</v>
      </c>
      <c r="AB40" s="1814">
        <f t="shared" si="4"/>
        <v>1</v>
      </c>
      <c r="AC40" s="268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2"/>
      <c r="Q41" s="1813" t="str">
        <f t="shared" si="11"/>
        <v>层高</v>
      </c>
      <c r="R41" s="774" t="s">
        <v>17</v>
      </c>
      <c r="S41" s="775">
        <f t="shared" si="12"/>
        <v>100</v>
      </c>
      <c r="T41" s="774" t="s">
        <v>17</v>
      </c>
      <c r="U41" s="775">
        <f t="shared" si="13"/>
        <v>100</v>
      </c>
      <c r="V41" s="774" t="s">
        <v>17</v>
      </c>
      <c r="W41" s="775">
        <f t="shared" si="14"/>
        <v>100</v>
      </c>
      <c r="X41" s="1816"/>
      <c r="Y41" s="3181"/>
      <c r="Z41" s="1817" t="str">
        <f t="shared" si="15"/>
        <v>层高</v>
      </c>
      <c r="AA41" s="1814">
        <f t="shared" si="3"/>
        <v>1</v>
      </c>
      <c r="AB41" s="1814">
        <f t="shared" si="4"/>
        <v>1</v>
      </c>
      <c r="AC41" s="2681">
        <f t="shared" si="5"/>
        <v>1</v>
      </c>
    </row>
    <row r="42" spans="1:29" s="471" customFormat="1" ht="15">
      <c r="A42" s="468"/>
      <c r="B42" s="1815"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2"/>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4">
        <f t="shared" si="3"/>
        <v>1</v>
      </c>
      <c r="AB42" s="1814">
        <f t="shared" si="4"/>
        <v>1</v>
      </c>
      <c r="AC42" s="2681">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2"/>
      <c r="Q43" s="1813" t="str">
        <f t="shared" si="11"/>
        <v>内部装修</v>
      </c>
      <c r="R43" s="774" t="s">
        <v>17</v>
      </c>
      <c r="S43" s="775">
        <f t="shared" si="12"/>
        <v>100</v>
      </c>
      <c r="T43" s="774" t="s">
        <v>17</v>
      </c>
      <c r="U43" s="775">
        <f t="shared" si="13"/>
        <v>100</v>
      </c>
      <c r="V43" s="774" t="s">
        <v>17</v>
      </c>
      <c r="W43" s="775">
        <f t="shared" si="14"/>
        <v>100</v>
      </c>
      <c r="X43" s="1816"/>
      <c r="Y43" s="3181"/>
      <c r="Z43" s="1817" t="str">
        <f t="shared" si="15"/>
        <v>内部装修</v>
      </c>
      <c r="AA43" s="1814">
        <f t="shared" si="3"/>
        <v>1</v>
      </c>
      <c r="AB43" s="1814">
        <f t="shared" si="4"/>
        <v>1</v>
      </c>
      <c r="AC43" s="2681">
        <f t="shared" si="5"/>
        <v>1</v>
      </c>
    </row>
    <row r="44" spans="1:29" ht="15">
      <c r="A44" s="472"/>
      <c r="B44" s="422" t="s">
        <v>2580</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22"/>
      <c r="Q44" s="1813" t="str">
        <f t="shared" si="11"/>
        <v>内部装修维护情况</v>
      </c>
      <c r="R44" s="774" t="s">
        <v>17</v>
      </c>
      <c r="S44" s="775">
        <f t="shared" si="12"/>
        <v>100</v>
      </c>
      <c r="T44" s="774" t="s">
        <v>17</v>
      </c>
      <c r="U44" s="775">
        <f t="shared" si="13"/>
        <v>100</v>
      </c>
      <c r="V44" s="774" t="s">
        <v>17</v>
      </c>
      <c r="W44" s="775">
        <f t="shared" si="14"/>
        <v>100</v>
      </c>
      <c r="X44" s="1816"/>
      <c r="Y44" s="3181"/>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2"/>
      <c r="Q45" s="1798">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2"/>
      <c r="Q46" s="1813">
        <f t="shared" si="11"/>
        <v>111</v>
      </c>
      <c r="R46" s="774" t="s">
        <v>17</v>
      </c>
      <c r="S46" s="775">
        <f t="shared" si="12"/>
        <v>100</v>
      </c>
      <c r="T46" s="774" t="s">
        <v>17</v>
      </c>
      <c r="U46" s="775">
        <f t="shared" si="13"/>
        <v>100</v>
      </c>
      <c r="V46" s="774" t="s">
        <v>17</v>
      </c>
      <c r="W46" s="775">
        <f t="shared" si="14"/>
        <v>100</v>
      </c>
      <c r="X46" s="1816"/>
      <c r="Y46" s="3181"/>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3"/>
      <c r="Q47" s="1813">
        <f t="shared" si="11"/>
        <v>111</v>
      </c>
      <c r="R47" s="774" t="s">
        <v>17</v>
      </c>
      <c r="S47" s="775">
        <f t="shared" si="12"/>
        <v>100</v>
      </c>
      <c r="T47" s="774" t="s">
        <v>17</v>
      </c>
      <c r="U47" s="775">
        <f t="shared" si="13"/>
        <v>100</v>
      </c>
      <c r="V47" s="774" t="s">
        <v>17</v>
      </c>
      <c r="W47" s="775">
        <f t="shared" si="14"/>
        <v>100</v>
      </c>
      <c r="X47" s="1816"/>
      <c r="Y47" s="3224"/>
      <c r="Z47" s="1817">
        <f t="shared" si="15"/>
        <v>111</v>
      </c>
      <c r="AA47" s="1814">
        <f t="shared" si="3"/>
        <v>1</v>
      </c>
      <c r="AB47" s="1814">
        <f t="shared" si="4"/>
        <v>1</v>
      </c>
      <c r="AC47" s="2681">
        <f t="shared" si="5"/>
        <v>1</v>
      </c>
    </row>
    <row r="48" spans="1:29" ht="15">
      <c r="A48" s="479" t="s">
        <v>2581</v>
      </c>
      <c r="B48" s="480"/>
      <c r="C48" s="1410" t="s">
        <v>1</v>
      </c>
      <c r="D48" s="1411"/>
      <c r="E48" s="1412"/>
      <c r="F48" s="1413"/>
      <c r="G48" s="1414"/>
      <c r="H48" s="1415"/>
      <c r="I48" s="1412"/>
      <c r="J48" s="485"/>
      <c r="K48" s="783"/>
      <c r="L48" s="1146"/>
      <c r="M48" s="1134"/>
      <c r="N48" s="1134"/>
      <c r="O48" s="1134"/>
      <c r="P48" s="3187" t="str">
        <f>A48</f>
        <v>成交单价（元/平方米）</v>
      </c>
      <c r="Q48" s="3163"/>
      <c r="R48" s="3220">
        <f>E48</f>
        <v>0</v>
      </c>
      <c r="S48" s="3220"/>
      <c r="T48" s="3220">
        <f>G48</f>
        <v>0</v>
      </c>
      <c r="U48" s="3220"/>
      <c r="V48" s="3220">
        <f>I48</f>
        <v>0</v>
      </c>
      <c r="W48" s="3220"/>
      <c r="X48" s="446"/>
      <c r="Y48" s="781"/>
      <c r="Z48" s="446"/>
      <c r="AA48" s="446"/>
      <c r="AB48" s="446"/>
      <c r="AC48" s="630"/>
    </row>
    <row r="49" spans="1:29" ht="15.75" thickBot="1">
      <c r="A49" s="486" t="s">
        <v>2673</v>
      </c>
      <c r="B49" s="487"/>
      <c r="C49" s="1416" t="e">
        <f>R50</f>
        <v>#DIV/0!</v>
      </c>
      <c r="D49" s="1417"/>
      <c r="E49" s="1418" t="e">
        <f>R49</f>
        <v>#DIV/0!</v>
      </c>
      <c r="F49" s="1418"/>
      <c r="G49" s="1416" t="e">
        <f>T49</f>
        <v>#DIV/0!</v>
      </c>
      <c r="H49" s="1417"/>
      <c r="I49" s="1418" t="e">
        <f>V49</f>
        <v>#DIV/0!</v>
      </c>
      <c r="J49" s="489"/>
      <c r="K49" s="784"/>
      <c r="L49" s="1146"/>
      <c r="M49" s="1134"/>
      <c r="N49" s="1134"/>
      <c r="O49" s="1134"/>
      <c r="P49" s="3187" t="str">
        <f>A49</f>
        <v>比较价值（元/平方米）</v>
      </c>
      <c r="Q49" s="3163"/>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6"/>
      <c r="Y49" s="446"/>
      <c r="Z49" s="446"/>
      <c r="AA49" s="446"/>
      <c r="AB49" s="446"/>
      <c r="AC49" s="630"/>
    </row>
    <row r="50" spans="1:29" ht="15.75" thickBot="1">
      <c r="A50" s="492" t="s">
        <v>2674</v>
      </c>
      <c r="B50" s="493"/>
      <c r="C50" s="1420" t="e">
        <f>R50</f>
        <v>#DIV/0!</v>
      </c>
      <c r="D50" s="1420"/>
      <c r="E50" s="1420"/>
      <c r="F50" s="1420"/>
      <c r="G50" s="1420"/>
      <c r="H50" s="1420"/>
      <c r="I50" s="1420"/>
      <c r="J50" s="494"/>
      <c r="K50" s="785"/>
      <c r="L50" s="1146"/>
      <c r="M50" s="1134"/>
      <c r="N50" s="1134"/>
      <c r="O50" s="1134"/>
      <c r="P50" s="3239" t="str">
        <f>A50</f>
        <v>估价对象XX用房的比较价值（楼面单价，元/平方米）</v>
      </c>
      <c r="Q50" s="3240"/>
      <c r="R50" s="3241" t="e">
        <f>IF(F1="售价",ROUND(AVERAGE(R49:V49),0),ROUND(AVERAGE(R49:V49),1))</f>
        <v>#DIV/0!</v>
      </c>
      <c r="S50" s="3241"/>
      <c r="T50" s="3241"/>
      <c r="U50" s="3241"/>
      <c r="V50" s="3241"/>
      <c r="W50" s="3241"/>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8"/>
      <c r="Q58" s="504"/>
    </row>
    <row r="59" spans="1:29" s="508" customFormat="1" ht="15">
      <c r="A59" s="505" t="s">
        <v>2552</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2589</v>
      </c>
      <c r="B61" s="516"/>
      <c r="C61" s="517"/>
      <c r="D61" s="518"/>
      <c r="E61" s="518"/>
      <c r="F61" s="518"/>
      <c r="G61" s="518"/>
      <c r="H61" s="518"/>
      <c r="I61" s="518"/>
      <c r="J61" s="518"/>
      <c r="K61" s="518"/>
      <c r="L61" s="518"/>
      <c r="M61" s="519"/>
      <c r="N61" s="518"/>
      <c r="O61" s="519"/>
      <c r="P61" s="2689"/>
      <c r="Q61" s="504"/>
    </row>
    <row r="62" spans="1:29" s="117" customFormat="1" ht="15">
      <c r="A62" s="521" t="s">
        <v>2554</v>
      </c>
      <c r="B62" s="510"/>
      <c r="C62" s="522" t="s">
        <v>2656</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2592</v>
      </c>
      <c r="B64" s="528" t="s">
        <v>2558</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2703</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2567</v>
      </c>
      <c r="B101" s="528" t="s">
        <v>2616</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2618</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2620</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2621</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2622</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2705</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2624</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2706</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93"/>
      <c r="D2" s="1127" t="e">
        <f ca="1">SUMIF(INDIRECT("'"&amp;F2&amp;"'"&amp;"!A:A"),"承租人权益价值",INDIRECT("'"&amp;F2&amp;"'"&amp;"!c:c"))</f>
        <v>#REF!</v>
      </c>
      <c r="E2" s="2594" t="s">
        <v>2332</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10000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64" t="s">
        <v>2650</v>
      </c>
      <c r="D4" s="3165"/>
      <c r="E4" s="3166" t="s">
        <v>2651</v>
      </c>
      <c r="F4" s="3167"/>
      <c r="G4" s="3164" t="s">
        <v>2652</v>
      </c>
      <c r="H4" s="3165"/>
      <c r="I4" s="3164" t="s">
        <v>2653</v>
      </c>
      <c r="J4" s="3165"/>
      <c r="K4" s="610" t="s">
        <v>2654</v>
      </c>
      <c r="L4" s="1133"/>
      <c r="M4" s="1134"/>
      <c r="N4" s="1134"/>
      <c r="O4" s="1134"/>
      <c r="P4" s="3168" t="s">
        <v>2655</v>
      </c>
      <c r="Q4" s="3169"/>
      <c r="R4" s="3151" t="s">
        <v>2651</v>
      </c>
      <c r="S4" s="3152"/>
      <c r="T4" s="3151" t="s">
        <v>2652</v>
      </c>
      <c r="U4" s="3152"/>
      <c r="V4" s="3176" t="s">
        <v>2653</v>
      </c>
      <c r="W4" s="3176"/>
      <c r="X4" s="1816"/>
      <c r="Y4" s="3151" t="s">
        <v>2655</v>
      </c>
      <c r="Z4" s="3152"/>
      <c r="AA4" s="3146" t="s">
        <v>2651</v>
      </c>
      <c r="AB4" s="3147" t="s">
        <v>2652</v>
      </c>
      <c r="AC4" s="3146" t="s">
        <v>2653</v>
      </c>
    </row>
    <row r="5" spans="1:29" ht="15">
      <c r="A5" s="404"/>
      <c r="B5" s="405"/>
      <c r="C5" s="3157" t="s">
        <v>2546</v>
      </c>
      <c r="D5" s="3158"/>
      <c r="E5" s="3155" t="s">
        <v>2547</v>
      </c>
      <c r="F5" s="3156"/>
      <c r="G5" s="3157" t="s">
        <v>2548</v>
      </c>
      <c r="H5" s="3158"/>
      <c r="I5" s="3157" t="s">
        <v>2549</v>
      </c>
      <c r="J5" s="3158"/>
      <c r="K5" s="610"/>
      <c r="L5" s="1133"/>
      <c r="M5" s="1134"/>
      <c r="N5" s="1134"/>
      <c r="O5" s="1134"/>
      <c r="P5" s="3170"/>
      <c r="Q5" s="3171"/>
      <c r="R5" s="3153"/>
      <c r="S5" s="3154"/>
      <c r="T5" s="3153"/>
      <c r="U5" s="3154"/>
      <c r="V5" s="3176"/>
      <c r="W5" s="3176"/>
      <c r="X5" s="1816"/>
      <c r="Y5" s="3153"/>
      <c r="Z5" s="3154"/>
      <c r="AA5" s="3147"/>
      <c r="AB5" s="3147"/>
      <c r="AC5" s="3147"/>
    </row>
    <row r="6" spans="1:29" ht="15.75" thickBot="1">
      <c r="A6" s="406"/>
      <c r="B6" s="407"/>
      <c r="C6" s="3159" t="s">
        <v>2550</v>
      </c>
      <c r="D6" s="3160"/>
      <c r="E6" s="3161" t="s">
        <v>2550</v>
      </c>
      <c r="F6" s="3162"/>
      <c r="G6" s="3159" t="s">
        <v>2550</v>
      </c>
      <c r="H6" s="3160"/>
      <c r="I6" s="3159" t="s">
        <v>2550</v>
      </c>
      <c r="J6" s="3160"/>
      <c r="K6" s="610" t="s">
        <v>2551</v>
      </c>
      <c r="L6" s="1133"/>
      <c r="M6" s="1134"/>
      <c r="N6" s="1134"/>
      <c r="O6" s="1134"/>
      <c r="P6" s="3172"/>
      <c r="Q6" s="3173"/>
      <c r="R6" s="3153"/>
      <c r="S6" s="3154"/>
      <c r="T6" s="3174"/>
      <c r="U6" s="3175"/>
      <c r="V6" s="3176"/>
      <c r="W6" s="3176"/>
      <c r="X6" s="1816"/>
      <c r="Y6" s="3174"/>
      <c r="Z6" s="3175"/>
      <c r="AA6" s="3148"/>
      <c r="AB6" s="3148"/>
      <c r="AC6" s="3148"/>
    </row>
    <row r="7" spans="1:29" s="117" customFormat="1" ht="15.75" thickBot="1">
      <c r="A7" s="408" t="s">
        <v>2552</v>
      </c>
      <c r="B7" s="409"/>
      <c r="C7" s="410">
        <f>'数据-取费表'!B2</f>
        <v>43231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49" t="s">
        <v>2553</v>
      </c>
      <c r="Q7" s="3177"/>
      <c r="R7" s="770" t="s">
        <v>17</v>
      </c>
      <c r="S7" s="771">
        <f t="shared" ref="S7:S15" si="0">F7</f>
        <v>0</v>
      </c>
      <c r="T7" s="770" t="s">
        <v>17</v>
      </c>
      <c r="U7" s="771">
        <f t="shared" ref="U7:U15" si="1">H7</f>
        <v>0</v>
      </c>
      <c r="V7" s="770" t="s">
        <v>17</v>
      </c>
      <c r="W7" s="771">
        <f t="shared" ref="W7:W15" si="2">J7</f>
        <v>0</v>
      </c>
      <c r="X7" s="772"/>
      <c r="Y7" s="3149" t="s">
        <v>2553</v>
      </c>
      <c r="Z7" s="3150"/>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49" t="s">
        <v>2556</v>
      </c>
      <c r="Q8" s="3150"/>
      <c r="R8" s="770" t="s">
        <v>17</v>
      </c>
      <c r="S8" s="771">
        <f t="shared" si="0"/>
        <v>0</v>
      </c>
      <c r="T8" s="770" t="s">
        <v>17</v>
      </c>
      <c r="U8" s="771">
        <f t="shared" si="1"/>
        <v>0</v>
      </c>
      <c r="V8" s="770" t="s">
        <v>17</v>
      </c>
      <c r="W8" s="771">
        <f t="shared" si="2"/>
        <v>0</v>
      </c>
      <c r="X8" s="772"/>
      <c r="Y8" s="3149" t="s">
        <v>2556</v>
      </c>
      <c r="Z8" s="3150"/>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3" t="s">
        <v>2559</v>
      </c>
      <c r="Q9" s="1798"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6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6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2563</v>
      </c>
      <c r="B15" s="69" t="s">
        <v>2707</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8" t="s">
        <v>2564</v>
      </c>
      <c r="Q15" s="1813" t="str">
        <f t="shared" si="6"/>
        <v>产业集聚程度</v>
      </c>
      <c r="R15" s="774" t="s">
        <v>17</v>
      </c>
      <c r="S15" s="775">
        <f t="shared" si="0"/>
        <v>100</v>
      </c>
      <c r="T15" s="774" t="s">
        <v>17</v>
      </c>
      <c r="U15" s="775">
        <f t="shared" si="1"/>
        <v>100</v>
      </c>
      <c r="V15" s="774" t="s">
        <v>17</v>
      </c>
      <c r="W15" s="775">
        <f t="shared" si="2"/>
        <v>100</v>
      </c>
      <c r="X15" s="1816"/>
      <c r="Y15" s="3178" t="s">
        <v>2564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9"/>
      <c r="Q16" s="1813"/>
      <c r="R16" s="774"/>
      <c r="S16" s="775"/>
      <c r="T16" s="774"/>
      <c r="U16" s="775"/>
      <c r="V16" s="774"/>
      <c r="W16" s="775"/>
      <c r="X16" s="1816"/>
      <c r="Y16" s="3179"/>
      <c r="Z16" s="1817"/>
      <c r="AA16" s="1814">
        <v>1</v>
      </c>
      <c r="AB16" s="1814">
        <v>1</v>
      </c>
      <c r="AC16" s="1814">
        <v>1</v>
      </c>
    </row>
    <row r="17" spans="1:29" ht="85.5">
      <c r="A17" s="428"/>
      <c r="B17" s="451" t="s">
        <v>2102</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9"/>
      <c r="Q17" s="1813" t="str">
        <f>B17</f>
        <v>交通便捷度</v>
      </c>
      <c r="R17" s="774" t="s">
        <v>17</v>
      </c>
      <c r="S17" s="775">
        <f>F17</f>
        <v>100</v>
      </c>
      <c r="T17" s="774" t="s">
        <v>17</v>
      </c>
      <c r="U17" s="775">
        <f>H17</f>
        <v>100</v>
      </c>
      <c r="V17" s="774" t="s">
        <v>17</v>
      </c>
      <c r="W17" s="775">
        <f>J17</f>
        <v>100</v>
      </c>
      <c r="X17" s="1816"/>
      <c r="Y17" s="317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79"/>
      <c r="Q18" s="1813"/>
      <c r="R18" s="774"/>
      <c r="S18" s="775"/>
      <c r="T18" s="774"/>
      <c r="U18" s="775"/>
      <c r="V18" s="774"/>
      <c r="W18" s="775"/>
      <c r="X18" s="1816"/>
      <c r="Y18" s="3179"/>
      <c r="Z18" s="1817"/>
      <c r="AA18" s="1814">
        <v>1</v>
      </c>
      <c r="AB18" s="1814">
        <v>1</v>
      </c>
      <c r="AC18" s="1814">
        <v>1</v>
      </c>
    </row>
    <row r="19" spans="1:29" ht="42.75">
      <c r="A19" s="428"/>
      <c r="B19" s="451" t="s">
        <v>2692</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9"/>
      <c r="Q19" s="1813" t="str">
        <f>B19</f>
        <v>公共配套设施</v>
      </c>
      <c r="R19" s="774" t="s">
        <v>17</v>
      </c>
      <c r="S19" s="775">
        <f>F19</f>
        <v>100</v>
      </c>
      <c r="T19" s="774" t="s">
        <v>17</v>
      </c>
      <c r="U19" s="775">
        <f>H19</f>
        <v>100</v>
      </c>
      <c r="V19" s="774" t="s">
        <v>17</v>
      </c>
      <c r="W19" s="775">
        <f>J19</f>
        <v>100</v>
      </c>
      <c r="X19" s="1816"/>
      <c r="Y19" s="317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79"/>
      <c r="Q20" s="1813"/>
      <c r="R20" s="774"/>
      <c r="S20" s="775"/>
      <c r="T20" s="774"/>
      <c r="U20" s="775"/>
      <c r="V20" s="774"/>
      <c r="W20" s="775"/>
      <c r="X20" s="1816"/>
      <c r="Y20" s="3179"/>
      <c r="Z20" s="1817"/>
      <c r="AA20" s="1814">
        <v>1</v>
      </c>
      <c r="AB20" s="1814">
        <v>1</v>
      </c>
      <c r="AC20" s="1814">
        <v>1</v>
      </c>
    </row>
    <row r="21" spans="1:29" ht="28.5">
      <c r="A21" s="428"/>
      <c r="B21" s="1387" t="s">
        <v>2693</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9"/>
      <c r="Q21" s="1813" t="str">
        <f>B21</f>
        <v>基础设施水平</v>
      </c>
      <c r="R21" s="774" t="s">
        <v>17</v>
      </c>
      <c r="S21" s="775">
        <f>F21</f>
        <v>100</v>
      </c>
      <c r="T21" s="774" t="s">
        <v>17</v>
      </c>
      <c r="U21" s="775">
        <f>H21</f>
        <v>100</v>
      </c>
      <c r="V21" s="774" t="s">
        <v>17</v>
      </c>
      <c r="W21" s="775">
        <f>J21</f>
        <v>100</v>
      </c>
      <c r="X21" s="1816"/>
      <c r="Y21" s="317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79"/>
      <c r="Q22" s="1813"/>
      <c r="R22" s="774"/>
      <c r="S22" s="775"/>
      <c r="T22" s="774"/>
      <c r="U22" s="775"/>
      <c r="V22" s="774"/>
      <c r="W22" s="775"/>
      <c r="X22" s="1816"/>
      <c r="Y22" s="3179"/>
      <c r="Z22" s="1817"/>
      <c r="AA22" s="1814">
        <v>1</v>
      </c>
      <c r="AB22" s="1814">
        <v>1</v>
      </c>
      <c r="AC22" s="1814">
        <v>1</v>
      </c>
    </row>
    <row r="23" spans="1:29" ht="71.25">
      <c r="A23" s="428"/>
      <c r="B23" s="451" t="s">
        <v>2694</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9"/>
      <c r="Q23" s="1813" t="str">
        <f>B23</f>
        <v>环境质量</v>
      </c>
      <c r="R23" s="774" t="s">
        <v>17</v>
      </c>
      <c r="S23" s="775">
        <f>F23</f>
        <v>100</v>
      </c>
      <c r="T23" s="774" t="s">
        <v>17</v>
      </c>
      <c r="U23" s="775">
        <f>H23</f>
        <v>100</v>
      </c>
      <c r="V23" s="774" t="s">
        <v>17</v>
      </c>
      <c r="W23" s="775">
        <f>J23</f>
        <v>100</v>
      </c>
      <c r="X23" s="1816"/>
      <c r="Y23" s="317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79"/>
      <c r="Q24" s="1813"/>
      <c r="R24" s="774"/>
      <c r="S24" s="775"/>
      <c r="T24" s="774"/>
      <c r="U24" s="775"/>
      <c r="V24" s="774"/>
      <c r="W24" s="775"/>
      <c r="X24" s="1816"/>
      <c r="Y24" s="317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9"/>
      <c r="Q25" s="1813">
        <f>B25</f>
        <v>111</v>
      </c>
      <c r="R25" s="774" t="s">
        <v>17</v>
      </c>
      <c r="S25" s="775">
        <f>F25</f>
        <v>100</v>
      </c>
      <c r="T25" s="774" t="s">
        <v>17</v>
      </c>
      <c r="U25" s="775">
        <f>H25</f>
        <v>100</v>
      </c>
      <c r="V25" s="774" t="s">
        <v>17</v>
      </c>
      <c r="W25" s="775">
        <f>J25</f>
        <v>100</v>
      </c>
      <c r="X25" s="1816"/>
      <c r="Y25" s="317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9"/>
      <c r="Q26" s="1813">
        <f t="shared" ref="Q26:Q40" si="11">B26</f>
        <v>111</v>
      </c>
      <c r="R26" s="774" t="s">
        <v>17</v>
      </c>
      <c r="S26" s="775">
        <f>F26</f>
        <v>100</v>
      </c>
      <c r="T26" s="774" t="s">
        <v>17</v>
      </c>
      <c r="U26" s="775">
        <f>H26</f>
        <v>100</v>
      </c>
      <c r="V26" s="774" t="s">
        <v>17</v>
      </c>
      <c r="W26" s="775">
        <f>J26</f>
        <v>100</v>
      </c>
      <c r="X26" s="1816"/>
      <c r="Y26" s="317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9"/>
      <c r="Q27" s="1798">
        <f t="shared" si="11"/>
        <v>111</v>
      </c>
      <c r="R27" s="770" t="s">
        <v>17</v>
      </c>
      <c r="S27" s="771">
        <f>F27</f>
        <v>100</v>
      </c>
      <c r="T27" s="770" t="s">
        <v>17</v>
      </c>
      <c r="U27" s="771">
        <f>H27</f>
        <v>100</v>
      </c>
      <c r="V27" s="770" t="s">
        <v>17</v>
      </c>
      <c r="W27" s="771">
        <f>J27</f>
        <v>100</v>
      </c>
      <c r="X27" s="772"/>
      <c r="Y27" s="317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9"/>
      <c r="Q28" s="1813">
        <f t="shared" si="11"/>
        <v>111</v>
      </c>
      <c r="R28" s="774" t="s">
        <v>17</v>
      </c>
      <c r="S28" s="775">
        <f t="shared" ref="S28:S40" si="12">F28</f>
        <v>100</v>
      </c>
      <c r="T28" s="774" t="s">
        <v>17</v>
      </c>
      <c r="U28" s="775">
        <f t="shared" ref="U28:U40" si="13">H28</f>
        <v>100</v>
      </c>
      <c r="V28" s="774" t="s">
        <v>17</v>
      </c>
      <c r="W28" s="775">
        <f t="shared" ref="W28:W40" si="14">J28</f>
        <v>100</v>
      </c>
      <c r="X28" s="1816"/>
      <c r="Y28" s="3179"/>
      <c r="Z28" s="1817">
        <f t="shared" ref="Z28:Z40" si="15">Q28</f>
        <v>111</v>
      </c>
      <c r="AA28" s="1814">
        <f t="shared" si="3"/>
        <v>1</v>
      </c>
      <c r="AB28" s="1814">
        <f t="shared" si="4"/>
        <v>1</v>
      </c>
      <c r="AC28" s="1814">
        <f t="shared" si="5"/>
        <v>1</v>
      </c>
    </row>
    <row r="29" spans="1:29" ht="15">
      <c r="A29" s="466" t="s">
        <v>2567</v>
      </c>
      <c r="B29" s="71" t="s">
        <v>2697</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180" t="s">
        <v>2569</v>
      </c>
      <c r="Q29" s="1813" t="str">
        <f t="shared" si="11"/>
        <v>建筑类型</v>
      </c>
      <c r="R29" s="774" t="s">
        <v>17</v>
      </c>
      <c r="S29" s="775">
        <f t="shared" si="12"/>
        <v>100</v>
      </c>
      <c r="T29" s="774" t="s">
        <v>17</v>
      </c>
      <c r="U29" s="775">
        <f t="shared" si="13"/>
        <v>100</v>
      </c>
      <c r="V29" s="774" t="s">
        <v>17</v>
      </c>
      <c r="W29" s="775">
        <f t="shared" si="14"/>
        <v>100</v>
      </c>
      <c r="X29" s="1816"/>
      <c r="Y29" s="3181" t="s">
        <v>2569</v>
      </c>
      <c r="Z29" s="1817" t="str">
        <f t="shared" si="15"/>
        <v>建筑类型</v>
      </c>
      <c r="AA29" s="1814">
        <f t="shared" si="3"/>
        <v>1</v>
      </c>
      <c r="AB29" s="1814">
        <f t="shared" si="4"/>
        <v>1</v>
      </c>
      <c r="AC29" s="1814">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4" t="e">
        <f t="shared" si="3"/>
        <v>#N/A</v>
      </c>
      <c r="AB30" s="1814" t="e">
        <f t="shared" si="4"/>
        <v>#N/A</v>
      </c>
      <c r="AC30" s="1814"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1"/>
      <c r="Q31" s="1813" t="str">
        <f t="shared" si="11"/>
        <v>建筑结构</v>
      </c>
      <c r="R31" s="774" t="s">
        <v>17</v>
      </c>
      <c r="S31" s="775">
        <f t="shared" si="12"/>
        <v>100</v>
      </c>
      <c r="T31" s="774" t="s">
        <v>17</v>
      </c>
      <c r="U31" s="775">
        <f t="shared" si="13"/>
        <v>100</v>
      </c>
      <c r="V31" s="774" t="s">
        <v>17</v>
      </c>
      <c r="W31" s="775">
        <f t="shared" si="14"/>
        <v>100</v>
      </c>
      <c r="X31" s="1816"/>
      <c r="Y31" s="3181"/>
      <c r="Z31" s="1817" t="str">
        <f t="shared" si="15"/>
        <v>建筑结构</v>
      </c>
      <c r="AA31" s="1814">
        <f t="shared" si="3"/>
        <v>1</v>
      </c>
      <c r="AB31" s="1814">
        <f t="shared" si="4"/>
        <v>1</v>
      </c>
      <c r="AC31" s="1814">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1"/>
      <c r="Q32" s="1813" t="str">
        <f t="shared" si="11"/>
        <v>公共部分装修</v>
      </c>
      <c r="R32" s="774" t="s">
        <v>17</v>
      </c>
      <c r="S32" s="775">
        <f t="shared" si="12"/>
        <v>100</v>
      </c>
      <c r="T32" s="774" t="s">
        <v>17</v>
      </c>
      <c r="U32" s="775">
        <f t="shared" si="13"/>
        <v>100</v>
      </c>
      <c r="V32" s="774" t="s">
        <v>17</v>
      </c>
      <c r="W32" s="775">
        <f t="shared" si="14"/>
        <v>100</v>
      </c>
      <c r="X32" s="1816"/>
      <c r="Y32" s="3181"/>
      <c r="Z32" s="1817" t="str">
        <f t="shared" si="15"/>
        <v>公共部分装修</v>
      </c>
      <c r="AA32" s="1814">
        <f t="shared" si="3"/>
        <v>1</v>
      </c>
      <c r="AB32" s="1814">
        <f t="shared" si="4"/>
        <v>1</v>
      </c>
      <c r="AC32" s="1814">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1"/>
      <c r="Q33" s="1813" t="str">
        <f t="shared" si="11"/>
        <v>成新度</v>
      </c>
      <c r="R33" s="774" t="s">
        <v>17</v>
      </c>
      <c r="S33" s="775" t="e">
        <f t="shared" si="12"/>
        <v>#N/A</v>
      </c>
      <c r="T33" s="774" t="s">
        <v>17</v>
      </c>
      <c r="U33" s="775" t="e">
        <f t="shared" si="13"/>
        <v>#N/A</v>
      </c>
      <c r="V33" s="774" t="s">
        <v>17</v>
      </c>
      <c r="W33" s="775" t="e">
        <f t="shared" si="14"/>
        <v>#N/A</v>
      </c>
      <c r="X33" s="1816"/>
      <c r="Y33" s="3181"/>
      <c r="Z33" s="1817" t="str">
        <f t="shared" si="15"/>
        <v>成新度</v>
      </c>
      <c r="AA33" s="1814" t="e">
        <f t="shared" si="3"/>
        <v>#N/A</v>
      </c>
      <c r="AB33" s="1814" t="e">
        <f t="shared" si="4"/>
        <v>#N/A</v>
      </c>
      <c r="AC33" s="1814"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1"/>
      <c r="Q34" s="1798"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1" t="s">
        <v>2569</v>
      </c>
      <c r="Q35" s="1813" t="str">
        <f t="shared" si="11"/>
        <v>市政基础设施</v>
      </c>
      <c r="R35" s="774" t="s">
        <v>17</v>
      </c>
      <c r="S35" s="775">
        <f t="shared" si="12"/>
        <v>100</v>
      </c>
      <c r="T35" s="774" t="s">
        <v>17</v>
      </c>
      <c r="U35" s="775">
        <f t="shared" si="13"/>
        <v>100</v>
      </c>
      <c r="V35" s="774" t="s">
        <v>17</v>
      </c>
      <c r="W35" s="775">
        <f t="shared" si="14"/>
        <v>100</v>
      </c>
      <c r="X35" s="1816"/>
      <c r="Y35" s="3181" t="s">
        <v>2569</v>
      </c>
      <c r="Z35" s="1817" t="str">
        <f t="shared" si="15"/>
        <v>市政基础设施</v>
      </c>
      <c r="AA35" s="1814">
        <f t="shared" si="3"/>
        <v>1</v>
      </c>
      <c r="AB35" s="1814">
        <f t="shared" si="4"/>
        <v>1</v>
      </c>
      <c r="AC35" s="1814">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1"/>
      <c r="Q36" s="1813" t="str">
        <f t="shared" si="11"/>
        <v>内部装修</v>
      </c>
      <c r="R36" s="774" t="s">
        <v>17</v>
      </c>
      <c r="S36" s="775">
        <f t="shared" si="12"/>
        <v>100</v>
      </c>
      <c r="T36" s="774" t="s">
        <v>17</v>
      </c>
      <c r="U36" s="775">
        <f t="shared" si="13"/>
        <v>100</v>
      </c>
      <c r="V36" s="774" t="s">
        <v>17</v>
      </c>
      <c r="W36" s="775">
        <f t="shared" si="14"/>
        <v>100</v>
      </c>
      <c r="X36" s="1816"/>
      <c r="Y36" s="3181"/>
      <c r="Z36" s="1817" t="str">
        <f t="shared" si="15"/>
        <v>内部装修</v>
      </c>
      <c r="AA36" s="1814">
        <f t="shared" si="3"/>
        <v>1</v>
      </c>
      <c r="AB36" s="1814">
        <f t="shared" si="4"/>
        <v>1</v>
      </c>
      <c r="AC36" s="1814">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1"/>
      <c r="Q37" s="1813" t="str">
        <f t="shared" si="11"/>
        <v>内部装修状况</v>
      </c>
      <c r="R37" s="774" t="s">
        <v>17</v>
      </c>
      <c r="S37" s="775">
        <f t="shared" si="12"/>
        <v>100</v>
      </c>
      <c r="T37" s="774" t="s">
        <v>17</v>
      </c>
      <c r="U37" s="775">
        <f t="shared" si="13"/>
        <v>100</v>
      </c>
      <c r="V37" s="774" t="s">
        <v>17</v>
      </c>
      <c r="W37" s="775">
        <f t="shared" si="14"/>
        <v>100</v>
      </c>
      <c r="X37" s="1816"/>
      <c r="Y37" s="318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1"/>
      <c r="Q39" s="1813">
        <f t="shared" si="11"/>
        <v>111</v>
      </c>
      <c r="R39" s="774" t="s">
        <v>17</v>
      </c>
      <c r="S39" s="775">
        <f t="shared" si="12"/>
        <v>100</v>
      </c>
      <c r="T39" s="774" t="s">
        <v>17</v>
      </c>
      <c r="U39" s="775">
        <f t="shared" si="13"/>
        <v>100</v>
      </c>
      <c r="V39" s="774" t="s">
        <v>17</v>
      </c>
      <c r="W39" s="775">
        <f t="shared" si="14"/>
        <v>100</v>
      </c>
      <c r="X39" s="1816"/>
      <c r="Y39" s="3181"/>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4"/>
      <c r="Q40" s="1813">
        <f t="shared" si="11"/>
        <v>111</v>
      </c>
      <c r="R40" s="774" t="s">
        <v>17</v>
      </c>
      <c r="S40" s="775">
        <f t="shared" si="12"/>
        <v>100</v>
      </c>
      <c r="T40" s="774" t="s">
        <v>17</v>
      </c>
      <c r="U40" s="775">
        <f t="shared" si="13"/>
        <v>100</v>
      </c>
      <c r="V40" s="774" t="s">
        <v>17</v>
      </c>
      <c r="W40" s="775">
        <f t="shared" si="14"/>
        <v>100</v>
      </c>
      <c r="X40" s="1816"/>
      <c r="Y40" s="3224"/>
      <c r="Z40" s="1817">
        <f t="shared" si="15"/>
        <v>111</v>
      </c>
      <c r="AA40" s="1814">
        <f t="shared" si="3"/>
        <v>1</v>
      </c>
      <c r="AB40" s="1814">
        <f t="shared" si="4"/>
        <v>1</v>
      </c>
      <c r="AC40" s="1814">
        <f t="shared" si="5"/>
        <v>1</v>
      </c>
    </row>
    <row r="41" spans="1:29" ht="15">
      <c r="A41" s="479" t="s">
        <v>2581</v>
      </c>
      <c r="B41" s="480"/>
      <c r="C41" s="1410" t="s">
        <v>1</v>
      </c>
      <c r="D41" s="1411"/>
      <c r="E41" s="1412"/>
      <c r="F41" s="1413"/>
      <c r="G41" s="1414"/>
      <c r="H41" s="1415"/>
      <c r="I41" s="1412"/>
      <c r="J41" s="1415"/>
      <c r="K41" s="783"/>
      <c r="L41" s="1146"/>
      <c r="M41" s="1147"/>
      <c r="N41" s="1134"/>
      <c r="O41" s="1147"/>
      <c r="P41" s="3163" t="str">
        <f>A41</f>
        <v>成交单价（元/平方米）</v>
      </c>
      <c r="Q41" s="3163"/>
      <c r="R41" s="3220">
        <f>E41</f>
        <v>0</v>
      </c>
      <c r="S41" s="3220"/>
      <c r="T41" s="3220">
        <f>G41</f>
        <v>0</v>
      </c>
      <c r="U41" s="3220"/>
      <c r="V41" s="3220">
        <f>I41</f>
        <v>0</v>
      </c>
      <c r="W41" s="3220"/>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163" t="str">
        <f>A42</f>
        <v>比较价值（元/平方米）</v>
      </c>
      <c r="Q42" s="3163"/>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183" t="str">
        <f>A43</f>
        <v>估价对象XX用房的比较价值（楼面单价，元/平方米）</v>
      </c>
      <c r="Q43" s="3184"/>
      <c r="R43" s="3219" t="e">
        <f>IF(F1="售价",ROUND(AVERAGE(R42:V42),0),ROUND(AVERAGE(R42:V42),1))</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25"/>
      <c r="F1" s="2591"/>
      <c r="G1" s="1626" t="s">
        <v>2647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t="e">
        <f ca="1">IF(C2="——",IF(B37="元/平方米",ROUND(C39*D3/10000,0),ROUND(F3*C39/10000,0)),IF(B37="元/平方米",ROUND(C39*D3/10000,0),ROUND(F3*C39/10000,0))-D2)</f>
        <v>#DIV/0!</v>
      </c>
      <c r="C2" s="2593"/>
      <c r="D2" s="1127" t="e">
        <f ca="1">SUMIF(INDIRECT("'"&amp;F2&amp;"'"&amp;"!A:A"),"承租人权益价值",INDIRECT("'"&amp;F2&amp;"'"&amp;"!c:c"))</f>
        <v>#REF!</v>
      </c>
      <c r="E2" s="2594" t="s">
        <v>2332</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164" t="s">
        <v>2650</v>
      </c>
      <c r="D4" s="3165"/>
      <c r="E4" s="3166" t="s">
        <v>2651</v>
      </c>
      <c r="F4" s="3167"/>
      <c r="G4" s="3164" t="s">
        <v>2652</v>
      </c>
      <c r="H4" s="3165"/>
      <c r="I4" s="3164" t="s">
        <v>2653</v>
      </c>
      <c r="J4" s="3165"/>
      <c r="K4" s="610" t="s">
        <v>2654</v>
      </c>
      <c r="L4" s="1133"/>
      <c r="M4" s="1134"/>
      <c r="N4" s="1134"/>
      <c r="O4" s="1134"/>
      <c r="P4" s="3168" t="s">
        <v>2655</v>
      </c>
      <c r="Q4" s="3169"/>
      <c r="R4" s="3151" t="s">
        <v>2651</v>
      </c>
      <c r="S4" s="3152"/>
      <c r="T4" s="3151" t="s">
        <v>2652</v>
      </c>
      <c r="U4" s="3152"/>
      <c r="V4" s="3176" t="s">
        <v>2653</v>
      </c>
      <c r="W4" s="3176"/>
      <c r="X4" s="1816"/>
      <c r="Y4" s="3151" t="s">
        <v>2655</v>
      </c>
      <c r="Z4" s="3152"/>
      <c r="AA4" s="3146" t="s">
        <v>2651</v>
      </c>
      <c r="AB4" s="3147" t="s">
        <v>2652</v>
      </c>
      <c r="AC4" s="3146" t="s">
        <v>2653</v>
      </c>
    </row>
    <row r="5" spans="1:29" ht="15">
      <c r="A5" s="404"/>
      <c r="B5" s="405"/>
      <c r="C5" s="3157" t="s">
        <v>2546</v>
      </c>
      <c r="D5" s="3158"/>
      <c r="E5" s="3155" t="s">
        <v>2547</v>
      </c>
      <c r="F5" s="3156"/>
      <c r="G5" s="3157" t="s">
        <v>2548</v>
      </c>
      <c r="H5" s="3158"/>
      <c r="I5" s="3157" t="s">
        <v>2549</v>
      </c>
      <c r="J5" s="3158"/>
      <c r="K5" s="610"/>
      <c r="L5" s="1133"/>
      <c r="M5" s="1134"/>
      <c r="N5" s="1134"/>
      <c r="O5" s="1134"/>
      <c r="P5" s="3170"/>
      <c r="Q5" s="3171"/>
      <c r="R5" s="3153"/>
      <c r="S5" s="3154"/>
      <c r="T5" s="3153"/>
      <c r="U5" s="3154"/>
      <c r="V5" s="3176"/>
      <c r="W5" s="3176"/>
      <c r="X5" s="1816"/>
      <c r="Y5" s="3153"/>
      <c r="Z5" s="3154"/>
      <c r="AA5" s="3147"/>
      <c r="AB5" s="3147"/>
      <c r="AC5" s="3147"/>
    </row>
    <row r="6" spans="1:29" ht="15.75" thickBot="1">
      <c r="A6" s="406"/>
      <c r="B6" s="407"/>
      <c r="C6" s="3159" t="s">
        <v>2550</v>
      </c>
      <c r="D6" s="3160"/>
      <c r="E6" s="3161" t="s">
        <v>2550</v>
      </c>
      <c r="F6" s="3162"/>
      <c r="G6" s="3159" t="s">
        <v>2550</v>
      </c>
      <c r="H6" s="3160"/>
      <c r="I6" s="3159" t="s">
        <v>2550</v>
      </c>
      <c r="J6" s="3160"/>
      <c r="K6" s="610" t="s">
        <v>2551</v>
      </c>
      <c r="L6" s="1133"/>
      <c r="M6" s="1134"/>
      <c r="N6" s="1134"/>
      <c r="O6" s="1134"/>
      <c r="P6" s="3172"/>
      <c r="Q6" s="3173"/>
      <c r="R6" s="3153"/>
      <c r="S6" s="3154"/>
      <c r="T6" s="3174"/>
      <c r="U6" s="3175"/>
      <c r="V6" s="3176"/>
      <c r="W6" s="3176"/>
      <c r="X6" s="1816"/>
      <c r="Y6" s="3174"/>
      <c r="Z6" s="3175"/>
      <c r="AA6" s="3148"/>
      <c r="AB6" s="3148"/>
      <c r="AC6" s="3148"/>
    </row>
    <row r="7" spans="1:29" s="117" customFormat="1" ht="15.75" thickBot="1">
      <c r="A7" s="408" t="s">
        <v>2552</v>
      </c>
      <c r="B7" s="409"/>
      <c r="C7" s="410">
        <f>'数据-取费表'!B2</f>
        <v>43231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49" t="s">
        <v>2553</v>
      </c>
      <c r="Q7" s="3177"/>
      <c r="R7" s="770" t="s">
        <v>17</v>
      </c>
      <c r="S7" s="771">
        <f t="shared" ref="S7:S14" si="0">F7</f>
        <v>0</v>
      </c>
      <c r="T7" s="770" t="s">
        <v>17</v>
      </c>
      <c r="U7" s="771">
        <f t="shared" ref="U7:U14" si="1">H7</f>
        <v>0</v>
      </c>
      <c r="V7" s="770" t="s">
        <v>17</v>
      </c>
      <c r="W7" s="771">
        <f t="shared" ref="W7:W14" si="2">J7</f>
        <v>0</v>
      </c>
      <c r="X7" s="772"/>
      <c r="Y7" s="3149" t="s">
        <v>2553</v>
      </c>
      <c r="Z7" s="3150"/>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49" t="s">
        <v>2556</v>
      </c>
      <c r="Q8" s="3150"/>
      <c r="R8" s="770" t="s">
        <v>17</v>
      </c>
      <c r="S8" s="771">
        <f t="shared" si="0"/>
        <v>0</v>
      </c>
      <c r="T8" s="770" t="s">
        <v>17</v>
      </c>
      <c r="U8" s="771">
        <f t="shared" si="1"/>
        <v>0</v>
      </c>
      <c r="V8" s="770" t="s">
        <v>17</v>
      </c>
      <c r="W8" s="771">
        <f t="shared" si="2"/>
        <v>0</v>
      </c>
      <c r="X8" s="772"/>
      <c r="Y8" s="3149" t="s">
        <v>2556</v>
      </c>
      <c r="Z8" s="3150"/>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3" t="s">
        <v>2559</v>
      </c>
      <c r="Q9" s="1798" t="str">
        <f t="shared" ref="Q9:Q14" si="6">B9</f>
        <v>用途</v>
      </c>
      <c r="R9" s="770" t="s">
        <v>17</v>
      </c>
      <c r="S9" s="771">
        <f t="shared" si="0"/>
        <v>100</v>
      </c>
      <c r="T9" s="770" t="s">
        <v>17</v>
      </c>
      <c r="U9" s="771">
        <f t="shared" si="1"/>
        <v>100</v>
      </c>
      <c r="V9" s="770" t="s">
        <v>17</v>
      </c>
      <c r="W9" s="771">
        <f t="shared" si="2"/>
        <v>100</v>
      </c>
      <c r="X9" s="772"/>
      <c r="Y9" s="3026"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3"/>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2563</v>
      </c>
      <c r="B14" s="629" t="s">
        <v>2713</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8" t="s">
        <v>2564</v>
      </c>
      <c r="Q14" s="1813" t="str">
        <f t="shared" si="6"/>
        <v>交通便捷度</v>
      </c>
      <c r="R14" s="774" t="s">
        <v>17</v>
      </c>
      <c r="S14" s="775">
        <f t="shared" si="0"/>
        <v>100</v>
      </c>
      <c r="T14" s="774" t="s">
        <v>17</v>
      </c>
      <c r="U14" s="775">
        <f t="shared" si="1"/>
        <v>100</v>
      </c>
      <c r="V14" s="774" t="s">
        <v>17</v>
      </c>
      <c r="W14" s="775">
        <f t="shared" si="2"/>
        <v>100</v>
      </c>
      <c r="X14" s="1816"/>
      <c r="Y14" s="3178" t="s">
        <v>2564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9"/>
      <c r="Q15" s="1813"/>
      <c r="R15" s="774"/>
      <c r="S15" s="775"/>
      <c r="T15" s="774"/>
      <c r="U15" s="775"/>
      <c r="V15" s="774"/>
      <c r="W15" s="775"/>
      <c r="X15" s="1816"/>
      <c r="Y15" s="3179"/>
      <c r="Z15" s="1817"/>
      <c r="AA15" s="1814">
        <v>1</v>
      </c>
      <c r="AB15" s="1814">
        <v>1</v>
      </c>
      <c r="AC15" s="1814">
        <v>1</v>
      </c>
    </row>
    <row r="16" spans="1:29" ht="42.75">
      <c r="A16" s="404"/>
      <c r="B16" s="631" t="s">
        <v>2692</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9"/>
      <c r="Q16" s="1813" t="str">
        <f>B16</f>
        <v>公共配套设施</v>
      </c>
      <c r="R16" s="774" t="s">
        <v>17</v>
      </c>
      <c r="S16" s="775">
        <f>F16</f>
        <v>100</v>
      </c>
      <c r="T16" s="774" t="s">
        <v>17</v>
      </c>
      <c r="U16" s="775">
        <f>H16</f>
        <v>100</v>
      </c>
      <c r="V16" s="774" t="s">
        <v>17</v>
      </c>
      <c r="W16" s="775">
        <f>J16</f>
        <v>100</v>
      </c>
      <c r="X16" s="1816"/>
      <c r="Y16" s="317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79"/>
      <c r="Q17" s="1813"/>
      <c r="R17" s="774"/>
      <c r="S17" s="775"/>
      <c r="T17" s="774"/>
      <c r="U17" s="775"/>
      <c r="V17" s="774"/>
      <c r="W17" s="775"/>
      <c r="X17" s="1816"/>
      <c r="Y17" s="3179"/>
      <c r="Z17" s="1817"/>
      <c r="AA17" s="1814">
        <v>1</v>
      </c>
      <c r="AB17" s="1814">
        <v>1</v>
      </c>
      <c r="AC17" s="1814">
        <v>1</v>
      </c>
    </row>
    <row r="18" spans="1:29" ht="28.5">
      <c r="A18" s="404"/>
      <c r="B18" s="633" t="s">
        <v>2693</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9"/>
      <c r="Q18" s="1813" t="str">
        <f>B18</f>
        <v>基础设施水平</v>
      </c>
      <c r="R18" s="774" t="s">
        <v>17</v>
      </c>
      <c r="S18" s="775">
        <f>F18</f>
        <v>100</v>
      </c>
      <c r="T18" s="774" t="s">
        <v>17</v>
      </c>
      <c r="U18" s="775">
        <f>H18</f>
        <v>100</v>
      </c>
      <c r="V18" s="774" t="s">
        <v>17</v>
      </c>
      <c r="W18" s="775">
        <f>J18</f>
        <v>100</v>
      </c>
      <c r="X18" s="1816"/>
      <c r="Y18" s="317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79"/>
      <c r="Q19" s="1813"/>
      <c r="R19" s="774"/>
      <c r="S19" s="775"/>
      <c r="T19" s="774"/>
      <c r="U19" s="775"/>
      <c r="V19" s="774"/>
      <c r="W19" s="775"/>
      <c r="X19" s="1816"/>
      <c r="Y19" s="3179"/>
      <c r="Z19" s="1817"/>
      <c r="AA19" s="1814">
        <v>1</v>
      </c>
      <c r="AB19" s="1814">
        <v>1</v>
      </c>
      <c r="AC19" s="1814">
        <v>1</v>
      </c>
    </row>
    <row r="20" spans="1:29" ht="57">
      <c r="A20" s="404"/>
      <c r="B20" s="631" t="s">
        <v>2714</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9"/>
      <c r="Q20" s="1813" t="str">
        <f>B20</f>
        <v>自然及人文环境</v>
      </c>
      <c r="R20" s="774" t="s">
        <v>17</v>
      </c>
      <c r="S20" s="775">
        <f>F20</f>
        <v>100</v>
      </c>
      <c r="T20" s="774" t="s">
        <v>17</v>
      </c>
      <c r="U20" s="775">
        <f>H20</f>
        <v>100</v>
      </c>
      <c r="V20" s="774" t="s">
        <v>17</v>
      </c>
      <c r="W20" s="775">
        <f>J20</f>
        <v>100</v>
      </c>
      <c r="X20" s="1816"/>
      <c r="Y20" s="317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9"/>
      <c r="Q21" s="1813"/>
      <c r="R21" s="774"/>
      <c r="S21" s="775"/>
      <c r="T21" s="774"/>
      <c r="U21" s="775"/>
      <c r="V21" s="774"/>
      <c r="W21" s="775"/>
      <c r="X21" s="1816"/>
      <c r="Y21" s="3179"/>
      <c r="Z21" s="1817"/>
      <c r="AA21" s="1814">
        <v>1</v>
      </c>
      <c r="AB21" s="1814">
        <v>1</v>
      </c>
      <c r="AC21" s="1814">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9"/>
      <c r="Q22" s="1813" t="str">
        <f>B22</f>
        <v>楼层</v>
      </c>
      <c r="R22" s="774" t="s">
        <v>17</v>
      </c>
      <c r="S22" s="775">
        <f>F22</f>
        <v>100</v>
      </c>
      <c r="T22" s="774" t="s">
        <v>17</v>
      </c>
      <c r="U22" s="775">
        <f>H22</f>
        <v>100</v>
      </c>
      <c r="V22" s="774" t="s">
        <v>17</v>
      </c>
      <c r="W22" s="775">
        <f>J22</f>
        <v>100</v>
      </c>
      <c r="X22" s="1816"/>
      <c r="Y22" s="317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9"/>
      <c r="Q23" s="1813">
        <f>B23</f>
        <v>111</v>
      </c>
      <c r="R23" s="774" t="s">
        <v>17</v>
      </c>
      <c r="S23" s="775">
        <f>F23</f>
        <v>100</v>
      </c>
      <c r="T23" s="774" t="s">
        <v>17</v>
      </c>
      <c r="U23" s="775">
        <f>H23</f>
        <v>100</v>
      </c>
      <c r="V23" s="774" t="s">
        <v>17</v>
      </c>
      <c r="W23" s="775">
        <f>J23</f>
        <v>100</v>
      </c>
      <c r="X23" s="1816"/>
      <c r="Y23" s="317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9"/>
      <c r="Q24" s="1813">
        <f t="shared" ref="Q24:Q36" si="11">B24</f>
        <v>111</v>
      </c>
      <c r="R24" s="774" t="s">
        <v>17</v>
      </c>
      <c r="S24" s="775">
        <f>F24</f>
        <v>100</v>
      </c>
      <c r="T24" s="774" t="s">
        <v>17</v>
      </c>
      <c r="U24" s="775">
        <f>H24</f>
        <v>100</v>
      </c>
      <c r="V24" s="774" t="s">
        <v>17</v>
      </c>
      <c r="W24" s="775">
        <f>J24</f>
        <v>100</v>
      </c>
      <c r="X24" s="1816"/>
      <c r="Y24" s="317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9"/>
      <c r="Q25" s="1798">
        <f t="shared" si="11"/>
        <v>111</v>
      </c>
      <c r="R25" s="770" t="s">
        <v>17</v>
      </c>
      <c r="S25" s="771">
        <f>F25</f>
        <v>100</v>
      </c>
      <c r="T25" s="770" t="s">
        <v>17</v>
      </c>
      <c r="U25" s="771">
        <f>H25</f>
        <v>100</v>
      </c>
      <c r="V25" s="770" t="s">
        <v>17</v>
      </c>
      <c r="W25" s="771">
        <f>J25</f>
        <v>100</v>
      </c>
      <c r="X25" s="772"/>
      <c r="Y25" s="3179"/>
      <c r="Z25" s="55">
        <f>Q25</f>
        <v>111</v>
      </c>
      <c r="AA25" s="1814">
        <f>D25/F25</f>
        <v>1</v>
      </c>
      <c r="AB25" s="1814">
        <f>D25/H25</f>
        <v>1</v>
      </c>
      <c r="AC25" s="1814">
        <f>D25/J25</f>
        <v>1</v>
      </c>
    </row>
    <row r="26" spans="1:29" ht="15">
      <c r="A26" s="652" t="s">
        <v>2567</v>
      </c>
      <c r="B26" s="70" t="s">
        <v>2716</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0" t="s">
        <v>2569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1" t="s">
        <v>2569</v>
      </c>
      <c r="Z26" s="1817" t="str">
        <f t="shared" ref="Z26:Z36" si="15">Q26</f>
        <v>配套类型</v>
      </c>
      <c r="AA26" s="1814">
        <f t="shared" si="3"/>
        <v>1</v>
      </c>
      <c r="AB26" s="1814">
        <f t="shared" si="4"/>
        <v>1</v>
      </c>
      <c r="AC26" s="1814">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4">
        <f t="shared" si="3"/>
        <v>1</v>
      </c>
      <c r="AB27" s="1814">
        <f t="shared" si="4"/>
        <v>1</v>
      </c>
      <c r="AC27" s="1814">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1"/>
      <c r="Q28" s="1813" t="str">
        <f t="shared" si="11"/>
        <v>公共部分装修</v>
      </c>
      <c r="R28" s="774" t="s">
        <v>17</v>
      </c>
      <c r="S28" s="775">
        <f t="shared" si="12"/>
        <v>100</v>
      </c>
      <c r="T28" s="774" t="s">
        <v>17</v>
      </c>
      <c r="U28" s="775">
        <f t="shared" si="13"/>
        <v>100</v>
      </c>
      <c r="V28" s="774" t="s">
        <v>17</v>
      </c>
      <c r="W28" s="775">
        <f t="shared" si="14"/>
        <v>100</v>
      </c>
      <c r="X28" s="1816"/>
      <c r="Y28" s="3181"/>
      <c r="Z28" s="1817" t="str">
        <f t="shared" si="15"/>
        <v>公共部分装修</v>
      </c>
      <c r="AA28" s="1814">
        <f t="shared" si="3"/>
        <v>1</v>
      </c>
      <c r="AB28" s="1814">
        <f t="shared" si="4"/>
        <v>1</v>
      </c>
      <c r="AC28" s="1814">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1"/>
      <c r="Q29" s="1813" t="str">
        <f t="shared" si="11"/>
        <v>成新率</v>
      </c>
      <c r="R29" s="774" t="s">
        <v>17</v>
      </c>
      <c r="S29" s="775" t="e">
        <f t="shared" si="12"/>
        <v>#N/A</v>
      </c>
      <c r="T29" s="774" t="s">
        <v>17</v>
      </c>
      <c r="U29" s="775" t="e">
        <f t="shared" si="13"/>
        <v>#N/A</v>
      </c>
      <c r="V29" s="774" t="s">
        <v>17</v>
      </c>
      <c r="W29" s="775" t="e">
        <f t="shared" si="14"/>
        <v>#N/A</v>
      </c>
      <c r="X29" s="1816"/>
      <c r="Y29" s="3181"/>
      <c r="Z29" s="1817" t="str">
        <f t="shared" si="15"/>
        <v>成新率</v>
      </c>
      <c r="AA29" s="1814" t="e">
        <f t="shared" si="3"/>
        <v>#N/A</v>
      </c>
      <c r="AB29" s="1814" t="e">
        <f t="shared" si="4"/>
        <v>#N/A</v>
      </c>
      <c r="AC29" s="1814"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1"/>
      <c r="Q30" s="1813" t="str">
        <f t="shared" si="11"/>
        <v>物业等级</v>
      </c>
      <c r="R30" s="774" t="s">
        <v>17</v>
      </c>
      <c r="S30" s="775">
        <f t="shared" si="12"/>
        <v>100</v>
      </c>
      <c r="T30" s="774" t="s">
        <v>17</v>
      </c>
      <c r="U30" s="775">
        <f t="shared" si="13"/>
        <v>100</v>
      </c>
      <c r="V30" s="774" t="s">
        <v>17</v>
      </c>
      <c r="W30" s="775">
        <f t="shared" si="14"/>
        <v>100</v>
      </c>
      <c r="X30" s="1816"/>
      <c r="Y30" s="3181"/>
      <c r="Z30" s="1817" t="str">
        <f t="shared" si="15"/>
        <v>物业等级</v>
      </c>
      <c r="AA30" s="1814">
        <f t="shared" si="3"/>
        <v>1</v>
      </c>
      <c r="AB30" s="1814">
        <f t="shared" si="4"/>
        <v>1</v>
      </c>
      <c r="AC30" s="1814">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1"/>
      <c r="Q31" s="1798"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1" t="s">
        <v>2569</v>
      </c>
      <c r="Q32" s="1813" t="str">
        <f t="shared" si="11"/>
        <v>车位类型</v>
      </c>
      <c r="R32" s="774" t="s">
        <v>17</v>
      </c>
      <c r="S32" s="775">
        <f t="shared" si="12"/>
        <v>100</v>
      </c>
      <c r="T32" s="774" t="s">
        <v>17</v>
      </c>
      <c r="U32" s="775">
        <f t="shared" si="13"/>
        <v>100</v>
      </c>
      <c r="V32" s="774" t="s">
        <v>17</v>
      </c>
      <c r="W32" s="775">
        <f t="shared" si="14"/>
        <v>100</v>
      </c>
      <c r="X32" s="1816"/>
      <c r="Y32" s="3181" t="s">
        <v>2569</v>
      </c>
      <c r="Z32" s="1817" t="str">
        <f t="shared" si="15"/>
        <v>车位类型</v>
      </c>
      <c r="AA32" s="1814">
        <f t="shared" si="3"/>
        <v>1</v>
      </c>
      <c r="AB32" s="1814">
        <f t="shared" si="4"/>
        <v>1</v>
      </c>
      <c r="AC32" s="1814">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1"/>
      <c r="Q33" s="1813" t="str">
        <f t="shared" si="11"/>
        <v>是否直接入户</v>
      </c>
      <c r="R33" s="774" t="s">
        <v>17</v>
      </c>
      <c r="S33" s="775">
        <f t="shared" si="12"/>
        <v>100</v>
      </c>
      <c r="T33" s="774" t="s">
        <v>17</v>
      </c>
      <c r="U33" s="775">
        <f t="shared" si="13"/>
        <v>100</v>
      </c>
      <c r="V33" s="774" t="s">
        <v>17</v>
      </c>
      <c r="W33" s="775">
        <f t="shared" si="14"/>
        <v>100</v>
      </c>
      <c r="X33" s="1816"/>
      <c r="Y33" s="318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1"/>
      <c r="Q34" s="1813">
        <f t="shared" si="11"/>
        <v>111</v>
      </c>
      <c r="R34" s="774" t="s">
        <v>17</v>
      </c>
      <c r="S34" s="775">
        <f t="shared" si="12"/>
        <v>100</v>
      </c>
      <c r="T34" s="774" t="s">
        <v>17</v>
      </c>
      <c r="U34" s="775">
        <f t="shared" si="13"/>
        <v>100</v>
      </c>
      <c r="V34" s="774" t="s">
        <v>17</v>
      </c>
      <c r="W34" s="775">
        <f t="shared" si="14"/>
        <v>100</v>
      </c>
      <c r="X34" s="1816"/>
      <c r="Y34" s="318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1"/>
      <c r="Q36" s="1813">
        <f t="shared" si="11"/>
        <v>111</v>
      </c>
      <c r="R36" s="774" t="s">
        <v>17</v>
      </c>
      <c r="S36" s="775">
        <f t="shared" si="12"/>
        <v>100</v>
      </c>
      <c r="T36" s="774" t="s">
        <v>17</v>
      </c>
      <c r="U36" s="775">
        <f t="shared" si="13"/>
        <v>100</v>
      </c>
      <c r="V36" s="774" t="s">
        <v>17</v>
      </c>
      <c r="W36" s="775">
        <f t="shared" si="14"/>
        <v>100</v>
      </c>
      <c r="X36" s="1816"/>
      <c r="Y36" s="3181"/>
      <c r="Z36" s="1817">
        <f t="shared" si="15"/>
        <v>111</v>
      </c>
      <c r="AA36" s="1814">
        <f t="shared" si="3"/>
        <v>1</v>
      </c>
      <c r="AB36" s="1814">
        <f t="shared" si="4"/>
        <v>1</v>
      </c>
      <c r="AC36" s="1814">
        <f t="shared" si="5"/>
        <v>1</v>
      </c>
    </row>
    <row r="37" spans="1:29" ht="15">
      <c r="A37" s="479" t="s">
        <v>2724</v>
      </c>
      <c r="B37" s="2702" t="s">
        <v>2725</v>
      </c>
      <c r="C37" s="1410" t="s">
        <v>1</v>
      </c>
      <c r="D37" s="1411"/>
      <c r="E37" s="1412"/>
      <c r="F37" s="1413"/>
      <c r="G37" s="1414"/>
      <c r="H37" s="1415"/>
      <c r="I37" s="1412"/>
      <c r="J37" s="1415"/>
      <c r="K37" s="619"/>
      <c r="L37" s="1146"/>
      <c r="M37" s="1147"/>
      <c r="N37" s="1134"/>
      <c r="O37" s="1147"/>
      <c r="P37" s="3163" t="str">
        <f>A37</f>
        <v>成交单价</v>
      </c>
      <c r="Q37" s="3163"/>
      <c r="R37" s="3220">
        <f>E37</f>
        <v>0</v>
      </c>
      <c r="S37" s="3220"/>
      <c r="T37" s="3220">
        <f>G37</f>
        <v>0</v>
      </c>
      <c r="U37" s="3220"/>
      <c r="V37" s="3220">
        <f>I37</f>
        <v>0</v>
      </c>
      <c r="W37" s="3220"/>
      <c r="X37" s="759"/>
      <c r="Y37" s="781"/>
      <c r="Z37" s="759"/>
      <c r="AA37" s="759"/>
      <c r="AB37" s="759"/>
      <c r="AC37" s="759"/>
    </row>
    <row r="38" spans="1:29" ht="15.75" thickBot="1">
      <c r="A38" s="486" t="s">
        <v>2726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3" t="str">
        <f>A38</f>
        <v>比较价值（元/平方米）</v>
      </c>
      <c r="Q38" s="3163"/>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2727</v>
      </c>
      <c r="B39" s="493"/>
      <c r="C39" s="1420" t="e">
        <f>R39</f>
        <v>#DIV/0!</v>
      </c>
      <c r="D39" s="1420"/>
      <c r="E39" s="1420"/>
      <c r="F39" s="1420"/>
      <c r="G39" s="1420"/>
      <c r="H39" s="1420"/>
      <c r="I39" s="1420"/>
      <c r="J39" s="1420"/>
      <c r="K39" s="621"/>
      <c r="L39" s="1146"/>
      <c r="M39" s="1147"/>
      <c r="N39" s="1147"/>
      <c r="O39" s="1147"/>
      <c r="P39" s="3183" t="str">
        <f>A39</f>
        <v>估价对象XX用房的比较价值（楼面单价，元/平方米）</v>
      </c>
      <c r="Q39" s="3184"/>
      <c r="R39" s="3219" t="e">
        <f>IF(F1="售价",ROUND(AVERAGE(R38:V38),0),ROUND(AVERAGE(R38:V38),1))</f>
        <v>#DIV/0!</v>
      </c>
      <c r="S39" s="3219"/>
      <c r="T39" s="3219"/>
      <c r="U39" s="3219"/>
      <c r="V39" s="3219"/>
      <c r="W39" s="321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2732</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93"/>
      <c r="D2" s="1127" t="e">
        <f ca="1">SUMIF(INDIRECT("'"&amp;F2&amp;"'"&amp;"!A:A"),"承租人权益价值",INDIRECT("'"&amp;F2&amp;"'"&amp;"!c:c"))</f>
        <v>#REF!</v>
      </c>
      <c r="E2" s="2594" t="s">
        <v>2332</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64" t="s">
        <v>2650</v>
      </c>
      <c r="D4" s="3165"/>
      <c r="E4" s="3166" t="s">
        <v>2651</v>
      </c>
      <c r="F4" s="3167"/>
      <c r="G4" s="3164" t="s">
        <v>2652</v>
      </c>
      <c r="H4" s="3165"/>
      <c r="I4" s="3164" t="s">
        <v>2653</v>
      </c>
      <c r="J4" s="3165"/>
      <c r="K4" s="610" t="s">
        <v>2654</v>
      </c>
      <c r="L4" s="1133"/>
      <c r="M4" s="1134"/>
      <c r="N4" s="1134"/>
      <c r="O4" s="1134"/>
      <c r="P4" s="3168" t="s">
        <v>2655</v>
      </c>
      <c r="Q4" s="3169"/>
      <c r="R4" s="3151" t="s">
        <v>2651</v>
      </c>
      <c r="S4" s="3152"/>
      <c r="T4" s="3151" t="s">
        <v>2652</v>
      </c>
      <c r="U4" s="3152"/>
      <c r="V4" s="3176" t="s">
        <v>2653</v>
      </c>
      <c r="W4" s="3176"/>
      <c r="X4" s="1816"/>
      <c r="Y4" s="3151" t="s">
        <v>2655</v>
      </c>
      <c r="Z4" s="3152"/>
      <c r="AA4" s="3146" t="s">
        <v>2651</v>
      </c>
      <c r="AB4" s="3147" t="s">
        <v>2652</v>
      </c>
      <c r="AC4" s="3146" t="s">
        <v>2653</v>
      </c>
    </row>
    <row r="5" spans="1:29" ht="15">
      <c r="A5" s="404"/>
      <c r="B5" s="405"/>
      <c r="C5" s="3157" t="s">
        <v>2546</v>
      </c>
      <c r="D5" s="3158"/>
      <c r="E5" s="3155" t="s">
        <v>2547</v>
      </c>
      <c r="F5" s="3156"/>
      <c r="G5" s="3157" t="s">
        <v>2548</v>
      </c>
      <c r="H5" s="3158"/>
      <c r="I5" s="3157" t="s">
        <v>2549</v>
      </c>
      <c r="J5" s="3158"/>
      <c r="K5" s="610"/>
      <c r="L5" s="1133"/>
      <c r="M5" s="1134"/>
      <c r="N5" s="1134"/>
      <c r="O5" s="1134"/>
      <c r="P5" s="3170"/>
      <c r="Q5" s="3171"/>
      <c r="R5" s="3153"/>
      <c r="S5" s="3154"/>
      <c r="T5" s="3153"/>
      <c r="U5" s="3154"/>
      <c r="V5" s="3176"/>
      <c r="W5" s="3176"/>
      <c r="X5" s="1816"/>
      <c r="Y5" s="3153"/>
      <c r="Z5" s="3154"/>
      <c r="AA5" s="3147"/>
      <c r="AB5" s="3147"/>
      <c r="AC5" s="3147"/>
    </row>
    <row r="6" spans="1:29" ht="15.75" thickBot="1">
      <c r="A6" s="406"/>
      <c r="B6" s="407"/>
      <c r="C6" s="3159" t="s">
        <v>2550</v>
      </c>
      <c r="D6" s="3160"/>
      <c r="E6" s="3161" t="s">
        <v>2550</v>
      </c>
      <c r="F6" s="3162"/>
      <c r="G6" s="3159" t="s">
        <v>2550</v>
      </c>
      <c r="H6" s="3160"/>
      <c r="I6" s="3159" t="s">
        <v>2550</v>
      </c>
      <c r="J6" s="3160"/>
      <c r="K6" s="610" t="s">
        <v>2551</v>
      </c>
      <c r="L6" s="1133"/>
      <c r="M6" s="1134"/>
      <c r="N6" s="1134"/>
      <c r="O6" s="1134"/>
      <c r="P6" s="3172"/>
      <c r="Q6" s="3173"/>
      <c r="R6" s="3153"/>
      <c r="S6" s="3154"/>
      <c r="T6" s="3174"/>
      <c r="U6" s="3175"/>
      <c r="V6" s="3176"/>
      <c r="W6" s="3176"/>
      <c r="X6" s="1816"/>
      <c r="Y6" s="3174"/>
      <c r="Z6" s="3175"/>
      <c r="AA6" s="3148"/>
      <c r="AB6" s="3148"/>
      <c r="AC6" s="3148"/>
    </row>
    <row r="7" spans="1:29" s="117" customFormat="1" ht="15.75" thickBot="1">
      <c r="A7" s="408" t="s">
        <v>2552</v>
      </c>
      <c r="B7" s="409"/>
      <c r="C7" s="410">
        <f>'数据-取费表'!B2</f>
        <v>43231</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49" t="s">
        <v>2553</v>
      </c>
      <c r="Q7" s="3177"/>
      <c r="R7" s="770" t="s">
        <v>17</v>
      </c>
      <c r="S7" s="771">
        <f t="shared" ref="S7:S14" si="0">F7</f>
        <v>0</v>
      </c>
      <c r="T7" s="770" t="s">
        <v>17</v>
      </c>
      <c r="U7" s="771">
        <f t="shared" ref="U7:U14" si="1">H7</f>
        <v>0</v>
      </c>
      <c r="V7" s="770" t="s">
        <v>17</v>
      </c>
      <c r="W7" s="771">
        <f t="shared" ref="W7:W14" si="2">J7</f>
        <v>0</v>
      </c>
      <c r="X7" s="772"/>
      <c r="Y7" s="3149" t="s">
        <v>2553</v>
      </c>
      <c r="Z7" s="3150"/>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49" t="s">
        <v>2556</v>
      </c>
      <c r="Q8" s="3150"/>
      <c r="R8" s="770" t="s">
        <v>17</v>
      </c>
      <c r="S8" s="771">
        <f t="shared" si="0"/>
        <v>0</v>
      </c>
      <c r="T8" s="770" t="s">
        <v>17</v>
      </c>
      <c r="U8" s="771">
        <f t="shared" si="1"/>
        <v>0</v>
      </c>
      <c r="V8" s="770" t="s">
        <v>17</v>
      </c>
      <c r="W8" s="771">
        <f t="shared" si="2"/>
        <v>0</v>
      </c>
      <c r="X8" s="772"/>
      <c r="Y8" s="3149" t="s">
        <v>2556</v>
      </c>
      <c r="Z8" s="3150"/>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3" t="s">
        <v>2559</v>
      </c>
      <c r="Q9" s="1798" t="str">
        <f t="shared" ref="Q9:Q14" si="6">B9</f>
        <v>用途</v>
      </c>
      <c r="R9" s="770" t="s">
        <v>17</v>
      </c>
      <c r="S9" s="771">
        <f t="shared" si="0"/>
        <v>100</v>
      </c>
      <c r="T9" s="770" t="s">
        <v>17</v>
      </c>
      <c r="U9" s="771">
        <f t="shared" si="1"/>
        <v>100</v>
      </c>
      <c r="V9" s="770" t="s">
        <v>17</v>
      </c>
      <c r="W9" s="771">
        <f t="shared" si="2"/>
        <v>100</v>
      </c>
      <c r="X9" s="772"/>
      <c r="Y9" s="3026"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3"/>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2563</v>
      </c>
      <c r="B14" s="69" t="s">
        <v>2713</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8" t="s">
        <v>2564</v>
      </c>
      <c r="Q14" s="1813" t="str">
        <f t="shared" si="6"/>
        <v>交通便捷度</v>
      </c>
      <c r="R14" s="774" t="s">
        <v>17</v>
      </c>
      <c r="S14" s="775">
        <f t="shared" si="0"/>
        <v>100</v>
      </c>
      <c r="T14" s="774" t="s">
        <v>17</v>
      </c>
      <c r="U14" s="775">
        <f t="shared" si="1"/>
        <v>100</v>
      </c>
      <c r="V14" s="774" t="s">
        <v>17</v>
      </c>
      <c r="W14" s="775">
        <f t="shared" si="2"/>
        <v>100</v>
      </c>
      <c r="X14" s="1816"/>
      <c r="Y14" s="3178" t="s">
        <v>2564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9"/>
      <c r="Q15" s="1813"/>
      <c r="R15" s="774"/>
      <c r="S15" s="775"/>
      <c r="T15" s="774"/>
      <c r="U15" s="775"/>
      <c r="V15" s="774"/>
      <c r="W15" s="775"/>
      <c r="X15" s="1816"/>
      <c r="Y15" s="3179"/>
      <c r="Z15" s="1817"/>
      <c r="AA15" s="1814">
        <v>1</v>
      </c>
      <c r="AB15" s="1814">
        <v>1</v>
      </c>
      <c r="AC15" s="1814">
        <v>1</v>
      </c>
    </row>
    <row r="16" spans="1:29" ht="42.75">
      <c r="A16" s="428"/>
      <c r="B16" s="451" t="s">
        <v>2692</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9"/>
      <c r="Q16" s="1813" t="str">
        <f>B16</f>
        <v>公共配套设施</v>
      </c>
      <c r="R16" s="774" t="s">
        <v>17</v>
      </c>
      <c r="S16" s="775">
        <f>F16</f>
        <v>100</v>
      </c>
      <c r="T16" s="774" t="s">
        <v>17</v>
      </c>
      <c r="U16" s="775">
        <f>H16</f>
        <v>100</v>
      </c>
      <c r="V16" s="774" t="s">
        <v>17</v>
      </c>
      <c r="W16" s="775">
        <f>J16</f>
        <v>100</v>
      </c>
      <c r="X16" s="1816"/>
      <c r="Y16" s="317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79"/>
      <c r="Q17" s="1813"/>
      <c r="R17" s="774"/>
      <c r="S17" s="775"/>
      <c r="T17" s="774"/>
      <c r="U17" s="775"/>
      <c r="V17" s="774"/>
      <c r="W17" s="775"/>
      <c r="X17" s="1816"/>
      <c r="Y17" s="3179"/>
      <c r="Z17" s="1817"/>
      <c r="AA17" s="1814">
        <v>1</v>
      </c>
      <c r="AB17" s="1814">
        <v>1</v>
      </c>
      <c r="AC17" s="1814">
        <v>1</v>
      </c>
    </row>
    <row r="18" spans="1:29" ht="28.5">
      <c r="A18" s="428"/>
      <c r="B18" s="1387" t="s">
        <v>2693</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9"/>
      <c r="Q18" s="1813" t="str">
        <f>B18</f>
        <v>基础设施水平</v>
      </c>
      <c r="R18" s="774" t="s">
        <v>17</v>
      </c>
      <c r="S18" s="775">
        <f>F18</f>
        <v>100</v>
      </c>
      <c r="T18" s="774" t="s">
        <v>17</v>
      </c>
      <c r="U18" s="775">
        <f>H18</f>
        <v>100</v>
      </c>
      <c r="V18" s="774" t="s">
        <v>17</v>
      </c>
      <c r="W18" s="775">
        <f>J18</f>
        <v>100</v>
      </c>
      <c r="X18" s="1816"/>
      <c r="Y18" s="317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79"/>
      <c r="Q19" s="1813"/>
      <c r="R19" s="774"/>
      <c r="S19" s="775"/>
      <c r="T19" s="774"/>
      <c r="U19" s="775"/>
      <c r="V19" s="774"/>
      <c r="W19" s="775"/>
      <c r="X19" s="1816"/>
      <c r="Y19" s="3179"/>
      <c r="Z19" s="1817"/>
      <c r="AA19" s="1814">
        <v>1</v>
      </c>
      <c r="AB19" s="1814">
        <v>1</v>
      </c>
      <c r="AC19" s="1814">
        <v>1</v>
      </c>
    </row>
    <row r="20" spans="1:29" ht="57">
      <c r="A20" s="428"/>
      <c r="B20" s="451" t="s">
        <v>2714</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9"/>
      <c r="Q20" s="1813" t="str">
        <f>B20</f>
        <v>自然及人文环境</v>
      </c>
      <c r="R20" s="774" t="s">
        <v>17</v>
      </c>
      <c r="S20" s="775">
        <f>F20</f>
        <v>100</v>
      </c>
      <c r="T20" s="774" t="s">
        <v>17</v>
      </c>
      <c r="U20" s="775">
        <f>H20</f>
        <v>100</v>
      </c>
      <c r="V20" s="774" t="s">
        <v>17</v>
      </c>
      <c r="W20" s="775">
        <f>J20</f>
        <v>100</v>
      </c>
      <c r="X20" s="1816"/>
      <c r="Y20" s="317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9"/>
      <c r="Q21" s="1813"/>
      <c r="R21" s="774"/>
      <c r="S21" s="775"/>
      <c r="T21" s="774"/>
      <c r="U21" s="775"/>
      <c r="V21" s="774"/>
      <c r="W21" s="775"/>
      <c r="X21" s="1816"/>
      <c r="Y21" s="3179"/>
      <c r="Z21" s="1817"/>
      <c r="AA21" s="1814">
        <v>1</v>
      </c>
      <c r="AB21" s="1814">
        <v>1</v>
      </c>
      <c r="AC21" s="1814">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9"/>
      <c r="Q22" s="1813" t="str">
        <f>B22</f>
        <v>楼层</v>
      </c>
      <c r="R22" s="774" t="s">
        <v>17</v>
      </c>
      <c r="S22" s="775">
        <f>F22</f>
        <v>100</v>
      </c>
      <c r="T22" s="774" t="s">
        <v>17</v>
      </c>
      <c r="U22" s="775">
        <f>H22</f>
        <v>100</v>
      </c>
      <c r="V22" s="774" t="s">
        <v>17</v>
      </c>
      <c r="W22" s="775">
        <f>J22</f>
        <v>100</v>
      </c>
      <c r="X22" s="1816"/>
      <c r="Y22" s="317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9"/>
      <c r="Q23" s="1813">
        <f>B23</f>
        <v>111</v>
      </c>
      <c r="R23" s="774" t="s">
        <v>17</v>
      </c>
      <c r="S23" s="775">
        <f>F23</f>
        <v>100</v>
      </c>
      <c r="T23" s="774" t="s">
        <v>17</v>
      </c>
      <c r="U23" s="775">
        <f>H23</f>
        <v>100</v>
      </c>
      <c r="V23" s="774" t="s">
        <v>17</v>
      </c>
      <c r="W23" s="775">
        <f>J23</f>
        <v>100</v>
      </c>
      <c r="X23" s="1816"/>
      <c r="Y23" s="317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9"/>
      <c r="Q24" s="1813">
        <f t="shared" ref="Q24:Q34" si="11">B24</f>
        <v>111</v>
      </c>
      <c r="R24" s="774" t="s">
        <v>17</v>
      </c>
      <c r="S24" s="775">
        <f>F24</f>
        <v>100</v>
      </c>
      <c r="T24" s="774" t="s">
        <v>17</v>
      </c>
      <c r="U24" s="775">
        <f>H24</f>
        <v>100</v>
      </c>
      <c r="V24" s="774" t="s">
        <v>17</v>
      </c>
      <c r="W24" s="775">
        <f>J24</f>
        <v>100</v>
      </c>
      <c r="X24" s="1816"/>
      <c r="Y24" s="3179"/>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79"/>
      <c r="Q25" s="1798">
        <f t="shared" si="11"/>
        <v>111</v>
      </c>
      <c r="R25" s="770" t="s">
        <v>17</v>
      </c>
      <c r="S25" s="771">
        <f>F25</f>
        <v>100</v>
      </c>
      <c r="T25" s="770" t="s">
        <v>17</v>
      </c>
      <c r="U25" s="771">
        <f>H25</f>
        <v>100</v>
      </c>
      <c r="V25" s="770" t="s">
        <v>17</v>
      </c>
      <c r="W25" s="771">
        <f>J25</f>
        <v>100</v>
      </c>
      <c r="X25" s="772"/>
      <c r="Y25" s="3179"/>
      <c r="Z25" s="55">
        <f>Q25</f>
        <v>111</v>
      </c>
      <c r="AA25" s="1814">
        <f>D25/F25</f>
        <v>1</v>
      </c>
      <c r="AB25" s="1814">
        <f>D25/H25</f>
        <v>1</v>
      </c>
      <c r="AC25" s="1814">
        <f>D25/J25</f>
        <v>1</v>
      </c>
    </row>
    <row r="26" spans="1:29" ht="15">
      <c r="A26" s="466" t="s">
        <v>2567</v>
      </c>
      <c r="B26" s="71" t="s">
        <v>2718</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180" t="s">
        <v>2569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1" t="s">
        <v>2569</v>
      </c>
      <c r="Z26" s="1817" t="str">
        <f t="shared" ref="Z26:Z34" si="15">Q26</f>
        <v>公共部分装修</v>
      </c>
      <c r="AA26" s="1814">
        <f t="shared" si="3"/>
        <v>1</v>
      </c>
      <c r="AB26" s="1814">
        <f t="shared" si="4"/>
        <v>1</v>
      </c>
      <c r="AC26" s="1814">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4" t="e">
        <f t="shared" si="3"/>
        <v>#N/A</v>
      </c>
      <c r="AB27" s="1814" t="e">
        <f t="shared" si="4"/>
        <v>#N/A</v>
      </c>
      <c r="AC27" s="1814"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1"/>
      <c r="Q28" s="1813" t="str">
        <f t="shared" si="11"/>
        <v>物业等级</v>
      </c>
      <c r="R28" s="774" t="s">
        <v>17</v>
      </c>
      <c r="S28" s="775">
        <f t="shared" si="12"/>
        <v>100</v>
      </c>
      <c r="T28" s="774" t="s">
        <v>17</v>
      </c>
      <c r="U28" s="775">
        <f t="shared" si="13"/>
        <v>100</v>
      </c>
      <c r="V28" s="774" t="s">
        <v>17</v>
      </c>
      <c r="W28" s="775">
        <f t="shared" si="14"/>
        <v>100</v>
      </c>
      <c r="X28" s="1816"/>
      <c r="Y28" s="3181"/>
      <c r="Z28" s="1817" t="str">
        <f t="shared" si="15"/>
        <v>物业等级</v>
      </c>
      <c r="AA28" s="1814">
        <f t="shared" si="3"/>
        <v>1</v>
      </c>
      <c r="AB28" s="1814">
        <f t="shared" si="4"/>
        <v>1</v>
      </c>
      <c r="AC28" s="1814">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1"/>
      <c r="Q29" s="1813" t="str">
        <f t="shared" si="11"/>
        <v>有无电梯</v>
      </c>
      <c r="R29" s="774" t="s">
        <v>17</v>
      </c>
      <c r="S29" s="775">
        <f t="shared" si="12"/>
        <v>100</v>
      </c>
      <c r="T29" s="774" t="s">
        <v>17</v>
      </c>
      <c r="U29" s="775">
        <f t="shared" si="13"/>
        <v>100</v>
      </c>
      <c r="V29" s="774" t="s">
        <v>17</v>
      </c>
      <c r="W29" s="775">
        <f t="shared" si="14"/>
        <v>100</v>
      </c>
      <c r="X29" s="1816"/>
      <c r="Y29" s="3181"/>
      <c r="Z29" s="1817" t="str">
        <f t="shared" si="15"/>
        <v>有无电梯</v>
      </c>
      <c r="AA29" s="1814">
        <f t="shared" si="3"/>
        <v>1</v>
      </c>
      <c r="AB29" s="1814">
        <f t="shared" si="4"/>
        <v>1</v>
      </c>
      <c r="AC29" s="1814">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1"/>
      <c r="Q30" s="1813" t="str">
        <f t="shared" si="11"/>
        <v>建筑面积</v>
      </c>
      <c r="R30" s="774" t="s">
        <v>17</v>
      </c>
      <c r="S30" s="775" t="e">
        <f t="shared" si="12"/>
        <v>#N/A</v>
      </c>
      <c r="T30" s="774" t="s">
        <v>17</v>
      </c>
      <c r="U30" s="775" t="e">
        <f t="shared" si="13"/>
        <v>#N/A</v>
      </c>
      <c r="V30" s="774" t="s">
        <v>17</v>
      </c>
      <c r="W30" s="775" t="e">
        <f t="shared" si="14"/>
        <v>#N/A</v>
      </c>
      <c r="X30" s="1816"/>
      <c r="Y30" s="3181"/>
      <c r="Z30" s="1817" t="str">
        <f t="shared" si="15"/>
        <v>建筑面积</v>
      </c>
      <c r="AA30" s="1814" t="e">
        <f t="shared" si="3"/>
        <v>#N/A</v>
      </c>
      <c r="AB30" s="1814" t="e">
        <f t="shared" si="4"/>
        <v>#N/A</v>
      </c>
      <c r="AC30" s="1814"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1"/>
      <c r="Q31" s="1798"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1" t="s">
        <v>2569</v>
      </c>
      <c r="Q32" s="1813">
        <f t="shared" si="11"/>
        <v>111</v>
      </c>
      <c r="R32" s="774" t="s">
        <v>17</v>
      </c>
      <c r="S32" s="775">
        <f t="shared" si="12"/>
        <v>100</v>
      </c>
      <c r="T32" s="774" t="s">
        <v>17</v>
      </c>
      <c r="U32" s="775">
        <f t="shared" si="13"/>
        <v>100</v>
      </c>
      <c r="V32" s="774" t="s">
        <v>17</v>
      </c>
      <c r="W32" s="775">
        <f t="shared" si="14"/>
        <v>100</v>
      </c>
      <c r="X32" s="1816"/>
      <c r="Y32" s="3181" t="s">
        <v>2569</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1"/>
      <c r="Q33" s="1813">
        <f t="shared" si="11"/>
        <v>111</v>
      </c>
      <c r="R33" s="774" t="s">
        <v>17</v>
      </c>
      <c r="S33" s="775">
        <f t="shared" si="12"/>
        <v>100</v>
      </c>
      <c r="T33" s="774" t="s">
        <v>17</v>
      </c>
      <c r="U33" s="775">
        <f t="shared" si="13"/>
        <v>100</v>
      </c>
      <c r="V33" s="774" t="s">
        <v>17</v>
      </c>
      <c r="W33" s="775">
        <f t="shared" si="14"/>
        <v>100</v>
      </c>
      <c r="X33" s="1816"/>
      <c r="Y33" s="3181"/>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81"/>
      <c r="Q34" s="1813">
        <f t="shared" si="11"/>
        <v>111</v>
      </c>
      <c r="R34" s="774" t="s">
        <v>17</v>
      </c>
      <c r="S34" s="775">
        <f t="shared" si="12"/>
        <v>100</v>
      </c>
      <c r="T34" s="774" t="s">
        <v>17</v>
      </c>
      <c r="U34" s="775">
        <f t="shared" si="13"/>
        <v>100</v>
      </c>
      <c r="V34" s="774" t="s">
        <v>17</v>
      </c>
      <c r="W34" s="775">
        <f t="shared" si="14"/>
        <v>100</v>
      </c>
      <c r="X34" s="1816"/>
      <c r="Y34" s="3181"/>
      <c r="Z34" s="1817">
        <f t="shared" si="15"/>
        <v>111</v>
      </c>
      <c r="AA34" s="1814">
        <f t="shared" si="3"/>
        <v>1</v>
      </c>
      <c r="AB34" s="1814">
        <f t="shared" si="4"/>
        <v>1</v>
      </c>
      <c r="AC34" s="1814">
        <f t="shared" si="5"/>
        <v>1</v>
      </c>
    </row>
    <row r="35" spans="1:29" ht="15">
      <c r="A35" s="479" t="s">
        <v>2581</v>
      </c>
      <c r="B35" s="480"/>
      <c r="C35" s="1410" t="s">
        <v>1</v>
      </c>
      <c r="D35" s="1411"/>
      <c r="E35" s="1412"/>
      <c r="F35" s="1413"/>
      <c r="G35" s="1414"/>
      <c r="H35" s="1415"/>
      <c r="I35" s="1412"/>
      <c r="J35" s="1415"/>
      <c r="K35" s="783"/>
      <c r="L35" s="1146"/>
      <c r="M35" s="1147"/>
      <c r="N35" s="1134"/>
      <c r="O35" s="1147"/>
      <c r="P35" s="3163" t="str">
        <f>A35</f>
        <v>成交单价（元/平方米）</v>
      </c>
      <c r="Q35" s="3163"/>
      <c r="R35" s="3220">
        <f>E35</f>
        <v>0</v>
      </c>
      <c r="S35" s="3220"/>
      <c r="T35" s="3220">
        <f>G35</f>
        <v>0</v>
      </c>
      <c r="U35" s="3220"/>
      <c r="V35" s="3220">
        <f>I35</f>
        <v>0</v>
      </c>
      <c r="W35" s="3220"/>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163" t="str">
        <f>A36</f>
        <v>比较价值（元/平方米）</v>
      </c>
      <c r="Q36" s="3163"/>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183" t="str">
        <f>A37</f>
        <v>估价对象XX用房的比较价值（楼面单价，元/平方米）</v>
      </c>
      <c r="Q37" s="3184"/>
      <c r="R37" s="3219" t="e">
        <f>IF(F1="售价",ROUND(AVERAGE(R36:V36),0),ROUND(AVERAGE(R36:V36),1))</f>
        <v>#DIV/0!</v>
      </c>
      <c r="S37" s="3219"/>
      <c r="T37" s="3219"/>
      <c r="U37" s="3219"/>
      <c r="V37" s="3219"/>
      <c r="W37" s="321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64" t="s">
        <v>2650</v>
      </c>
      <c r="D4" s="3165"/>
      <c r="E4" s="3166" t="s">
        <v>2651</v>
      </c>
      <c r="F4" s="3167"/>
      <c r="G4" s="3164" t="s">
        <v>2652</v>
      </c>
      <c r="H4" s="3165"/>
      <c r="I4" s="3164" t="s">
        <v>2653</v>
      </c>
      <c r="J4" s="3165"/>
      <c r="K4" s="610" t="s">
        <v>2654</v>
      </c>
      <c r="L4" s="1133"/>
      <c r="M4" s="1134"/>
      <c r="N4" s="1134"/>
      <c r="O4" s="1134"/>
      <c r="P4" s="3168" t="s">
        <v>2655</v>
      </c>
      <c r="Q4" s="3169"/>
      <c r="R4" s="3151" t="s">
        <v>2651</v>
      </c>
      <c r="S4" s="3152"/>
      <c r="T4" s="3151" t="s">
        <v>2652</v>
      </c>
      <c r="U4" s="3152"/>
      <c r="V4" s="3176" t="s">
        <v>2653</v>
      </c>
      <c r="W4" s="3176"/>
      <c r="X4" s="1816"/>
      <c r="Y4" s="3151" t="s">
        <v>2655</v>
      </c>
      <c r="Z4" s="3152"/>
      <c r="AA4" s="3146" t="s">
        <v>2651</v>
      </c>
      <c r="AB4" s="3147" t="s">
        <v>2652</v>
      </c>
      <c r="AC4" s="3146" t="s">
        <v>2653</v>
      </c>
    </row>
    <row r="5" spans="1:29" ht="15">
      <c r="A5" s="404"/>
      <c r="B5" s="405"/>
      <c r="C5" s="3157" t="s">
        <v>2546</v>
      </c>
      <c r="D5" s="3158"/>
      <c r="E5" s="3155" t="s">
        <v>2547</v>
      </c>
      <c r="F5" s="3156"/>
      <c r="G5" s="3157" t="s">
        <v>2548</v>
      </c>
      <c r="H5" s="3158"/>
      <c r="I5" s="3157" t="s">
        <v>2549</v>
      </c>
      <c r="J5" s="3158"/>
      <c r="K5" s="610"/>
      <c r="L5" s="1133"/>
      <c r="M5" s="1134"/>
      <c r="N5" s="1134"/>
      <c r="O5" s="1134"/>
      <c r="P5" s="3170"/>
      <c r="Q5" s="3171"/>
      <c r="R5" s="3153"/>
      <c r="S5" s="3154"/>
      <c r="T5" s="3153"/>
      <c r="U5" s="3154"/>
      <c r="V5" s="3176"/>
      <c r="W5" s="3176"/>
      <c r="X5" s="1816"/>
      <c r="Y5" s="3153"/>
      <c r="Z5" s="3154"/>
      <c r="AA5" s="3147"/>
      <c r="AB5" s="3147"/>
      <c r="AC5" s="3147"/>
    </row>
    <row r="6" spans="1:29" ht="15.75" thickBot="1">
      <c r="A6" s="406"/>
      <c r="B6" s="407"/>
      <c r="C6" s="3242" t="s">
        <v>2801</v>
      </c>
      <c r="D6" s="3243"/>
      <c r="E6" s="3244" t="s">
        <v>2801</v>
      </c>
      <c r="F6" s="3245"/>
      <c r="G6" s="3242" t="s">
        <v>2801</v>
      </c>
      <c r="H6" s="3243"/>
      <c r="I6" s="3242" t="s">
        <v>2801</v>
      </c>
      <c r="J6" s="3243"/>
      <c r="K6" s="610" t="s">
        <v>2551</v>
      </c>
      <c r="L6" s="1133"/>
      <c r="M6" s="1134"/>
      <c r="N6" s="1134"/>
      <c r="O6" s="1134"/>
      <c r="P6" s="3172"/>
      <c r="Q6" s="3173"/>
      <c r="R6" s="3153"/>
      <c r="S6" s="3154"/>
      <c r="T6" s="3174"/>
      <c r="U6" s="3175"/>
      <c r="V6" s="3176"/>
      <c r="W6" s="3176"/>
      <c r="X6" s="1816"/>
      <c r="Y6" s="3174"/>
      <c r="Z6" s="3175"/>
      <c r="AA6" s="3148"/>
      <c r="AB6" s="3148"/>
      <c r="AC6" s="3148"/>
    </row>
    <row r="7" spans="1:29" s="117" customFormat="1" ht="15.75" thickBot="1">
      <c r="A7" s="408" t="s">
        <v>2552</v>
      </c>
      <c r="B7" s="409"/>
      <c r="C7" s="410">
        <f>'数据-取费表'!B2</f>
        <v>43231</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49" t="s">
        <v>2553</v>
      </c>
      <c r="Q7" s="3177"/>
      <c r="R7" s="770" t="s">
        <v>17</v>
      </c>
      <c r="S7" s="771">
        <f t="shared" ref="S7:S15" si="0">F7</f>
        <v>0</v>
      </c>
      <c r="T7" s="770" t="s">
        <v>17</v>
      </c>
      <c r="U7" s="771">
        <f t="shared" ref="U7:U15" si="1">H7</f>
        <v>0</v>
      </c>
      <c r="V7" s="770" t="s">
        <v>17</v>
      </c>
      <c r="W7" s="771">
        <f t="shared" ref="W7:W15" si="2">J7</f>
        <v>0</v>
      </c>
      <c r="X7" s="772"/>
      <c r="Y7" s="3149" t="s">
        <v>2553</v>
      </c>
      <c r="Z7" s="3150"/>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49" t="s">
        <v>2556</v>
      </c>
      <c r="Q8" s="3150"/>
      <c r="R8" s="770" t="s">
        <v>17</v>
      </c>
      <c r="S8" s="771">
        <f t="shared" si="0"/>
        <v>0</v>
      </c>
      <c r="T8" s="770" t="s">
        <v>17</v>
      </c>
      <c r="U8" s="771">
        <f t="shared" si="1"/>
        <v>0</v>
      </c>
      <c r="V8" s="770" t="s">
        <v>17</v>
      </c>
      <c r="W8" s="771">
        <f t="shared" si="2"/>
        <v>0</v>
      </c>
      <c r="X8" s="772"/>
      <c r="Y8" s="3149" t="s">
        <v>2556</v>
      </c>
      <c r="Z8" s="3150"/>
      <c r="AA8" s="773" t="e">
        <f t="shared" ref="AA8:AA40" si="3">D8/F8</f>
        <v>#DIV/0!</v>
      </c>
      <c r="AB8" s="773" t="e">
        <f t="shared" ref="AB8:AB40" si="4">D8/H8</f>
        <v>#DIV/0!</v>
      </c>
      <c r="AC8" s="773" t="e">
        <f t="shared" ref="AC8:AC40" si="5">D8/J8</f>
        <v>#DIV/0!</v>
      </c>
    </row>
    <row r="9" spans="1:29" s="117" customFormat="1">
      <c r="A9" s="415" t="s">
        <v>2557</v>
      </c>
      <c r="B9" s="71" t="s">
        <v>2558</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63" t="s">
        <v>2559</v>
      </c>
      <c r="Q9" s="1798"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6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2563</v>
      </c>
      <c r="B15" s="629" t="s">
        <v>2802</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8" t="s">
        <v>2564</v>
      </c>
      <c r="Q15" s="1813" t="str">
        <f t="shared" si="6"/>
        <v>产业集聚程度</v>
      </c>
      <c r="R15" s="774" t="s">
        <v>17</v>
      </c>
      <c r="S15" s="775">
        <f t="shared" si="0"/>
        <v>100</v>
      </c>
      <c r="T15" s="774" t="s">
        <v>17</v>
      </c>
      <c r="U15" s="775">
        <f t="shared" si="1"/>
        <v>100</v>
      </c>
      <c r="V15" s="774" t="s">
        <v>17</v>
      </c>
      <c r="W15" s="775">
        <f t="shared" si="2"/>
        <v>100</v>
      </c>
      <c r="X15" s="1816"/>
      <c r="Y15" s="3178" t="s">
        <v>2564</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79"/>
      <c r="Q16" s="1813"/>
      <c r="R16" s="774"/>
      <c r="S16" s="775"/>
      <c r="T16" s="774"/>
      <c r="U16" s="775"/>
      <c r="V16" s="774"/>
      <c r="W16" s="775"/>
      <c r="X16" s="1816"/>
      <c r="Y16" s="3179"/>
      <c r="Z16" s="1817"/>
      <c r="AA16" s="1814">
        <v>1</v>
      </c>
      <c r="AB16" s="1814">
        <v>1</v>
      </c>
      <c r="AC16" s="1814">
        <v>1</v>
      </c>
    </row>
    <row r="17" spans="1:29" ht="85.5">
      <c r="A17" s="428"/>
      <c r="B17" s="631" t="s">
        <v>2713</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9"/>
      <c r="Q17" s="1813" t="str">
        <f>B17</f>
        <v>交通便捷度</v>
      </c>
      <c r="R17" s="774" t="s">
        <v>17</v>
      </c>
      <c r="S17" s="775">
        <f>F17</f>
        <v>100</v>
      </c>
      <c r="T17" s="774" t="s">
        <v>17</v>
      </c>
      <c r="U17" s="775">
        <f>H17</f>
        <v>100</v>
      </c>
      <c r="V17" s="774" t="s">
        <v>17</v>
      </c>
      <c r="W17" s="775">
        <f>J17</f>
        <v>100</v>
      </c>
      <c r="X17" s="1816"/>
      <c r="Y17" s="317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79"/>
      <c r="Q18" s="1813"/>
      <c r="R18" s="774"/>
      <c r="S18" s="775"/>
      <c r="T18" s="774"/>
      <c r="U18" s="775"/>
      <c r="V18" s="774"/>
      <c r="W18" s="775"/>
      <c r="X18" s="1816"/>
      <c r="Y18" s="3179"/>
      <c r="Z18" s="1817"/>
      <c r="AA18" s="1814">
        <v>1</v>
      </c>
      <c r="AB18" s="1814">
        <v>1</v>
      </c>
      <c r="AC18" s="1814">
        <v>1</v>
      </c>
    </row>
    <row r="19" spans="1:29" ht="15">
      <c r="A19" s="428"/>
      <c r="B19" s="631" t="s">
        <v>2752</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9"/>
      <c r="Q19" s="1813" t="str">
        <f t="shared" ref="Q19:Q33" si="8">B19</f>
        <v>区域土地利用方向</v>
      </c>
      <c r="R19" s="774" t="s">
        <v>17</v>
      </c>
      <c r="S19" s="775">
        <f>F19</f>
        <v>100</v>
      </c>
      <c r="T19" s="774" t="s">
        <v>17</v>
      </c>
      <c r="U19" s="775">
        <f>H19</f>
        <v>100</v>
      </c>
      <c r="V19" s="774" t="s">
        <v>17</v>
      </c>
      <c r="W19" s="775">
        <f>J19</f>
        <v>100</v>
      </c>
      <c r="X19" s="1816"/>
      <c r="Y19" s="317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79"/>
      <c r="Q20" s="1813"/>
      <c r="R20" s="774"/>
      <c r="S20" s="775"/>
      <c r="T20" s="774"/>
      <c r="U20" s="775"/>
      <c r="V20" s="774"/>
      <c r="W20" s="775"/>
      <c r="X20" s="1816"/>
      <c r="Y20" s="3179"/>
      <c r="Z20" s="1817"/>
      <c r="AA20" s="1814"/>
      <c r="AB20" s="1814"/>
      <c r="AC20" s="1814"/>
    </row>
    <row r="21" spans="1:29" ht="71.25">
      <c r="A21" s="404"/>
      <c r="B21" s="631" t="s">
        <v>2803</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9"/>
      <c r="Q21" s="1813" t="str">
        <f t="shared" si="8"/>
        <v>环境状况</v>
      </c>
      <c r="R21" s="774" t="s">
        <v>17</v>
      </c>
      <c r="S21" s="775">
        <f>F21</f>
        <v>100</v>
      </c>
      <c r="T21" s="774" t="s">
        <v>17</v>
      </c>
      <c r="U21" s="775">
        <f>H21</f>
        <v>100</v>
      </c>
      <c r="V21" s="774" t="s">
        <v>17</v>
      </c>
      <c r="W21" s="775">
        <f>J21</f>
        <v>100</v>
      </c>
      <c r="X21" s="1816"/>
      <c r="Y21" s="317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79"/>
      <c r="Q22" s="1813"/>
      <c r="R22" s="774"/>
      <c r="S22" s="775"/>
      <c r="T22" s="774"/>
      <c r="U22" s="775"/>
      <c r="V22" s="774"/>
      <c r="W22" s="775"/>
      <c r="X22" s="1816"/>
      <c r="Y22" s="3179"/>
      <c r="Z22" s="1817"/>
      <c r="AA22" s="1814">
        <v>1</v>
      </c>
      <c r="AB22" s="1814">
        <v>1</v>
      </c>
      <c r="AC22" s="1814">
        <v>1</v>
      </c>
    </row>
    <row r="23" spans="1:29" s="117" customFormat="1" ht="42.75">
      <c r="A23" s="649"/>
      <c r="B23" s="633" t="s">
        <v>2658</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9"/>
      <c r="Q23" s="1798" t="str">
        <f t="shared" si="8"/>
        <v>公共配套设施</v>
      </c>
      <c r="R23" s="770" t="s">
        <v>17</v>
      </c>
      <c r="S23" s="771">
        <f>F23</f>
        <v>100</v>
      </c>
      <c r="T23" s="770" t="s">
        <v>17</v>
      </c>
      <c r="U23" s="771">
        <f>H23</f>
        <v>100</v>
      </c>
      <c r="V23" s="770" t="s">
        <v>17</v>
      </c>
      <c r="W23" s="771">
        <f>J23</f>
        <v>100</v>
      </c>
      <c r="X23" s="772"/>
      <c r="Y23" s="3179"/>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79"/>
      <c r="Q24" s="1798"/>
      <c r="R24" s="770"/>
      <c r="S24" s="771"/>
      <c r="T24" s="770"/>
      <c r="U24" s="771"/>
      <c r="V24" s="770"/>
      <c r="W24" s="771"/>
      <c r="X24" s="772"/>
      <c r="Y24" s="3179"/>
      <c r="Z24" s="55"/>
      <c r="AA24" s="773">
        <v>1</v>
      </c>
      <c r="AB24" s="773">
        <v>1</v>
      </c>
      <c r="AC24" s="773">
        <v>1</v>
      </c>
    </row>
    <row r="25" spans="1:29" s="117" customFormat="1" ht="28.5">
      <c r="A25" s="649"/>
      <c r="B25" s="633" t="s">
        <v>2659</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9"/>
      <c r="Q25" s="1798" t="str">
        <f t="shared" ref="Q25" si="9">B25</f>
        <v>基础设施水平</v>
      </c>
      <c r="R25" s="770" t="s">
        <v>17</v>
      </c>
      <c r="S25" s="771">
        <f>F25</f>
        <v>100</v>
      </c>
      <c r="T25" s="770" t="s">
        <v>17</v>
      </c>
      <c r="U25" s="771">
        <f>H25</f>
        <v>100</v>
      </c>
      <c r="V25" s="770" t="s">
        <v>17</v>
      </c>
      <c r="W25" s="771">
        <f>J25</f>
        <v>100</v>
      </c>
      <c r="X25" s="772"/>
      <c r="Y25" s="3179"/>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79"/>
      <c r="Q26" s="1798"/>
      <c r="R26" s="770"/>
      <c r="S26" s="771"/>
      <c r="T26" s="770"/>
      <c r="U26" s="771"/>
      <c r="V26" s="770"/>
      <c r="W26" s="771"/>
      <c r="X26" s="772"/>
      <c r="Y26" s="3179"/>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9"/>
      <c r="Z27" s="1817" t="str">
        <f t="shared" ref="Z27:Z40" si="13">Q27</f>
        <v>临街状况</v>
      </c>
      <c r="AA27" s="1814">
        <f t="shared" si="3"/>
        <v>1</v>
      </c>
      <c r="AB27" s="1814">
        <f t="shared" si="4"/>
        <v>1</v>
      </c>
      <c r="AC27" s="1814">
        <f t="shared" si="5"/>
        <v>1</v>
      </c>
    </row>
    <row r="28" spans="1:29" ht="27">
      <c r="A28" s="428"/>
      <c r="B28" s="633" t="s">
        <v>2695</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9"/>
      <c r="Q28" s="1813" t="str">
        <f t="shared" si="8"/>
        <v>毗邻道路的类型与等级</v>
      </c>
      <c r="R28" s="774" t="s">
        <v>17</v>
      </c>
      <c r="S28" s="775">
        <f t="shared" si="10"/>
        <v>100</v>
      </c>
      <c r="T28" s="774" t="s">
        <v>17</v>
      </c>
      <c r="U28" s="775">
        <f t="shared" si="11"/>
        <v>100</v>
      </c>
      <c r="V28" s="774" t="s">
        <v>17</v>
      </c>
      <c r="W28" s="775">
        <f t="shared" si="12"/>
        <v>100</v>
      </c>
      <c r="X28" s="1816"/>
      <c r="Y28" s="317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79"/>
      <c r="Q29" s="1813"/>
      <c r="R29" s="774"/>
      <c r="S29" s="775"/>
      <c r="T29" s="774"/>
      <c r="U29" s="775"/>
      <c r="V29" s="774"/>
      <c r="W29" s="775"/>
      <c r="X29" s="1816"/>
      <c r="Y29" s="3179"/>
      <c r="Z29" s="1817"/>
      <c r="AA29" s="1814">
        <v>1</v>
      </c>
      <c r="AB29" s="1814">
        <v>1</v>
      </c>
      <c r="AC29" s="1814">
        <v>1</v>
      </c>
    </row>
    <row r="30" spans="1:29" ht="15">
      <c r="A30" s="428"/>
      <c r="B30" s="654" t="s">
        <v>2754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9"/>
      <c r="Q30" s="1813" t="str">
        <f t="shared" si="8"/>
        <v>土地级别</v>
      </c>
      <c r="R30" s="774" t="s">
        <v>17</v>
      </c>
      <c r="S30" s="775">
        <f t="shared" si="10"/>
        <v>100</v>
      </c>
      <c r="T30" s="774" t="s">
        <v>17</v>
      </c>
      <c r="U30" s="775">
        <f t="shared" si="11"/>
        <v>100</v>
      </c>
      <c r="V30" s="774" t="s">
        <v>17</v>
      </c>
      <c r="W30" s="775">
        <f t="shared" si="12"/>
        <v>100</v>
      </c>
      <c r="X30" s="1816"/>
      <c r="Y30" s="3179"/>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9"/>
      <c r="Q31" s="1813">
        <f t="shared" si="8"/>
        <v>111</v>
      </c>
      <c r="R31" s="774" t="s">
        <v>17</v>
      </c>
      <c r="S31" s="775">
        <f t="shared" si="10"/>
        <v>100</v>
      </c>
      <c r="T31" s="774" t="s">
        <v>17</v>
      </c>
      <c r="U31" s="775">
        <f t="shared" si="11"/>
        <v>100</v>
      </c>
      <c r="V31" s="774" t="s">
        <v>17</v>
      </c>
      <c r="W31" s="775">
        <f t="shared" si="12"/>
        <v>100</v>
      </c>
      <c r="X31" s="1816"/>
      <c r="Y31" s="3179"/>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0" t="s">
        <v>2569</v>
      </c>
      <c r="Q32" s="1813">
        <f t="shared" si="8"/>
        <v>111</v>
      </c>
      <c r="R32" s="774" t="s">
        <v>17</v>
      </c>
      <c r="S32" s="775">
        <f t="shared" si="10"/>
        <v>100</v>
      </c>
      <c r="T32" s="774" t="s">
        <v>17</v>
      </c>
      <c r="U32" s="775">
        <f t="shared" si="11"/>
        <v>100</v>
      </c>
      <c r="V32" s="774" t="s">
        <v>17</v>
      </c>
      <c r="W32" s="775">
        <f t="shared" si="12"/>
        <v>100</v>
      </c>
      <c r="X32" s="1816"/>
      <c r="Y32" s="3181" t="s">
        <v>2569</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1"/>
      <c r="Q33" s="1813">
        <f t="shared" si="8"/>
        <v>111</v>
      </c>
      <c r="R33" s="777" t="s">
        <v>17</v>
      </c>
      <c r="S33" s="778">
        <f t="shared" si="10"/>
        <v>100</v>
      </c>
      <c r="T33" s="777" t="s">
        <v>17</v>
      </c>
      <c r="U33" s="778">
        <f t="shared" si="11"/>
        <v>100</v>
      </c>
      <c r="V33" s="777" t="s">
        <v>17</v>
      </c>
      <c r="W33" s="778">
        <f t="shared" si="12"/>
        <v>100</v>
      </c>
      <c r="X33" s="779"/>
      <c r="Y33" s="3181"/>
      <c r="Z33" s="780">
        <f t="shared" si="13"/>
        <v>111</v>
      </c>
      <c r="AA33" s="1814">
        <f t="shared" si="3"/>
        <v>1</v>
      </c>
      <c r="AB33" s="1814">
        <f t="shared" si="4"/>
        <v>1</v>
      </c>
      <c r="AC33" s="1814">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1"/>
      <c r="Q34" s="1813" t="str">
        <f>B34</f>
        <v>宗地面积</v>
      </c>
      <c r="R34" s="774" t="s">
        <v>17</v>
      </c>
      <c r="S34" s="775" t="e">
        <f t="shared" si="10"/>
        <v>#N/A</v>
      </c>
      <c r="T34" s="774" t="s">
        <v>17</v>
      </c>
      <c r="U34" s="775" t="e">
        <f t="shared" si="11"/>
        <v>#N/A</v>
      </c>
      <c r="V34" s="774" t="s">
        <v>17</v>
      </c>
      <c r="W34" s="775" t="e">
        <f t="shared" si="12"/>
        <v>#N/A</v>
      </c>
      <c r="X34" s="1816"/>
      <c r="Y34" s="3181"/>
      <c r="Z34" s="1817" t="str">
        <f t="shared" si="13"/>
        <v>宗地面积</v>
      </c>
      <c r="AA34" s="1814" t="e">
        <f t="shared" si="3"/>
        <v>#N/A</v>
      </c>
      <c r="AB34" s="1814" t="e">
        <f t="shared" si="4"/>
        <v>#N/A</v>
      </c>
      <c r="AC34" s="1814" t="e">
        <f t="shared" si="5"/>
        <v>#N/A</v>
      </c>
    </row>
    <row r="35" spans="1:29" ht="15">
      <c r="A35" s="472"/>
      <c r="B35" s="422" t="s">
        <v>2756</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81"/>
      <c r="Q35" s="1813" t="str">
        <f t="shared" ref="Q35:Q40" si="14">B35</f>
        <v>宗地形状</v>
      </c>
      <c r="R35" s="774" t="s">
        <v>17</v>
      </c>
      <c r="S35" s="775">
        <f t="shared" si="10"/>
        <v>100</v>
      </c>
      <c r="T35" s="774" t="s">
        <v>17</v>
      </c>
      <c r="U35" s="775">
        <f t="shared" si="11"/>
        <v>100</v>
      </c>
      <c r="V35" s="774" t="s">
        <v>17</v>
      </c>
      <c r="W35" s="775">
        <f t="shared" si="12"/>
        <v>100</v>
      </c>
      <c r="X35" s="1816"/>
      <c r="Y35" s="3181"/>
      <c r="Z35" s="1817" t="str">
        <f t="shared" si="13"/>
        <v>宗地形状</v>
      </c>
      <c r="AA35" s="1814">
        <f t="shared" si="3"/>
        <v>1</v>
      </c>
      <c r="AB35" s="1814">
        <f t="shared" si="4"/>
        <v>1</v>
      </c>
      <c r="AC35" s="1814">
        <f t="shared" si="5"/>
        <v>1</v>
      </c>
    </row>
    <row r="36" spans="1:29" s="117" customFormat="1" ht="15">
      <c r="A36" s="473"/>
      <c r="B36" s="422" t="s">
        <v>2758</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81"/>
      <c r="Q36" s="1813"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2759</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81" t="s">
        <v>2569</v>
      </c>
      <c r="Q37" s="1813" t="str">
        <f t="shared" si="14"/>
        <v>工程地质条件</v>
      </c>
      <c r="R37" s="774" t="s">
        <v>17</v>
      </c>
      <c r="S37" s="775">
        <f t="shared" si="10"/>
        <v>100</v>
      </c>
      <c r="T37" s="774" t="s">
        <v>17</v>
      </c>
      <c r="U37" s="775">
        <f t="shared" si="11"/>
        <v>100</v>
      </c>
      <c r="V37" s="774" t="s">
        <v>17</v>
      </c>
      <c r="W37" s="775">
        <f t="shared" si="12"/>
        <v>100</v>
      </c>
      <c r="X37" s="1816"/>
      <c r="Y37" s="3181" t="s">
        <v>2569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1"/>
      <c r="Q38" s="1813">
        <f t="shared" si="14"/>
        <v>111</v>
      </c>
      <c r="R38" s="774" t="s">
        <v>17</v>
      </c>
      <c r="S38" s="775">
        <f t="shared" si="10"/>
        <v>100</v>
      </c>
      <c r="T38" s="774" t="s">
        <v>17</v>
      </c>
      <c r="U38" s="775">
        <f t="shared" si="11"/>
        <v>100</v>
      </c>
      <c r="V38" s="774" t="s">
        <v>17</v>
      </c>
      <c r="W38" s="775">
        <f t="shared" si="12"/>
        <v>100</v>
      </c>
      <c r="X38" s="1816"/>
      <c r="Y38" s="318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1"/>
      <c r="Q39" s="1813">
        <f t="shared" si="14"/>
        <v>111</v>
      </c>
      <c r="R39" s="774" t="s">
        <v>17</v>
      </c>
      <c r="S39" s="775">
        <f t="shared" si="10"/>
        <v>100</v>
      </c>
      <c r="T39" s="774" t="s">
        <v>17</v>
      </c>
      <c r="U39" s="775">
        <f t="shared" si="11"/>
        <v>100</v>
      </c>
      <c r="V39" s="774" t="s">
        <v>17</v>
      </c>
      <c r="W39" s="775">
        <f t="shared" si="12"/>
        <v>100</v>
      </c>
      <c r="X39" s="1816"/>
      <c r="Y39" s="3181"/>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1"/>
      <c r="Q40" s="1813">
        <f t="shared" si="14"/>
        <v>111</v>
      </c>
      <c r="R40" s="777" t="s">
        <v>17</v>
      </c>
      <c r="S40" s="778">
        <f t="shared" si="10"/>
        <v>100</v>
      </c>
      <c r="T40" s="777" t="s">
        <v>17</v>
      </c>
      <c r="U40" s="778">
        <f t="shared" si="11"/>
        <v>100</v>
      </c>
      <c r="V40" s="777" t="s">
        <v>17</v>
      </c>
      <c r="W40" s="778">
        <f t="shared" si="12"/>
        <v>100</v>
      </c>
      <c r="X40" s="779"/>
      <c r="Y40" s="3181"/>
      <c r="Z40" s="780">
        <f t="shared" si="13"/>
        <v>111</v>
      </c>
      <c r="AA40" s="1814">
        <f t="shared" si="3"/>
        <v>1</v>
      </c>
      <c r="AB40" s="1814">
        <f t="shared" si="4"/>
        <v>1</v>
      </c>
      <c r="AC40" s="1814">
        <f t="shared" si="5"/>
        <v>1</v>
      </c>
    </row>
    <row r="41" spans="1:29" ht="15">
      <c r="A41" s="479" t="s">
        <v>2724</v>
      </c>
      <c r="B41" s="2711" t="s">
        <v>2804</v>
      </c>
      <c r="C41" s="682" t="s">
        <v>1</v>
      </c>
      <c r="D41" s="481"/>
      <c r="E41" s="482"/>
      <c r="F41" s="483"/>
      <c r="G41" s="484"/>
      <c r="H41" s="485"/>
      <c r="I41" s="482"/>
      <c r="J41" s="485"/>
      <c r="K41" s="783"/>
      <c r="L41" s="1146"/>
      <c r="M41" s="1134"/>
      <c r="N41" s="1134"/>
      <c r="O41" s="1147"/>
      <c r="P41" s="3163" t="str">
        <f>A41</f>
        <v>成交单价</v>
      </c>
      <c r="Q41" s="3163"/>
      <c r="R41" s="3176">
        <f>E41</f>
        <v>0</v>
      </c>
      <c r="S41" s="3176"/>
      <c r="T41" s="3176">
        <f>G41</f>
        <v>0</v>
      </c>
      <c r="U41" s="3176"/>
      <c r="V41" s="3176">
        <f>I41</f>
        <v>0</v>
      </c>
      <c r="W41" s="3176"/>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163" t="str">
        <f>A42</f>
        <v>比较价值（元/平方米）</v>
      </c>
      <c r="Q42" s="3163"/>
      <c r="R42" s="3182" t="e">
        <f>ROUND(PRODUCT(R41,AA7:AA40),0)</f>
        <v>#DIV/0!</v>
      </c>
      <c r="S42" s="3182"/>
      <c r="T42" s="3182" t="e">
        <f>ROUND(PRODUCT(T41,AB7:AB40),0)</f>
        <v>#DIV/0!</v>
      </c>
      <c r="U42" s="3182"/>
      <c r="V42" s="3182" t="e">
        <f>ROUND(PRODUCT(V41,AC7:AC40),0)</f>
        <v>#DIV/0!</v>
      </c>
      <c r="W42" s="3182"/>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183" t="str">
        <f>A43</f>
        <v>估价对象XX用房的比较价值（楼面单价，元/平方米）</v>
      </c>
      <c r="Q43" s="3184"/>
      <c r="R43" s="3185" t="e">
        <f>ROUND(AVERAGE(R42:V42),0)</f>
        <v>#DIV/0!</v>
      </c>
      <c r="S43" s="3185"/>
      <c r="T43" s="3185"/>
      <c r="U43" s="3185"/>
      <c r="V43" s="3185"/>
      <c r="W43" s="318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2" t="s">
        <v>2764</v>
      </c>
      <c r="D50" s="2713" t="s">
        <v>2765</v>
      </c>
      <c r="E50" s="686" t="s">
        <v>2766</v>
      </c>
      <c r="F50" s="687" t="s">
        <v>2767</v>
      </c>
      <c r="G50" s="3164" t="s">
        <v>2768</v>
      </c>
      <c r="H50" s="3186"/>
      <c r="I50" s="1817" t="s">
        <v>2805</v>
      </c>
      <c r="J50" s="1817">
        <f>项目基本情况!F35</f>
        <v>0</v>
      </c>
      <c r="K50" s="2715" t="s">
        <v>2770</v>
      </c>
      <c r="L50" s="1109"/>
      <c r="M50" s="1147"/>
      <c r="N50" s="1147"/>
      <c r="O50" s="1147"/>
    </row>
    <row r="51" spans="1:17" s="692" customFormat="1">
      <c r="A51" s="688" t="s">
        <v>2771</v>
      </c>
      <c r="B51" s="689" t="e">
        <f>C43</f>
        <v>#DIV/0!</v>
      </c>
      <c r="C51" s="690">
        <v>1</v>
      </c>
      <c r="D51" s="1166">
        <v>1</v>
      </c>
      <c r="E51" s="690">
        <f>'数据-汇总表'!E8+'数据-汇总表'!E9</f>
        <v>10000</v>
      </c>
      <c r="F51" s="691" t="e">
        <f t="shared" ref="F51:F60" si="15">ROUND(B51*E51/10000,0)</f>
        <v>#DIV/0!</v>
      </c>
      <c r="G51" s="3187"/>
      <c r="H51" s="3163"/>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188"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188"/>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188"/>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188"/>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6"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16"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7"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10000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8" t="s">
        <v>2786</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2806</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2808</v>
      </c>
      <c r="B1" s="241"/>
      <c r="C1" s="245" t="s">
        <v>2809</v>
      </c>
      <c r="D1" s="388">
        <f>SUM(D29:D30,D33:D39)</f>
        <v>0</v>
      </c>
      <c r="E1" s="2724"/>
      <c r="F1" s="2724"/>
      <c r="G1" s="2724"/>
      <c r="H1" s="2724"/>
      <c r="I1" s="2724"/>
      <c r="J1" s="2724"/>
      <c r="K1" s="1373"/>
      <c r="L1" s="2725" t="s">
        <v>2810</v>
      </c>
      <c r="M1" s="1083">
        <f>SUMPRODUCT((区片价!B5:B9=I2)*(区片价!C3:F3=E2)*(区片价!C5:F9))</f>
        <v>0</v>
      </c>
      <c r="N1" s="1086">
        <f>SUMPRODUCT((因素修正幅度!B5:B9=I2)*(因素修正幅度!C3:F3=E2)*(因素修正幅度!C5:F9))</f>
        <v>0</v>
      </c>
      <c r="O1" s="2726"/>
      <c r="P1" s="2726"/>
      <c r="Q1" s="1373"/>
      <c r="R1" s="1605" t="s">
        <v>2811</v>
      </c>
      <c r="S1" s="1605" t="s">
        <v>2812</v>
      </c>
      <c r="T1" s="1605" t="s">
        <v>2813</v>
      </c>
      <c r="U1" s="1605" t="s">
        <v>2814</v>
      </c>
      <c r="V1" s="1605" t="s">
        <v>2815</v>
      </c>
      <c r="W1" s="1609"/>
      <c r="X1" s="1609"/>
      <c r="Y1" s="1609"/>
      <c r="Z1" s="1609"/>
      <c r="AA1" s="1609"/>
      <c r="AB1" s="1609"/>
      <c r="AC1" s="1610"/>
      <c r="AD1" s="1611"/>
      <c r="AE1" s="1611"/>
      <c r="AF1" s="1611"/>
      <c r="AG1" s="1611"/>
      <c r="AH1" s="1611"/>
      <c r="AI1" s="1611"/>
      <c r="AJ1" s="1612"/>
    </row>
    <row r="2" spans="1:36" ht="15.75">
      <c r="A2" s="245" t="s">
        <v>2816</v>
      </c>
      <c r="B2" s="248" t="e">
        <f>C26</f>
        <v>#DIV/0!</v>
      </c>
      <c r="C2" s="2728" t="s">
        <v>2817</v>
      </c>
      <c r="D2" s="2729" t="s">
        <v>2818</v>
      </c>
      <c r="E2" s="2730"/>
      <c r="F2" s="2729" t="s">
        <v>2819</v>
      </c>
      <c r="G2" s="2731">
        <f>IF(E2="商业",项目基本情况!B37,IF(E2="办公",项目基本情况!C37,IF(E2="住宅",项目基本情况!D37,项目基本情况!E37)))</f>
        <v>0</v>
      </c>
      <c r="H2" s="2729" t="s">
        <v>2820</v>
      </c>
      <c r="I2" s="2731">
        <f>IF(E2="商业",项目基本情况!B38,IF(E2="办公",项目基本情况!C38,IF(E2="住宅",项目基本情况!D38,项目基本情况!E38)))</f>
        <v>0</v>
      </c>
      <c r="J2" s="2732"/>
      <c r="K2" s="1373"/>
      <c r="L2" s="2733" t="s">
        <v>2821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2822</v>
      </c>
      <c r="B3" s="248" t="e">
        <f>ROUND(B2*10000/D1,0)</f>
        <v>#DIV/0!</v>
      </c>
      <c r="C3" s="2728" t="s">
        <v>2823</v>
      </c>
      <c r="D3" s="2729" t="s">
        <v>2824</v>
      </c>
      <c r="E3" s="2734"/>
      <c r="F3" s="2735" t="s">
        <v>2825</v>
      </c>
      <c r="G3" s="916">
        <f>IF(F3="宗地容积率",'数据-汇总表'!I4,IF(F3="估价对象容积率",'数据-汇总表'!I6,'数据-汇总表'!I7))</f>
        <v>1</v>
      </c>
      <c r="H3" s="198" t="s">
        <v>2826</v>
      </c>
      <c r="I3" s="947"/>
      <c r="J3" s="2732" t="s">
        <v>2827</v>
      </c>
      <c r="K3" s="1373"/>
      <c r="L3" s="2733" t="s">
        <v>2828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0"/>
      <c r="B4" s="3261"/>
      <c r="C4" s="3261"/>
      <c r="D4" s="3262"/>
      <c r="E4" s="3262"/>
      <c r="F4" s="3262"/>
      <c r="G4" s="3262"/>
      <c r="H4" s="3262"/>
      <c r="I4" s="3262"/>
      <c r="J4" s="3263"/>
      <c r="K4" s="1373"/>
      <c r="L4" s="2733" t="s">
        <v>2829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2830</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2832</v>
      </c>
      <c r="B6" s="2747" t="s">
        <v>2833</v>
      </c>
      <c r="C6" s="918">
        <f>SUMIF(L1:L12,G2,M1:M12)</f>
        <v>0</v>
      </c>
      <c r="D6" s="2748" t="s">
        <v>2834</v>
      </c>
      <c r="E6" s="2749"/>
      <c r="F6" s="2749"/>
      <c r="G6" s="2750"/>
      <c r="H6" s="2750"/>
      <c r="I6" s="2750"/>
      <c r="J6" s="2751"/>
      <c r="K6" s="1845"/>
      <c r="L6" s="2733" t="s">
        <v>2835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46" t="str">
        <f>IF(E2="商业",IF(C8="不临58条商业街","",2),"")</f>
        <v/>
      </c>
      <c r="B7" s="2752" t="s">
        <v>2836</v>
      </c>
      <c r="C7" s="919" t="e">
        <f>IF(C8="不临58条商业街",1,ROUND(1+(1.6*E8+1.2*E9+0.8*E10+0.4*E11)*C9,4))</f>
        <v>#DIV/0!</v>
      </c>
      <c r="D7" s="2753" t="s">
        <v>2837</v>
      </c>
      <c r="E7" s="948"/>
      <c r="F7" s="2754"/>
      <c r="G7" s="2755"/>
      <c r="H7" s="2755"/>
      <c r="I7" s="2755"/>
      <c r="J7" s="2756"/>
      <c r="K7" s="1845"/>
      <c r="L7" s="2733" t="s">
        <v>2838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2839</v>
      </c>
      <c r="X7" s="1607">
        <f>G2</f>
        <v>0</v>
      </c>
      <c r="Y7" s="1607" t="s">
        <v>2840</v>
      </c>
      <c r="Z7" s="1608">
        <f>G3</f>
        <v>1</v>
      </c>
      <c r="AA7" s="1609"/>
      <c r="AB7" s="1609"/>
      <c r="AC7" s="1610"/>
      <c r="AD7" s="1611"/>
      <c r="AE7" s="1611"/>
      <c r="AF7" s="1611"/>
      <c r="AG7" s="1611"/>
      <c r="AH7" s="1611"/>
      <c r="AI7" s="1611"/>
      <c r="AJ7" s="1612"/>
    </row>
    <row r="8" spans="1:36" ht="15">
      <c r="A8" s="3247"/>
      <c r="B8" s="198" t="s">
        <v>2841</v>
      </c>
      <c r="C8" s="2757"/>
      <c r="D8" s="920" t="s">
        <v>139</v>
      </c>
      <c r="E8" s="921" t="e">
        <f>ROUND(C11/E7,4)</f>
        <v>#DIV/0!</v>
      </c>
      <c r="F8" s="2758" t="s">
        <v>2842</v>
      </c>
      <c r="G8" s="2759"/>
      <c r="H8" s="2759"/>
      <c r="I8" s="2759"/>
      <c r="J8" s="2760"/>
      <c r="K8" s="1373"/>
      <c r="L8" s="2733" t="s">
        <v>2843</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7" t="s">
        <v>2844</v>
      </c>
      <c r="X8" s="3258"/>
      <c r="Y8" s="1613" t="s">
        <v>2845</v>
      </c>
      <c r="Z8" s="1613" t="s">
        <v>2846</v>
      </c>
      <c r="AA8" s="1613" t="s">
        <v>2847</v>
      </c>
      <c r="AB8" s="1613" t="s">
        <v>2848</v>
      </c>
      <c r="AC8" s="1613" t="s">
        <v>2849</v>
      </c>
      <c r="AD8" s="1613" t="s">
        <v>2850</v>
      </c>
      <c r="AE8" s="1613" t="s">
        <v>2851</v>
      </c>
      <c r="AF8" s="1613" t="s">
        <v>2852</v>
      </c>
      <c r="AG8" s="1613" t="s">
        <v>2853</v>
      </c>
      <c r="AH8" s="1613" t="s">
        <v>2854</v>
      </c>
      <c r="AI8" s="1613" t="s">
        <v>2855</v>
      </c>
      <c r="AJ8" s="1613" t="s">
        <v>2856</v>
      </c>
    </row>
    <row r="9" spans="1:36" ht="15">
      <c r="A9" s="3247"/>
      <c r="B9" s="198" t="s">
        <v>2857</v>
      </c>
      <c r="C9" s="922">
        <f>SUMIF(修正!C59:C119,C8,修正!E59:E119)</f>
        <v>0</v>
      </c>
      <c r="D9" s="200" t="s">
        <v>140</v>
      </c>
      <c r="E9" s="200" t="e">
        <f>ROUND(C11/E7,4)</f>
        <v>#DIV/0!</v>
      </c>
      <c r="F9" s="2758" t="s">
        <v>2858</v>
      </c>
      <c r="G9" s="2759"/>
      <c r="H9" s="2759"/>
      <c r="I9" s="2759"/>
      <c r="J9" s="2760"/>
      <c r="K9" s="1373"/>
      <c r="L9" s="2733" t="s">
        <v>2859</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9" t="s">
        <v>2860</v>
      </c>
      <c r="X9" s="1614" t="s">
        <v>2861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7"/>
      <c r="B10" s="198" t="s">
        <v>2862</v>
      </c>
      <c r="C10" s="200">
        <f>SUMIF(修正!C59:C119,C8,修正!F59:F119)</f>
        <v>0</v>
      </c>
      <c r="D10" s="200" t="s">
        <v>141</v>
      </c>
      <c r="E10" s="200" t="e">
        <f>ROUND(C11/E7,4)</f>
        <v>#DIV/0!</v>
      </c>
      <c r="F10" s="2758" t="s">
        <v>2863</v>
      </c>
      <c r="G10" s="2759"/>
      <c r="H10" s="2759"/>
      <c r="I10" s="2759"/>
      <c r="J10" s="2760"/>
      <c r="K10" s="1373"/>
      <c r="L10" s="2733" t="s">
        <v>2864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7"/>
      <c r="B11" s="2761" t="s">
        <v>2865</v>
      </c>
      <c r="C11" s="923">
        <f>C10/4</f>
        <v>0</v>
      </c>
      <c r="D11" s="923" t="s">
        <v>142</v>
      </c>
      <c r="E11" s="923" t="e">
        <f>ROUND(C11/E7,4)</f>
        <v>#DIV/0!</v>
      </c>
      <c r="F11" s="2762" t="s">
        <v>2866</v>
      </c>
      <c r="G11" s="2763"/>
      <c r="H11" s="2763"/>
      <c r="I11" s="2763"/>
      <c r="J11" s="2764"/>
      <c r="K11" s="1373"/>
      <c r="L11" s="2733" t="s">
        <v>2867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9" t="s">
        <v>2868</v>
      </c>
      <c r="X11" s="1617" t="s">
        <v>2869</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246" t="s">
        <v>2870</v>
      </c>
      <c r="B12" s="2765" t="s">
        <v>2871</v>
      </c>
      <c r="C12" s="919">
        <f>ROUND(C15*D15*E15*F15*G15*H15*I15*J15,4)</f>
        <v>1</v>
      </c>
      <c r="D12" s="2766" t="s">
        <v>2872</v>
      </c>
      <c r="E12" s="2767"/>
      <c r="F12" s="2767"/>
      <c r="G12" s="2768"/>
      <c r="H12" s="2768"/>
      <c r="I12" s="2768"/>
      <c r="J12" s="2769"/>
      <c r="K12" s="1373"/>
      <c r="L12" s="2770" t="s">
        <v>2873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9"/>
      <c r="X12" s="1619" t="s">
        <v>2874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71" t="s">
        <v>2875</v>
      </c>
      <c r="C13" s="2772" t="s">
        <v>2876</v>
      </c>
      <c r="D13" s="1811" t="s">
        <v>2877</v>
      </c>
      <c r="E13" s="1811" t="s">
        <v>2878</v>
      </c>
      <c r="F13" s="30" t="s">
        <v>2879</v>
      </c>
      <c r="G13" s="2773" t="s">
        <v>2880</v>
      </c>
      <c r="H13" s="2773" t="s">
        <v>2880</v>
      </c>
      <c r="I13" s="2773" t="s">
        <v>2880</v>
      </c>
      <c r="J13" s="2774" t="s">
        <v>2880</v>
      </c>
      <c r="K13" s="1373"/>
      <c r="L13" s="1373"/>
      <c r="M13" s="1373"/>
      <c r="N13" s="1373"/>
      <c r="O13" s="1373"/>
      <c r="P13" s="1373"/>
      <c r="Q13" s="1373"/>
      <c r="R13" s="1605">
        <v>12</v>
      </c>
      <c r="S13" s="1606"/>
      <c r="T13" s="1605" t="e">
        <f t="shared" si="0"/>
        <v>#DIV/0!</v>
      </c>
      <c r="U13" s="1606"/>
      <c r="V13" s="1605" t="e">
        <f t="shared" si="1"/>
        <v>#DIV/0!</v>
      </c>
      <c r="W13" s="3259"/>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264"/>
      <c r="B14" s="2775"/>
      <c r="C14" s="2776"/>
      <c r="D14" s="2777"/>
      <c r="E14" s="2777"/>
      <c r="F14" s="2778"/>
      <c r="G14" s="2779" t="s">
        <v>2881</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5"/>
      <c r="B15" s="2783" t="s">
        <v>2882</v>
      </c>
      <c r="C15" s="229">
        <f>IF(C14="有",1.1,1)</f>
        <v>1</v>
      </c>
      <c r="D15" s="229">
        <f>IF(D14="有",1.1,1)</f>
        <v>1</v>
      </c>
      <c r="E15" s="229">
        <f>IF(E14="有",1.1,1)</f>
        <v>1</v>
      </c>
      <c r="F15" s="229">
        <f>IF(F14="500米范围内",1.2,IF(F14="500-1000米",1.1,1))</f>
        <v>1</v>
      </c>
      <c r="G15" s="949">
        <v>1</v>
      </c>
      <c r="H15" s="949">
        <v>1</v>
      </c>
      <c r="I15" s="949">
        <v>1</v>
      </c>
      <c r="J15" s="950">
        <v>1</v>
      </c>
      <c r="K15" s="1373"/>
      <c r="L15" s="2784" t="s">
        <v>2818</v>
      </c>
      <c r="M15" s="920" t="s">
        <v>2883</v>
      </c>
      <c r="N15" s="920" t="s">
        <v>2884</v>
      </c>
      <c r="O15" s="920" t="s">
        <v>2885</v>
      </c>
      <c r="P15" s="2785" t="s">
        <v>2886</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6" t="s">
        <v>2887</v>
      </c>
      <c r="B16" s="2752" t="s">
        <v>2888</v>
      </c>
      <c r="C16" s="1804" t="e">
        <f>ROUND(SUM(G17:J17)/C17,0)</f>
        <v>#DIV/0!</v>
      </c>
      <c r="D16" s="2786" t="s">
        <v>2889</v>
      </c>
      <c r="E16" s="2787"/>
      <c r="F16" s="2788"/>
      <c r="G16" s="2789"/>
      <c r="H16" s="2789"/>
      <c r="I16" s="2789"/>
      <c r="J16" s="2790"/>
      <c r="K16" s="1373"/>
      <c r="L16" s="2791" t="s">
        <v>2890</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7"/>
      <c r="B17" s="2792" t="s">
        <v>2891</v>
      </c>
      <c r="C17" s="924">
        <f>SUMPRODUCT((修正!A2:A5=E2)*(修正!B1:M1=G2)*(修正!B2:M5))</f>
        <v>0</v>
      </c>
      <c r="D17" s="2793"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2895</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2896</v>
      </c>
      <c r="C19" s="927" t="e">
        <f>ROUND(IF(H19="按公示增长率计算",SUMPRODUCT((地价!A3:A22=YEAR(G19)&amp;"-"&amp;ROUNDUP(MONTH(G19)/3,0))*(地价!X2:AB2=E2)*(地价!X3:AB22)),IF(H19="地价指数",M20/M19,(1+I19)^O19)),4)</f>
        <v>#DIV/0!</v>
      </c>
      <c r="D19" s="2804" t="s">
        <v>2897</v>
      </c>
      <c r="E19" s="928">
        <v>41640</v>
      </c>
      <c r="F19" s="2804" t="s">
        <v>2898</v>
      </c>
      <c r="G19" s="929">
        <f>'数据-取费表'!B2</f>
        <v>43231</v>
      </c>
      <c r="H19" s="2805" t="s">
        <v>2899</v>
      </c>
      <c r="I19" s="930" t="str">
        <f>IF(H19="季度增幅（自定义）",SUMIF(N21:N24,E2,O21:O24),"")</f>
        <v/>
      </c>
      <c r="J19" s="2802"/>
      <c r="K19" s="1380"/>
      <c r="L19" s="2806" t="s">
        <v>2900</v>
      </c>
      <c r="M19" s="1737">
        <f>ROUND(SUMIF(地价!B2:F2,E2,地价!B22:F22),0)</f>
        <v>0</v>
      </c>
      <c r="N19" s="2807" t="s">
        <v>2901</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2902</v>
      </c>
      <c r="C20" s="932" t="e">
        <f>ROUND(POWER(1+G20,J20-I20)*(POWER(1+G20,I20)-1)/(POWER(1+G20,J20)-1),4)</f>
        <v>#DIV/0!</v>
      </c>
      <c r="D20" s="2813" t="s">
        <v>2903</v>
      </c>
      <c r="E20" s="1771">
        <f ca="1">存贷款利率!D4/100</f>
        <v>4.3499999999999997E-2</v>
      </c>
      <c r="F20" s="2813" t="s">
        <v>2894</v>
      </c>
      <c r="G20" s="937">
        <f>SUMIF(M15:P15,E2,M17:P17)</f>
        <v>0</v>
      </c>
      <c r="H20" s="2813" t="s">
        <v>2904</v>
      </c>
      <c r="I20" s="938" t="e">
        <f>SUMIF('数据-取费表'!C6:C15,E2,'数据-取费表'!F6:F15)/COUNTIF('数据-取费表'!C6:C15,E2)</f>
        <v>#DIV/0!</v>
      </c>
      <c r="J20" s="939">
        <f>IF(E2="住宅",70,IF(E2="商业",40,50))</f>
        <v>50</v>
      </c>
      <c r="K20" s="1380"/>
      <c r="L20" s="2814" t="s">
        <v>2905</v>
      </c>
      <c r="M20" s="1738">
        <f>ROUND(SUMPRODUCT((地价!A4:A22=YEAR(G19)&amp;"-"&amp;ROUNDUP(MONTH(G19)/3,0))*(地价!B2:F2=E2)*(地价!B4:F22)),0)</f>
        <v>0</v>
      </c>
      <c r="N20" s="2815" t="s">
        <v>2906</v>
      </c>
      <c r="O20" s="2816" t="s">
        <v>2907</v>
      </c>
      <c r="P20" s="2817" t="s">
        <v>2908</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2909</v>
      </c>
      <c r="C21" s="940">
        <f>IF(B21="容积率修正",IF(G3&lt;=10,D22,J22),C23)</f>
        <v>0</v>
      </c>
      <c r="D21" s="2820"/>
      <c r="E21" s="2820"/>
      <c r="F21" s="2820"/>
      <c r="G21" s="2820"/>
      <c r="H21" s="2820"/>
      <c r="I21" s="2820"/>
      <c r="J21" s="2821"/>
      <c r="K21" s="1380"/>
      <c r="N21" s="2822" t="s">
        <v>2910</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2911</v>
      </c>
      <c r="B22" s="2823" t="s">
        <v>2912</v>
      </c>
      <c r="C22" s="1813" t="s">
        <v>2913</v>
      </c>
      <c r="D22" s="1813" t="b">
        <f>IF(E22=G22,F22,IF(G3&lt;=10,ROUND(F22+(H22-F22)*(G3-E22)/(G22-E22),4),"——"))</f>
        <v>0</v>
      </c>
      <c r="E22" s="916">
        <f>ROUNDDOWN(G3,1)</f>
        <v>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2914</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2915</v>
      </c>
      <c r="B23" s="2824" t="s">
        <v>2916</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2917</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2918</v>
      </c>
      <c r="C24" s="927">
        <f>SUMIF(A45:A88,E2,B45:B88)</f>
        <v>0</v>
      </c>
      <c r="D24" s="2800"/>
      <c r="E24" s="2830"/>
      <c r="F24" s="2830"/>
      <c r="G24" s="2830"/>
      <c r="H24" s="2830"/>
      <c r="I24" s="2830"/>
      <c r="J24" s="2831"/>
      <c r="K24" s="1380"/>
      <c r="N24" s="2832" t="s">
        <v>2919</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2920</v>
      </c>
      <c r="C25" s="933"/>
      <c r="D25" s="2755"/>
      <c r="E25" s="2755"/>
      <c r="F25" s="2834"/>
      <c r="G25" s="2755"/>
      <c r="H25" s="2755"/>
      <c r="I25" s="2755"/>
      <c r="J25" s="2756"/>
      <c r="K25" s="1373"/>
      <c r="N25" s="2835" t="s">
        <v>2921</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2922</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2923</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2924</v>
      </c>
      <c r="C28" s="2847" t="s">
        <v>2925</v>
      </c>
      <c r="D28" s="2847" t="s">
        <v>2926</v>
      </c>
      <c r="E28" s="2848" t="s">
        <v>2927</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2928</v>
      </c>
      <c r="C29" s="206" t="e">
        <f>ROUND(C5*C18*C19*C20*C21*C24,0)</f>
        <v>#DIV/0!</v>
      </c>
      <c r="D29" s="2852"/>
      <c r="E29" s="945" t="e">
        <f>ROUND(C29*D29/10000,0)</f>
        <v>#DIV/0!</v>
      </c>
      <c r="F29" s="2853" t="s">
        <v>2929</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2930</v>
      </c>
      <c r="C30" s="229" t="e">
        <f>ROUND(IF(E2="工业",C29*M39,C29*M38),0)</f>
        <v>#DIV/0!</v>
      </c>
      <c r="D30" s="2858"/>
      <c r="E30" s="945" t="e">
        <f>ROUND(C30*D30/10000,0)</f>
        <v>#DIV/0!</v>
      </c>
      <c r="F30" s="2859" t="s">
        <v>2931</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2932</v>
      </c>
      <c r="C31" s="2864" t="s">
        <v>2933</v>
      </c>
      <c r="D31" s="2768"/>
      <c r="E31" s="2864"/>
      <c r="F31" s="2864"/>
      <c r="G31" s="2766" t="s">
        <v>2934</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2925</v>
      </c>
      <c r="D32" s="498" t="s">
        <v>2926</v>
      </c>
      <c r="E32" s="498" t="s">
        <v>2927</v>
      </c>
      <c r="F32" s="388" t="s">
        <v>2935</v>
      </c>
      <c r="G32" s="2867" t="s">
        <v>2925</v>
      </c>
      <c r="H32" s="2867" t="s">
        <v>2926</v>
      </c>
      <c r="I32" s="2867"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54" t="s">
        <v>2936</v>
      </c>
      <c r="B33" s="2868" t="s">
        <v>2937</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5"/>
      <c r="B34" s="2772" t="s">
        <v>2938</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5"/>
      <c r="B35" s="2772" t="s">
        <v>2939</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56"/>
      <c r="B36" s="2772" t="s">
        <v>2940</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2941</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3"/>
      <c r="L37" s="2871" t="s">
        <v>2942</v>
      </c>
      <c r="M37" s="2872"/>
      <c r="N37" s="1373"/>
      <c r="O37" s="1373"/>
      <c r="P37" s="1373"/>
      <c r="Q37" s="1373"/>
      <c r="R37" s="1373"/>
      <c r="S37" s="1373"/>
      <c r="T37" s="1373"/>
      <c r="U37" s="1373"/>
      <c r="V37" s="1373"/>
      <c r="W37" s="1373"/>
      <c r="X37" s="1373"/>
      <c r="Y37" s="1373"/>
      <c r="Z37" s="1374"/>
    </row>
    <row r="38" spans="1:37">
      <c r="A38" s="2870"/>
      <c r="B38" s="2772" t="s">
        <v>2943</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3"/>
      <c r="L38" s="1890" t="s">
        <v>2944</v>
      </c>
      <c r="M38" s="2873">
        <v>0.25</v>
      </c>
      <c r="N38" s="1373"/>
      <c r="O38" s="1373"/>
      <c r="P38" s="1373"/>
      <c r="Q38" s="1373"/>
      <c r="R38" s="1373"/>
      <c r="S38" s="1373"/>
      <c r="T38" s="1373"/>
      <c r="U38" s="1373"/>
      <c r="V38" s="1373"/>
      <c r="W38" s="1373"/>
      <c r="X38" s="1373"/>
      <c r="Y38" s="1373"/>
      <c r="Z38" s="1374"/>
    </row>
    <row r="39" spans="1:37" ht="13.5" thickBot="1">
      <c r="A39" s="2856"/>
      <c r="B39" s="2874" t="s">
        <v>2945</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3"/>
      <c r="L39" s="2876" t="s">
        <v>2886</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2946</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2947</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2948</v>
      </c>
      <c r="B47" s="1812" t="s">
        <v>2949</v>
      </c>
      <c r="C47" s="1812" t="s">
        <v>2950</v>
      </c>
      <c r="D47" s="1812" t="s">
        <v>2951</v>
      </c>
      <c r="E47" s="819" t="s">
        <v>2952</v>
      </c>
      <c r="F47" s="2886" t="s">
        <v>2953</v>
      </c>
      <c r="G47" s="1812" t="s">
        <v>754</v>
      </c>
      <c r="H47" s="2887" t="s">
        <v>2954</v>
      </c>
      <c r="I47" s="1812" t="s">
        <v>2955</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85" t="s">
        <v>2956</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2957</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2958</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2959</v>
      </c>
      <c r="B51" s="2890" t="s">
        <v>2960</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2961</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2962</v>
      </c>
      <c r="B53" s="2891" t="s">
        <v>2963</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2964</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2965</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2966</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2967</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2948</v>
      </c>
      <c r="B58" s="1812"/>
      <c r="C58" s="1812" t="s">
        <v>2950</v>
      </c>
      <c r="D58" s="1812" t="s">
        <v>2951</v>
      </c>
      <c r="E58" s="819" t="s">
        <v>2952</v>
      </c>
      <c r="F58" s="2886" t="s">
        <v>2968</v>
      </c>
      <c r="G58" s="1812" t="s">
        <v>754</v>
      </c>
      <c r="H58" s="2887" t="s">
        <v>2954</v>
      </c>
      <c r="I58" s="1812" t="s">
        <v>2955</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85" t="s">
        <v>2969</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2957</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2958</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2959</v>
      </c>
      <c r="B62" s="2890" t="s">
        <v>2960</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2961</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2962</v>
      </c>
      <c r="B64" s="2891" t="s">
        <v>2963</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2964</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2965</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2966</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2970</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2948</v>
      </c>
      <c r="B69" s="1812"/>
      <c r="C69" s="1812" t="s">
        <v>2950</v>
      </c>
      <c r="D69" s="1812" t="s">
        <v>2951</v>
      </c>
      <c r="E69" s="819" t="s">
        <v>2952</v>
      </c>
      <c r="F69" s="2886" t="s">
        <v>2968</v>
      </c>
      <c r="G69" s="1812" t="s">
        <v>754</v>
      </c>
      <c r="H69" s="2887" t="s">
        <v>2954</v>
      </c>
      <c r="I69" s="1812" t="s">
        <v>2955</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85" t="s">
        <v>2971</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2957</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2958</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2972</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2964</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2965</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2962</v>
      </c>
      <c r="B76" s="2891" t="s">
        <v>2963</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2966</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2973</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2974</v>
      </c>
      <c r="B79" s="2882">
        <f>1+E81</f>
        <v>1</v>
      </c>
      <c r="C79" s="814"/>
      <c r="D79" s="814"/>
      <c r="E79" s="815"/>
      <c r="F79" s="2884"/>
      <c r="G79" s="6"/>
      <c r="H79" s="6"/>
      <c r="I79" s="6"/>
      <c r="J79" s="7"/>
      <c r="K79" s="7"/>
      <c r="L79" s="7"/>
      <c r="M79" s="7"/>
      <c r="N79" s="7"/>
      <c r="Z79" s="2727"/>
      <c r="AA79" s="2803"/>
      <c r="AG79" s="1375"/>
      <c r="AK79" s="2803"/>
    </row>
    <row r="80" spans="1:37" ht="24.75">
      <c r="A80" s="2885" t="s">
        <v>2948</v>
      </c>
      <c r="B80" s="1812"/>
      <c r="C80" s="1812" t="s">
        <v>2950</v>
      </c>
      <c r="D80" s="1812" t="s">
        <v>2951</v>
      </c>
      <c r="E80" s="819" t="s">
        <v>2952</v>
      </c>
      <c r="F80" s="2886" t="s">
        <v>2968</v>
      </c>
      <c r="G80" s="1812" t="s">
        <v>754</v>
      </c>
      <c r="H80" s="2887" t="s">
        <v>2954</v>
      </c>
      <c r="I80" s="1812" t="s">
        <v>2955</v>
      </c>
      <c r="J80" s="603" t="s">
        <v>2601</v>
      </c>
      <c r="K80" s="603" t="s">
        <v>2602</v>
      </c>
      <c r="L80" s="603" t="s">
        <v>2603</v>
      </c>
      <c r="M80" s="603" t="s">
        <v>2604</v>
      </c>
      <c r="N80" s="603" t="s">
        <v>2605</v>
      </c>
      <c r="Z80" s="2727"/>
      <c r="AA80" s="2803"/>
      <c r="AG80" s="1375"/>
      <c r="AK80" s="2803"/>
    </row>
    <row r="81" spans="1:37" ht="38.25">
      <c r="A81" s="2885" t="s">
        <v>2975</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2957</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2958</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2972</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2964</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2965</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2962</v>
      </c>
      <c r="B87" s="2891" t="s">
        <v>2976</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2977</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48" t="s">
        <v>2978</v>
      </c>
      <c r="B90" s="3248"/>
      <c r="C90" s="3248"/>
      <c r="D90" s="3248"/>
      <c r="E90" s="3248"/>
      <c r="F90" s="3248"/>
      <c r="G90" s="3248"/>
      <c r="H90" s="3248"/>
      <c r="I90" s="3248"/>
      <c r="J90" s="3248"/>
      <c r="K90" s="2899"/>
      <c r="L90" s="2899"/>
      <c r="M90" s="2899"/>
      <c r="N90" s="2899"/>
    </row>
    <row r="91" spans="1:37">
      <c r="A91" s="3250" t="s">
        <v>2979</v>
      </c>
      <c r="B91" s="3250" t="s">
        <v>2980</v>
      </c>
      <c r="C91" s="2853" t="s">
        <v>2981</v>
      </c>
      <c r="D91" s="2854"/>
      <c r="E91" s="2854"/>
      <c r="F91" s="2854"/>
      <c r="G91" s="2854"/>
      <c r="H91" s="2854"/>
      <c r="I91" s="2854"/>
      <c r="J91" s="2900"/>
      <c r="K91" s="2901"/>
      <c r="L91" s="2901"/>
      <c r="M91" s="2901"/>
      <c r="N91" s="2901"/>
    </row>
    <row r="92" spans="1:37">
      <c r="A92" s="3250"/>
      <c r="B92" s="3250"/>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51" t="s">
        <v>2982</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52"/>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52"/>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52"/>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52"/>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52"/>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52"/>
      <c r="B99" s="2902" t="s">
        <v>2861</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53"/>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51" t="s">
        <v>2983</v>
      </c>
      <c r="B101" s="2906" t="s">
        <v>2984</v>
      </c>
      <c r="C101" s="2907">
        <f>$G$3</f>
        <v>1</v>
      </c>
      <c r="D101" s="2907">
        <f t="shared" ref="D101:N101" si="31">$G$3</f>
        <v>1</v>
      </c>
      <c r="E101" s="2907">
        <f t="shared" si="31"/>
        <v>1</v>
      </c>
      <c r="F101" s="2907">
        <f t="shared" si="31"/>
        <v>1</v>
      </c>
      <c r="G101" s="2907">
        <f t="shared" si="31"/>
        <v>1</v>
      </c>
      <c r="H101" s="2907">
        <f t="shared" si="31"/>
        <v>1</v>
      </c>
      <c r="I101" s="2907">
        <f t="shared" si="31"/>
        <v>1</v>
      </c>
      <c r="J101" s="2907">
        <f t="shared" si="31"/>
        <v>1</v>
      </c>
      <c r="K101" s="2907">
        <f t="shared" si="31"/>
        <v>1</v>
      </c>
      <c r="L101" s="2907">
        <f t="shared" si="31"/>
        <v>1</v>
      </c>
      <c r="M101" s="2907">
        <f t="shared" si="31"/>
        <v>1</v>
      </c>
      <c r="N101" s="2907">
        <f t="shared" si="31"/>
        <v>1</v>
      </c>
    </row>
    <row r="102" spans="1:14">
      <c r="A102" s="3252"/>
      <c r="B102" s="2902">
        <v>1</v>
      </c>
      <c r="C102" s="2903">
        <f>1.9362/C101</f>
        <v>1.9361999999999999</v>
      </c>
      <c r="D102" s="2903">
        <f>1.9362/D101</f>
        <v>1.9361999999999999</v>
      </c>
      <c r="E102" s="2903">
        <f>1.8629/E101</f>
        <v>1.8629</v>
      </c>
      <c r="F102" s="2903">
        <f>1.8629/F101</f>
        <v>1.8629</v>
      </c>
      <c r="G102" s="2903">
        <f>1.8629/G101</f>
        <v>1.8629</v>
      </c>
      <c r="H102" s="2903">
        <f>1.8629/H101</f>
        <v>1.8629</v>
      </c>
      <c r="I102" s="2903">
        <f>1.8629/I101</f>
        <v>1.8629</v>
      </c>
      <c r="J102" s="2903">
        <f>1.942/J101</f>
        <v>1.9419999999999999</v>
      </c>
      <c r="K102" s="2903">
        <f>1.942/K101</f>
        <v>1.9419999999999999</v>
      </c>
      <c r="L102" s="2903">
        <f>1.942/L101</f>
        <v>1.9419999999999999</v>
      </c>
      <c r="M102" s="2903">
        <f>1.942/M101</f>
        <v>1.9419999999999999</v>
      </c>
      <c r="N102" s="2903">
        <f>1.942/N101</f>
        <v>1.9419999999999999</v>
      </c>
    </row>
    <row r="103" spans="1:14">
      <c r="A103" s="3252"/>
      <c r="B103" s="2902">
        <v>2</v>
      </c>
      <c r="C103" s="2903">
        <f>1.4198/C101</f>
        <v>1.4198</v>
      </c>
      <c r="D103" s="2903">
        <f>1.4198/D101</f>
        <v>1.4198</v>
      </c>
      <c r="E103" s="2903">
        <f>1.3372/E101</f>
        <v>1.3371999999999999</v>
      </c>
      <c r="F103" s="2903">
        <f>1.3372/F101</f>
        <v>1.3371999999999999</v>
      </c>
      <c r="G103" s="2903">
        <f>1.3372/G101</f>
        <v>1.3371999999999999</v>
      </c>
      <c r="H103" s="2903">
        <f>1.3372/H101</f>
        <v>1.3371999999999999</v>
      </c>
      <c r="I103" s="2903">
        <f>1.3372/I101</f>
        <v>1.3371999999999999</v>
      </c>
      <c r="J103" s="2903">
        <f>1.2799/J101</f>
        <v>1.2799</v>
      </c>
      <c r="K103" s="2903">
        <f>1.2799/K101</f>
        <v>1.2799</v>
      </c>
      <c r="L103" s="2903">
        <f>1.2799/L101</f>
        <v>1.2799</v>
      </c>
      <c r="M103" s="2903">
        <f>1.2799/M101</f>
        <v>1.2799</v>
      </c>
      <c r="N103" s="2903">
        <f>1.2799/N101</f>
        <v>1.2799</v>
      </c>
    </row>
    <row r="104" spans="1:14">
      <c r="A104" s="3252"/>
      <c r="B104" s="2902">
        <v>3</v>
      </c>
      <c r="C104" s="2903">
        <f>1.1594/C101</f>
        <v>1.1594</v>
      </c>
      <c r="D104" s="2903">
        <f>1.1594/D101</f>
        <v>1.1594</v>
      </c>
      <c r="E104" s="2903">
        <f>1.0788/E101</f>
        <v>1.0788</v>
      </c>
      <c r="F104" s="2903">
        <f>1.0788/F101</f>
        <v>1.0788</v>
      </c>
      <c r="G104" s="2903">
        <f>1.0788/G101</f>
        <v>1.0788</v>
      </c>
      <c r="H104" s="2903">
        <f>1.0788/H101</f>
        <v>1.0788</v>
      </c>
      <c r="I104" s="2903">
        <f>1.0788/I101</f>
        <v>1.0788</v>
      </c>
      <c r="J104" s="2903">
        <f>1.0072/J101</f>
        <v>1.0072000000000001</v>
      </c>
      <c r="K104" s="2903">
        <f>1.0072/K101</f>
        <v>1.0072000000000001</v>
      </c>
      <c r="L104" s="2903">
        <f>1.0072/L101</f>
        <v>1.0072000000000001</v>
      </c>
      <c r="M104" s="2903">
        <f>1.0072/M101</f>
        <v>1.0072000000000001</v>
      </c>
      <c r="N104" s="2903">
        <f>1.0072/N101</f>
        <v>1.0072000000000001</v>
      </c>
    </row>
    <row r="105" spans="1:14">
      <c r="A105" s="3252"/>
      <c r="B105" s="2902">
        <v>4</v>
      </c>
      <c r="C105" s="2903">
        <f>0.9622/C101</f>
        <v>0.96220000000000006</v>
      </c>
      <c r="D105" s="2903">
        <f>0.9622/D101</f>
        <v>0.96220000000000006</v>
      </c>
      <c r="E105" s="2903">
        <f>0.8656/E101</f>
        <v>0.86560000000000004</v>
      </c>
      <c r="F105" s="2903">
        <f>0.8656/F101</f>
        <v>0.86560000000000004</v>
      </c>
      <c r="G105" s="2903">
        <f>0.8656/G101</f>
        <v>0.86560000000000004</v>
      </c>
      <c r="H105" s="2903">
        <f>0.8656/H101</f>
        <v>0.86560000000000004</v>
      </c>
      <c r="I105" s="2903">
        <f>0.8656/I101</f>
        <v>0.86560000000000004</v>
      </c>
      <c r="J105" s="2903">
        <f>0.7525/J101</f>
        <v>0.75249999999999995</v>
      </c>
      <c r="K105" s="2903">
        <f>0.7525/K101</f>
        <v>0.75249999999999995</v>
      </c>
      <c r="L105" s="2903">
        <f>0.7525/L101</f>
        <v>0.75249999999999995</v>
      </c>
      <c r="M105" s="2903">
        <f>0.7525/M101</f>
        <v>0.75249999999999995</v>
      </c>
      <c r="N105" s="2903">
        <f>0.7525/N101</f>
        <v>0.75249999999999995</v>
      </c>
    </row>
    <row r="106" spans="1:14">
      <c r="A106" s="3252"/>
      <c r="B106" s="2902">
        <v>5</v>
      </c>
      <c r="C106" s="2903">
        <f>0.8417/C101</f>
        <v>0.8417</v>
      </c>
      <c r="D106" s="2903">
        <f>0.8417/D101</f>
        <v>0.8417</v>
      </c>
      <c r="E106" s="2903">
        <f>0.7371/E101</f>
        <v>0.73709999999999998</v>
      </c>
      <c r="F106" s="2903">
        <f>0.7371/F101</f>
        <v>0.73709999999999998</v>
      </c>
      <c r="G106" s="2903">
        <f>0.7371/G101</f>
        <v>0.73709999999999998</v>
      </c>
      <c r="H106" s="2903">
        <f>0.7371/H101</f>
        <v>0.73709999999999998</v>
      </c>
      <c r="I106" s="2903">
        <f>0.7371/I101</f>
        <v>0.73709999999999998</v>
      </c>
      <c r="J106" s="2903">
        <f>0.5659/J101</f>
        <v>0.56589999999999996</v>
      </c>
      <c r="K106" s="2903">
        <f>0.5659/K101</f>
        <v>0.56589999999999996</v>
      </c>
      <c r="L106" s="2903">
        <f>0.5659/L101</f>
        <v>0.56589999999999996</v>
      </c>
      <c r="M106" s="2903">
        <f>0.5659/M101</f>
        <v>0.56589999999999996</v>
      </c>
      <c r="N106" s="2903">
        <f>0.5659/N101</f>
        <v>0.56589999999999996</v>
      </c>
    </row>
    <row r="107" spans="1:14">
      <c r="A107" s="3252"/>
      <c r="B107" s="2902">
        <v>6</v>
      </c>
      <c r="C107" s="2903">
        <f>0.7608/C101</f>
        <v>0.76080000000000003</v>
      </c>
      <c r="D107" s="2903">
        <f>0.7608/D101</f>
        <v>0.76080000000000003</v>
      </c>
      <c r="E107" s="2903">
        <f>0.6482/E101</f>
        <v>0.6482</v>
      </c>
      <c r="F107" s="2903">
        <f>0.6482/F101</f>
        <v>0.6482</v>
      </c>
      <c r="G107" s="2903">
        <f>0.6482/G101</f>
        <v>0.6482</v>
      </c>
      <c r="H107" s="2903">
        <f>0.6482/H101</f>
        <v>0.6482</v>
      </c>
      <c r="I107" s="2903">
        <f>0.6482/I101</f>
        <v>0.6482</v>
      </c>
      <c r="J107" s="2903">
        <f>0.4525/J101</f>
        <v>0.45250000000000001</v>
      </c>
      <c r="K107" s="2903">
        <f>0.4525/K101</f>
        <v>0.45250000000000001</v>
      </c>
      <c r="L107" s="2903">
        <f>0.4525/L101</f>
        <v>0.45250000000000001</v>
      </c>
      <c r="M107" s="2903">
        <f>0.4525/M101</f>
        <v>0.45250000000000001</v>
      </c>
      <c r="N107" s="2903">
        <f>0.4525/N101</f>
        <v>0.45250000000000001</v>
      </c>
    </row>
    <row r="108" spans="1:14">
      <c r="A108" s="3252"/>
      <c r="B108" s="3080" t="s">
        <v>2985</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53"/>
      <c r="B109" s="3081"/>
      <c r="C109" s="2905">
        <f>(-0.163*(C108^2)-0.59*C108+7617)*(10^(-4))/C101</f>
        <v>0.76170000000000004</v>
      </c>
      <c r="D109" s="2905">
        <f>(-0.163*(D108^2)-0.59*D108+7617)*(10^(-4))/D101</f>
        <v>0.76170000000000004</v>
      </c>
      <c r="E109" s="2905">
        <f>(-0.161*(E108^2)-7.509*E108+6533)*(10^(-4))/E101</f>
        <v>0.65329999999999999</v>
      </c>
      <c r="F109" s="2905">
        <f>(-0.161*(F108^2)-7.509*F108+6533)*(10^(-4))/F101</f>
        <v>0.65329999999999999</v>
      </c>
      <c r="G109" s="2905">
        <f>(-0.161*(G108^2)-7.509*G108+6533)*(10^(-4))/G101</f>
        <v>0.65329999999999999</v>
      </c>
      <c r="H109" s="2905">
        <f>(-0.161*(H108^2)-7.509*H108+6533)*(10^(-4))/H101</f>
        <v>0.65329999999999999</v>
      </c>
      <c r="I109" s="2905">
        <f>(-0.161*(I108^2)-7.509*I108+6533)*(10^(-4))/I101</f>
        <v>0.65329999999999999</v>
      </c>
      <c r="J109" s="2905">
        <f>(-0.214*(J108^2)-21.991*J108+4665)*(10^(-4))/J101</f>
        <v>0.46650000000000003</v>
      </c>
      <c r="K109" s="2905">
        <f>(-0.214*(K108^2)-21.991*K108+4665)*(10^(-4))/K101</f>
        <v>0.46650000000000003</v>
      </c>
      <c r="L109" s="2905">
        <f>(-0.214*(L108^2)-21.991*L108+4665)*(10^(-4))/L101</f>
        <v>0.46650000000000003</v>
      </c>
      <c r="M109" s="2905">
        <f>(-0.214*(M108^2)-21.991*M108+4665)*(10^(-4))/M101</f>
        <v>0.46650000000000003</v>
      </c>
      <c r="N109" s="2905">
        <f>(-0.214*(N108^2)-21.991*N108+4665)*(10^(-4))/N101</f>
        <v>0.46650000000000003</v>
      </c>
    </row>
    <row r="110" spans="1:14">
      <c r="A110" s="3249" t="s">
        <v>2986</v>
      </c>
      <c r="B110" s="3249"/>
      <c r="C110" s="3249"/>
      <c r="D110" s="3249"/>
      <c r="E110" s="3249"/>
      <c r="F110" s="3249"/>
      <c r="G110" s="3249"/>
      <c r="H110" s="3249"/>
      <c r="I110" s="3249"/>
      <c r="J110" s="3249"/>
      <c r="K110" s="2908"/>
      <c r="L110" s="2908"/>
      <c r="M110" s="2908"/>
      <c r="N110" s="2908"/>
    </row>
    <row r="112" spans="1:14" ht="13.5" thickBot="1"/>
    <row r="113" spans="1:13" ht="25.5" thickBot="1">
      <c r="A113" s="903" t="s">
        <v>2987</v>
      </c>
      <c r="B113" s="1290">
        <f>G3</f>
        <v>1</v>
      </c>
      <c r="C113" s="904" t="s">
        <v>2988</v>
      </c>
      <c r="D113" s="905">
        <f>SUMPRODUCT((A115:A118=F113)*(B114:M114=H113)*B115:M118)</f>
        <v>0</v>
      </c>
      <c r="E113" s="2731" t="s">
        <v>2818</v>
      </c>
      <c r="F113" s="2910">
        <f>E2</f>
        <v>0</v>
      </c>
      <c r="G113" s="2731" t="s">
        <v>2819</v>
      </c>
      <c r="H113" s="2910">
        <f>G2</f>
        <v>0</v>
      </c>
      <c r="I113" s="2731"/>
      <c r="J113" s="2911"/>
      <c r="K113" s="2911"/>
      <c r="L113" s="2911"/>
      <c r="M113" s="2911"/>
    </row>
    <row r="114" spans="1:13">
      <c r="A114" s="908"/>
      <c r="B114" s="2912" t="s">
        <v>2989</v>
      </c>
      <c r="C114" s="2912" t="s">
        <v>2990</v>
      </c>
      <c r="D114" s="2912" t="s">
        <v>2991</v>
      </c>
      <c r="E114" s="2913" t="s">
        <v>2992</v>
      </c>
      <c r="F114" s="2913" t="s">
        <v>2993</v>
      </c>
      <c r="G114" s="2913" t="s">
        <v>2994</v>
      </c>
      <c r="H114" s="2914" t="s">
        <v>2995</v>
      </c>
      <c r="I114" s="2914" t="s">
        <v>2996</v>
      </c>
      <c r="J114" s="2915" t="s">
        <v>2997</v>
      </c>
      <c r="K114" s="2915" t="s">
        <v>2998</v>
      </c>
      <c r="L114" s="2915" t="s">
        <v>2999</v>
      </c>
      <c r="M114" s="2916" t="s">
        <v>3000</v>
      </c>
    </row>
    <row r="115" spans="1:13">
      <c r="A115" s="909" t="s">
        <v>2883</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2884</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2885</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2886</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3009</v>
      </c>
    </row>
    <row r="2" spans="1:5" ht="15.75">
      <c r="A2" s="2917" t="s">
        <v>3001</v>
      </c>
      <c r="B2" s="2918" t="e">
        <f ca="1">SUMIF(B6:B13,"&lt;&gt;#ref!",B6:B13)</f>
        <v>#DIV/0!</v>
      </c>
      <c r="C2" s="2917" t="s">
        <v>3002</v>
      </c>
      <c r="D2" s="2917" t="s">
        <v>3003</v>
      </c>
      <c r="E2" s="2918" t="e">
        <f ca="1">SUM(E6:E13)</f>
        <v>#REF!</v>
      </c>
    </row>
    <row r="3" spans="1:5" ht="15.75">
      <c r="A3" s="2917" t="s">
        <v>3004</v>
      </c>
      <c r="B3" s="2918" t="e">
        <f ca="1">ROUND(B2*10000/E2,0)</f>
        <v>#DIV/0!</v>
      </c>
      <c r="C3" s="2917" t="s">
        <v>3010</v>
      </c>
      <c r="D3" s="2919"/>
      <c r="E3" s="2919"/>
    </row>
    <row r="4" spans="1:5" ht="15.75">
      <c r="A4" s="2920"/>
      <c r="B4" s="2919"/>
      <c r="C4" s="2919"/>
      <c r="D4" s="2919"/>
      <c r="E4" s="2919"/>
    </row>
    <row r="5" spans="1:5" ht="28.5">
      <c r="A5" s="2921" t="s">
        <v>3005</v>
      </c>
      <c r="B5" s="2917" t="s">
        <v>3006</v>
      </c>
      <c r="C5" s="2918"/>
      <c r="D5" s="2919"/>
      <c r="E5" s="2917" t="s">
        <v>3007</v>
      </c>
    </row>
    <row r="6" spans="1:5" ht="15.75">
      <c r="A6" s="2922" t="s">
        <v>3008</v>
      </c>
      <c r="B6" s="2918" t="e">
        <f ca="1">SUMIF(INDIRECT("'"&amp;A6&amp;"'"&amp;"!A:A"),"总价",INDIRECT("'"&amp;A6&amp;"'"&amp;"!B:B"))</f>
        <v>#DIV/0!</v>
      </c>
      <c r="C6" s="2917" t="s">
        <v>3002</v>
      </c>
      <c r="D6" s="2919"/>
      <c r="E6" s="2582">
        <f ca="1">SUMIF(INDIRECT("'"&amp;A6&amp;"'"&amp;"!C:C"),"建筑面积",INDIRECT("'"&amp;A6&amp;"'"&amp;"!D:D"))</f>
        <v>0</v>
      </c>
    </row>
    <row r="7" spans="1:5" ht="15.75">
      <c r="A7" s="2922"/>
      <c r="B7" s="2918" t="e">
        <f ca="1">SUMIF(INDIRECT("'"&amp;A7&amp;"'"&amp;"!A:A"),"总价",INDIRECT("'"&amp;A7&amp;"'"&amp;"!B:B"))</f>
        <v>#REF!</v>
      </c>
      <c r="C7" s="2917" t="s">
        <v>3002</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3002</v>
      </c>
      <c r="D8" s="2919"/>
      <c r="E8" s="2582" t="e">
        <f t="shared" ca="1" si="0"/>
        <v>#REF!</v>
      </c>
    </row>
    <row r="9" spans="1:5" ht="15.75">
      <c r="A9" s="2922"/>
      <c r="B9" s="2918" t="e">
        <f t="shared" ca="1" si="1"/>
        <v>#REF!</v>
      </c>
      <c r="C9" s="2917" t="s">
        <v>3002</v>
      </c>
      <c r="D9" s="2919"/>
      <c r="E9" s="2582" t="e">
        <f t="shared" ca="1" si="0"/>
        <v>#REF!</v>
      </c>
    </row>
    <row r="10" spans="1:5" ht="15.75">
      <c r="A10" s="2922"/>
      <c r="B10" s="2918" t="e">
        <f t="shared" ca="1" si="1"/>
        <v>#REF!</v>
      </c>
      <c r="C10" s="2917" t="s">
        <v>3002</v>
      </c>
      <c r="D10" s="2919"/>
      <c r="E10" s="2582" t="e">
        <f t="shared" ca="1" si="0"/>
        <v>#REF!</v>
      </c>
    </row>
    <row r="11" spans="1:5" ht="15.75">
      <c r="A11" s="2922"/>
      <c r="B11" s="2918" t="e">
        <f t="shared" ca="1" si="1"/>
        <v>#REF!</v>
      </c>
      <c r="C11" s="2917" t="s">
        <v>3002</v>
      </c>
      <c r="D11" s="2919"/>
      <c r="E11" s="2582" t="e">
        <f t="shared" ca="1" si="0"/>
        <v>#REF!</v>
      </c>
    </row>
    <row r="12" spans="1:5" ht="15.75">
      <c r="A12" s="2922"/>
      <c r="B12" s="2918" t="e">
        <f t="shared" ca="1" si="1"/>
        <v>#REF!</v>
      </c>
      <c r="C12" s="2917" t="s">
        <v>3002</v>
      </c>
      <c r="D12" s="2919"/>
      <c r="E12" s="2582" t="e">
        <f t="shared" ca="1" si="0"/>
        <v>#REF!</v>
      </c>
    </row>
    <row r="13" spans="1:5" ht="15.75">
      <c r="A13" s="2922"/>
      <c r="B13" s="2918" t="e">
        <f t="shared" ca="1" si="1"/>
        <v>#REF!</v>
      </c>
      <c r="C13" s="2917" t="s">
        <v>3002</v>
      </c>
      <c r="D13" s="2919"/>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1150</v>
      </c>
      <c r="C1" s="3272"/>
      <c r="D1" s="3272"/>
      <c r="E1" s="3272"/>
      <c r="F1" s="3272"/>
      <c r="G1" s="3268" t="s">
        <v>1151</v>
      </c>
      <c r="H1" s="3268"/>
      <c r="I1" s="3268"/>
      <c r="J1" s="3268"/>
      <c r="K1" s="3268"/>
      <c r="L1" s="3268"/>
      <c r="N1" s="3268" t="s">
        <v>1152</v>
      </c>
      <c r="O1" s="3268"/>
      <c r="P1" s="3268"/>
      <c r="Q1" s="3268"/>
      <c r="R1" s="1449"/>
      <c r="S1" s="3268" t="s">
        <v>1153</v>
      </c>
      <c r="T1" s="3268"/>
      <c r="U1" s="3268"/>
      <c r="V1" s="3268"/>
      <c r="X1" s="3267" t="s">
        <v>1154</v>
      </c>
      <c r="Y1" s="3268"/>
      <c r="Z1" s="3268"/>
      <c r="AA1" s="3268"/>
      <c r="AB1" s="3268"/>
      <c r="AD1" s="3267" t="s">
        <v>1155</v>
      </c>
      <c r="AE1" s="3268"/>
      <c r="AF1" s="3268"/>
      <c r="AG1" s="3268"/>
      <c r="AH1" s="326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3044</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3045</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3043</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3040</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3041</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73">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0"/>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0"/>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1"/>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69">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0"/>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0"/>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1"/>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69">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0"/>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0"/>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1"/>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74">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75"/>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75"/>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76"/>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69">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0"/>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0"/>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1"/>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69">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0">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0">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1">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69">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0">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0">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1">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69">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0">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0">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1">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69">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0">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0">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1">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69">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0">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0">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1">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69">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0">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0">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1">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69">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0">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0">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1">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69">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0">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0">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1">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69">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0">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0">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1">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69">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0">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0">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1">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1630</v>
      </c>
      <c r="C4" s="2964"/>
      <c r="D4" s="2964"/>
      <c r="E4" s="1964"/>
    </row>
    <row r="5" spans="1:5" ht="16.5" thickTop="1">
      <c r="A5" s="1962"/>
      <c r="B5" s="2962" t="s">
        <v>1622</v>
      </c>
      <c r="C5" s="1965" t="s">
        <v>1623</v>
      </c>
      <c r="D5" s="1043">
        <f ca="1">结果表!H101</f>
        <v>423031</v>
      </c>
      <c r="E5" s="1962"/>
    </row>
    <row r="6" spans="1:5" ht="15.75">
      <c r="A6" s="1962"/>
      <c r="B6" s="2962"/>
      <c r="C6" s="1965" t="s">
        <v>1624</v>
      </c>
      <c r="D6" s="1043" t="str">
        <f ca="1">NUMBERSTRING(INT(D5*10000),2)&amp;"元整"</f>
        <v>肆拾贰亿叁仟零叁拾壹万元整</v>
      </c>
      <c r="E6" s="1962"/>
    </row>
    <row r="7" spans="1:5" ht="15.75">
      <c r="A7" s="1962"/>
      <c r="B7" s="2967"/>
      <c r="C7" s="1966" t="s">
        <v>1625</v>
      </c>
      <c r="D7" s="1044">
        <f ca="1">结果表!H102</f>
        <v>423031</v>
      </c>
      <c r="E7" s="1962"/>
    </row>
    <row r="8" spans="1:5" ht="15.75">
      <c r="A8" s="1962"/>
      <c r="B8" s="2968" t="str">
        <f>结果表!E103</f>
        <v>2.估价师知悉的法定优先受偿款</v>
      </c>
      <c r="C8" s="1967" t="s">
        <v>1626</v>
      </c>
      <c r="D8" s="1044">
        <f>结果表!H103</f>
        <v>0</v>
      </c>
      <c r="E8" s="1962"/>
    </row>
    <row r="9" spans="1:5" ht="15.75">
      <c r="A9" s="1962"/>
      <c r="B9" s="297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1" t="str">
        <f>结果表!E107</f>
        <v>3.房地产抵押价值</v>
      </c>
      <c r="C13" s="1970" t="s">
        <v>1623</v>
      </c>
      <c r="D13" s="1046">
        <f ca="1">结果表!H107</f>
        <v>423031</v>
      </c>
      <c r="E13" s="1962"/>
    </row>
    <row r="14" spans="1:5" ht="15.75">
      <c r="A14" s="1962"/>
      <c r="B14" s="2962"/>
      <c r="C14" s="1965" t="s">
        <v>1624</v>
      </c>
      <c r="D14" s="1043" t="str">
        <f ca="1">NUMBERSTRING(INT(D13*10000),2)&amp;"元整"</f>
        <v>肆拾贰亿叁仟零叁拾壹万元整</v>
      </c>
      <c r="E14" s="1962"/>
    </row>
    <row r="15" spans="1:5" ht="15">
      <c r="A15" s="1962"/>
      <c r="B15" s="2967"/>
      <c r="C15" s="1966" t="s">
        <v>1634</v>
      </c>
      <c r="D15" s="1055">
        <f ca="1">结果表!H108</f>
        <v>423031</v>
      </c>
      <c r="E15" s="1962"/>
    </row>
    <row r="16" spans="1:5" ht="15">
      <c r="A16" s="1962"/>
      <c r="B16" s="2968" t="str">
        <f>结果表!E109</f>
        <v>——</v>
      </c>
      <c r="C16" s="1970" t="s">
        <v>1635</v>
      </c>
      <c r="D16" s="1971" t="str">
        <f>结果表!H109</f>
        <v>——</v>
      </c>
      <c r="E16" s="1962"/>
    </row>
    <row r="17" spans="1:5" ht="15.75">
      <c r="A17" s="1962"/>
      <c r="B17" s="2969"/>
      <c r="C17" s="1965" t="s">
        <v>1636</v>
      </c>
      <c r="D17" s="1043" t="e">
        <f>NUMBERSTRING(INT(D16*10000),2)&amp;"元整"</f>
        <v>#VALUE!</v>
      </c>
      <c r="E17" s="1962"/>
    </row>
    <row r="18" spans="1:5" ht="15">
      <c r="A18" s="1962"/>
      <c r="B18" s="2970"/>
      <c r="C18" s="1966" t="s">
        <v>1625</v>
      </c>
      <c r="D18" s="1055" t="str">
        <f>结果表!H110</f>
        <v>——</v>
      </c>
      <c r="E18" s="1962"/>
    </row>
    <row r="19" spans="1:5" ht="15.75">
      <c r="A19" s="1962"/>
      <c r="B19" s="2961" t="str">
        <f>结果表!E111</f>
        <v>4.抵押净值</v>
      </c>
      <c r="C19" s="1970" t="s">
        <v>1623</v>
      </c>
      <c r="D19" s="1044">
        <f ca="1">结果表!H111</f>
        <v>387284</v>
      </c>
      <c r="E19" s="1962"/>
    </row>
    <row r="20" spans="1:5" ht="15.75">
      <c r="A20" s="1962"/>
      <c r="B20" s="2962"/>
      <c r="C20" s="1965" t="s">
        <v>1636</v>
      </c>
      <c r="D20" s="1043" t="str">
        <f ca="1">NUMBERSTRING(INT(D19*10000),2)&amp;"元整"</f>
        <v>叁拾捌亿柒仟贰佰捌拾肆万元整</v>
      </c>
      <c r="E20" s="1962"/>
    </row>
    <row r="21" spans="1:5" ht="15.75" thickBot="1">
      <c r="A21" s="1962"/>
      <c r="B21" s="2963"/>
      <c r="C21" s="1972" t="s">
        <v>1634</v>
      </c>
      <c r="D21" s="1056">
        <f ca="1">结果表!H112</f>
        <v>387284</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278" t="s">
        <v>3012</v>
      </c>
      <c r="D1" s="3279"/>
      <c r="E1" s="3279"/>
      <c r="F1" s="3279"/>
      <c r="G1" s="3279"/>
      <c r="H1" s="3279"/>
      <c r="I1" s="3279"/>
      <c r="J1" s="3279"/>
      <c r="K1" s="3279"/>
      <c r="L1" s="3279"/>
      <c r="M1" s="3279"/>
      <c r="N1" s="3279"/>
      <c r="O1" s="3279"/>
      <c r="P1" s="3279"/>
      <c r="Q1" s="3279"/>
      <c r="R1" s="3279"/>
      <c r="S1" s="3280"/>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3021</v>
      </c>
      <c r="B17" s="2924"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3023</v>
      </c>
      <c r="E19" s="1795"/>
      <c r="F19" s="1795"/>
      <c r="G19" s="1795"/>
      <c r="H19" s="1283"/>
      <c r="I19" s="168"/>
      <c r="J19" s="168"/>
      <c r="K19" s="168"/>
      <c r="L19" s="168"/>
      <c r="M19" s="168"/>
      <c r="N19" s="168"/>
      <c r="O19" s="168"/>
      <c r="P19" s="168"/>
      <c r="Q19" s="168"/>
      <c r="R19" s="788"/>
      <c r="S19" s="138"/>
    </row>
    <row r="20" spans="1:45" ht="16.5" thickBot="1">
      <c r="A20" s="715" t="s">
        <v>3024</v>
      </c>
      <c r="B20" s="338" t="e">
        <f ca="1">IF(D20="——",S22,S22-F20)</f>
        <v>#REF!</v>
      </c>
      <c r="C20" s="168"/>
      <c r="D20" s="2926" t="s">
        <v>3025</v>
      </c>
      <c r="E20" s="1796"/>
      <c r="F20" s="1207" t="e">
        <f ca="1">SUMIF(INDIRECT("'"&amp;H20&amp;"'"&amp;"!A:A"),"承租人权益价值",INDIRECT("'"&amp;H20&amp;"'"&amp;"!c:c"))</f>
        <v>#REF!</v>
      </c>
      <c r="G20" s="1207" t="s">
        <v>3026</v>
      </c>
      <c r="H20" s="2927"/>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061" t="s">
        <v>33</v>
      </c>
      <c r="D22" s="3062"/>
      <c r="E22" s="3062"/>
      <c r="F22" s="3062"/>
      <c r="G22" s="3062"/>
      <c r="H22" s="3062"/>
      <c r="I22" s="3062"/>
      <c r="J22" s="3062"/>
      <c r="K22" s="3062"/>
      <c r="L22" s="3062"/>
      <c r="M22" s="3062"/>
      <c r="N22" s="3062"/>
      <c r="O22" s="3062"/>
      <c r="P22" s="3062"/>
      <c r="Q22" s="3277"/>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29299</v>
      </c>
      <c r="C2" s="2" t="s">
        <v>133</v>
      </c>
      <c r="D2" s="243"/>
      <c r="E2" s="243"/>
      <c r="F2" s="243"/>
      <c r="G2" s="243"/>
    </row>
    <row r="3" spans="1:7" s="244" customFormat="1" ht="18" customHeight="1" thickBot="1">
      <c r="A3" s="247" t="s">
        <v>85</v>
      </c>
      <c r="B3" s="248">
        <f ca="1">ROUND(B2*10000/'数据-汇总表'!E3,0)</f>
        <v>29299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200</v>
      </c>
      <c r="D10" s="1035">
        <f>'数据-汇总表'!E6</f>
        <v>10000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200</v>
      </c>
      <c r="D19" s="1039">
        <f>'数据-汇总表'!E3</f>
        <v>10000</v>
      </c>
      <c r="E19" s="255">
        <f>'数据-取费表'!B31</f>
        <v>200</v>
      </c>
      <c r="F19" s="275"/>
      <c r="G19" s="1" t="s">
        <v>1074</v>
      </c>
    </row>
    <row r="20" spans="1:7" s="258" customFormat="1" ht="13.5" customHeight="1">
      <c r="A20" s="951" t="s">
        <v>1057</v>
      </c>
      <c r="B20" s="254" t="s">
        <v>104</v>
      </c>
      <c r="C20" s="276">
        <f>ROUND((C5+C19)*F20,0)</f>
        <v>416</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1937</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1900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18</v>
      </c>
      <c r="D24" s="282"/>
      <c r="E24" s="282"/>
      <c r="F24" s="283"/>
      <c r="G24" s="284" t="s">
        <v>109</v>
      </c>
    </row>
    <row r="25" spans="1:7" s="258" customFormat="1" ht="24">
      <c r="A25" s="954" t="s">
        <v>793</v>
      </c>
      <c r="B25" s="259" t="s">
        <v>1058</v>
      </c>
      <c r="C25" s="1358">
        <f ca="1">ROUND(IF('数据-取费表'!B22&lt;=1,C20*F22*'数据-取费表'!B23/2,C20*(POWER((1+F22),'数据-取费表'!B23/2)-1)),0)</f>
        <v>19</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3025</v>
      </c>
      <c r="D27" s="279">
        <f>C29</f>
        <v>4.3E-3</v>
      </c>
      <c r="E27" s="280" t="s">
        <v>126</v>
      </c>
      <c r="F27" s="290">
        <f>'数据-取费表'!Q16</f>
        <v>0.15</v>
      </c>
      <c r="G27" s="291" t="s">
        <v>1069</v>
      </c>
    </row>
    <row r="28" spans="1:7" s="258" customFormat="1" ht="13.5" customHeight="1">
      <c r="A28" s="954" t="s">
        <v>794</v>
      </c>
      <c r="B28" s="292" t="s">
        <v>1062</v>
      </c>
      <c r="C28" s="293">
        <f>ROUND((C5+C19+C20)*F27*'数据-取费表'!B21/'数据-取费表'!B20,0)</f>
        <v>3025</v>
      </c>
      <c r="D28" s="279"/>
      <c r="E28" s="280"/>
      <c r="F28" s="290"/>
      <c r="G28" s="291"/>
    </row>
    <row r="29" spans="1:7" s="258" customFormat="1" ht="13.5" customHeight="1">
      <c r="A29" s="954" t="s">
        <v>792</v>
      </c>
      <c r="B29" s="292" t="s">
        <v>1063</v>
      </c>
      <c r="C29" s="282">
        <f>ROUND(C21*F27*'数据-取费表'!B21/'数据-取费表'!B20,4)</f>
        <v>4.3E-3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28747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413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200</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200</v>
      </c>
      <c r="D37" s="261">
        <f>'数据-汇总表'!E3</f>
        <v>10000</v>
      </c>
      <c r="E37" s="293">
        <f>'数据-取费表'!B35</f>
        <v>200</v>
      </c>
      <c r="F37" s="303"/>
      <c r="G37" s="305" t="s">
        <v>119</v>
      </c>
    </row>
    <row r="38" spans="1:7" ht="13.5" customHeight="1">
      <c r="A38" s="954" t="s">
        <v>799</v>
      </c>
      <c r="B38" s="259" t="s">
        <v>63</v>
      </c>
      <c r="C38" s="264">
        <f>ROUND(C34*F38,0)</f>
        <v>3</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19</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v>
      </c>
      <c r="D42" s="282"/>
      <c r="E42" s="282"/>
      <c r="F42" s="283"/>
      <c r="G42" s="3189" t="s">
        <v>121</v>
      </c>
    </row>
    <row r="43" spans="1:7" ht="13.5" customHeight="1">
      <c r="A43" s="954" t="s">
        <v>792</v>
      </c>
      <c r="B43" s="259" t="s">
        <v>1064</v>
      </c>
      <c r="C43" s="282">
        <f ca="1">ROUND(IF('数据-取费表'!B22&lt;=1,C39*F22*'数据-取费表'!B21/2,C39*(POWER((1+F22),'数据-取费表'!B21/2)-1)),0)</f>
        <v>0</v>
      </c>
      <c r="D43" s="282"/>
      <c r="E43" s="282"/>
      <c r="F43" s="283"/>
      <c r="G43" s="3190"/>
    </row>
    <row r="44" spans="1:7" ht="13.5" customHeight="1">
      <c r="A44" s="954" t="s">
        <v>793</v>
      </c>
      <c r="B44" s="259" t="s">
        <v>1066</v>
      </c>
      <c r="C44" s="282">
        <f ca="1">ROUND(IF('数据-取费表'!B22&lt;=1,C40*F22*'数据-取费表'!B21/2,C40*(POWER((1+F22),'数据-取费表'!B21/2)-1)),4)</f>
        <v>1.4E-3</v>
      </c>
      <c r="D44" s="282"/>
      <c r="E44" s="282"/>
      <c r="F44" s="283"/>
      <c r="G44" s="3191"/>
    </row>
    <row r="45" spans="1:7" s="258" customFormat="1" ht="13.5" customHeight="1">
      <c r="A45" s="951" t="s">
        <v>786</v>
      </c>
      <c r="B45" s="288" t="s">
        <v>112</v>
      </c>
      <c r="C45" s="289">
        <f>C46</f>
        <v>63</v>
      </c>
      <c r="D45" s="279">
        <f>C47</f>
        <v>4.4999999999999997E-3</v>
      </c>
      <c r="E45" s="280" t="s">
        <v>129</v>
      </c>
      <c r="F45" s="290"/>
      <c r="G45" s="291" t="s">
        <v>1072</v>
      </c>
    </row>
    <row r="46" spans="1:7" s="258" customFormat="1" ht="13.5" customHeight="1">
      <c r="A46" s="954" t="s">
        <v>794</v>
      </c>
      <c r="B46" s="292" t="s">
        <v>1065</v>
      </c>
      <c r="C46" s="293">
        <f>ROUND((C33+C39)*F27,0)</f>
        <v>63</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552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552</v>
      </c>
      <c r="D51" s="276"/>
      <c r="E51" s="276"/>
      <c r="F51" s="308"/>
      <c r="G51" s="278" t="s">
        <v>64</v>
      </c>
    </row>
    <row r="52" spans="1:7" s="252" customFormat="1" ht="16.5" thickBot="1">
      <c r="A52" s="309" t="s">
        <v>65</v>
      </c>
      <c r="B52" s="310"/>
      <c r="C52" s="311">
        <f ca="1">C31+C51</f>
        <v>29299</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43231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7" t="s">
        <v>1638</v>
      </c>
      <c r="E3" s="1047" t="s">
        <v>1644</v>
      </c>
      <c r="F3" s="1047" t="s">
        <v>1638</v>
      </c>
      <c r="G3" s="1047" t="s">
        <v>1639</v>
      </c>
      <c r="H3" s="1047" t="s">
        <v>1638</v>
      </c>
      <c r="I3" s="1047" t="s">
        <v>1639</v>
      </c>
    </row>
    <row r="4" spans="1:9" ht="30">
      <c r="A4" s="1976" t="str">
        <f>项目基本情况!S2</f>
        <v>出让国有建设用地使用权及在建建筑物房地产</v>
      </c>
      <c r="B4" s="1047">
        <f>项目基本情况!C17</f>
        <v>10000</v>
      </c>
      <c r="C4" s="1047">
        <f>项目基本情况!C18</f>
        <v>10000</v>
      </c>
      <c r="D4" s="1047" t="e">
        <f ca="1">结果表!D118</f>
        <v>#REF!</v>
      </c>
      <c r="E4" s="1047" t="e">
        <f ca="1">结果表!E118</f>
        <v>#REF!</v>
      </c>
      <c r="F4" s="1047" t="e">
        <f ca="1">结果表!F118</f>
        <v>#REF!</v>
      </c>
      <c r="G4" s="1047" t="e">
        <f ca="1">结果表!G118</f>
        <v>#REF!</v>
      </c>
      <c r="H4" s="1047">
        <f ca="1">结果表!H118</f>
        <v>423031</v>
      </c>
      <c r="I4" s="1047">
        <f ca="1">结果表!I118</f>
        <v>423031</v>
      </c>
    </row>
    <row r="5" spans="1:9" ht="30" customHeight="1">
      <c r="A5" s="2973" t="s">
        <v>1640</v>
      </c>
      <c r="B5" s="2973"/>
      <c r="C5" s="2973"/>
      <c r="D5" s="2974" t="e">
        <f ca="1">结果表!D119</f>
        <v>#REF!</v>
      </c>
      <c r="E5" s="2974"/>
      <c r="F5" s="2974" t="e">
        <f ca="1">结果表!F119</f>
        <v>#REF!</v>
      </c>
      <c r="G5" s="2974"/>
      <c r="H5" s="2974" t="str">
        <f ca="1">结果表!H119</f>
        <v>肆拾贰亿叁仟零叁拾壹万元整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1640</v>
      </c>
      <c r="B7" s="2973"/>
      <c r="C7" s="2973"/>
      <c r="D7" s="2976" t="str">
        <f>结果表!D121</f>
        <v>零元整</v>
      </c>
      <c r="E7" s="2977"/>
      <c r="F7" s="2977"/>
      <c r="G7" s="2977"/>
      <c r="H7" s="2977"/>
      <c r="I7" s="2978"/>
    </row>
    <row r="8" spans="1:9" ht="15.75">
      <c r="A8" s="2975" t="str">
        <f>结果表!A122</f>
        <v>房地产抵押价值</v>
      </c>
      <c r="B8" s="2975"/>
      <c r="C8" s="2975"/>
      <c r="D8" s="2975">
        <f ca="1">结果表!D122</f>
        <v>423031</v>
      </c>
      <c r="E8" s="2975"/>
      <c r="F8" s="2975"/>
      <c r="G8" s="2975"/>
      <c r="H8" s="2975"/>
      <c r="I8" s="2975"/>
    </row>
    <row r="9" spans="1:9" ht="15">
      <c r="A9" s="2973" t="s">
        <v>1640</v>
      </c>
      <c r="B9" s="2973"/>
      <c r="C9" s="2973"/>
      <c r="D9" s="2974" t="str">
        <f ca="1">结果表!D123</f>
        <v>肆拾贰亿叁仟零叁拾壹万元整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1640</v>
      </c>
      <c r="B11" s="2973"/>
      <c r="C11" s="2973"/>
      <c r="D11" s="2974" t="e">
        <f>结果表!D125</f>
        <v>#VALUE!</v>
      </c>
      <c r="E11" s="2974"/>
      <c r="F11" s="2974"/>
      <c r="G11" s="2974"/>
      <c r="H11" s="2974"/>
      <c r="I11" s="2974"/>
    </row>
    <row r="12" spans="1:9" ht="15.75">
      <c r="A12" s="2975" t="str">
        <f>结果表!A126</f>
        <v>抵押净值</v>
      </c>
      <c r="B12" s="2975"/>
      <c r="C12" s="2975"/>
      <c r="D12" s="2975">
        <f ca="1">结果表!D126</f>
        <v>387284</v>
      </c>
      <c r="E12" s="2975"/>
      <c r="F12" s="2975"/>
      <c r="G12" s="2975"/>
      <c r="H12" s="2975"/>
      <c r="I12" s="2975"/>
    </row>
    <row r="13" spans="1:9" ht="15.75" thickBot="1">
      <c r="A13" s="2979" t="s">
        <v>1640</v>
      </c>
      <c r="B13" s="2979"/>
      <c r="C13" s="2979"/>
      <c r="D13" s="2980" t="str">
        <f ca="1">结果表!D127</f>
        <v>叁拾捌亿柒仟贰佰捌拾肆万元整</v>
      </c>
      <c r="E13" s="2980"/>
      <c r="F13" s="2980"/>
      <c r="G13" s="2980"/>
      <c r="H13" s="2980"/>
      <c r="I13" s="2980"/>
    </row>
    <row r="14" spans="1:9" ht="15" thickTop="1">
      <c r="A14" s="2981" t="s">
        <v>1645</v>
      </c>
      <c r="B14" s="2981"/>
      <c r="C14" s="2981"/>
      <c r="D14" s="2981"/>
      <c r="E14" s="2981"/>
      <c r="F14" s="2981"/>
      <c r="G14" s="2981"/>
      <c r="H14" s="2981"/>
      <c r="I14" s="298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2" t="s">
        <v>1662</v>
      </c>
      <c r="B1" s="2982"/>
      <c r="C1" s="2982"/>
      <c r="D1" s="2982"/>
    </row>
    <row r="2" spans="1:4" ht="18">
      <c r="A2" s="2983" t="s">
        <v>1646</v>
      </c>
      <c r="B2" s="2983"/>
      <c r="C2" s="2983"/>
      <c r="D2" s="2983"/>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83" t="s">
        <v>1652</v>
      </c>
      <c r="B6" s="2983"/>
      <c r="C6" s="2983"/>
      <c r="D6" s="298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4"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8" t="s">
        <v>1656</v>
      </c>
      <c r="B16" s="2988"/>
      <c r="C16" s="2988"/>
      <c r="D16" s="2988"/>
    </row>
    <row r="17" spans="1:4" ht="144" customHeight="1">
      <c r="A17" s="2988" t="s">
        <v>1657</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1658</v>
      </c>
      <c r="B22" s="2990"/>
      <c r="C22" s="2990"/>
      <c r="D22" s="299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6" t="s">
        <v>1669</v>
      </c>
      <c r="B15" s="2991" t="s">
        <v>136</v>
      </c>
      <c r="C15" s="2992"/>
    </row>
    <row r="16" spans="1:7" ht="13.5">
      <c r="A16" s="2997"/>
      <c r="B16" s="2991" t="s">
        <v>69</v>
      </c>
      <c r="C16" s="2992"/>
    </row>
    <row r="17" spans="1:3" ht="13.5">
      <c r="A17" s="2997"/>
      <c r="B17" s="2994" t="s">
        <v>1670</v>
      </c>
      <c r="C17" s="2003" t="s">
        <v>1669</v>
      </c>
    </row>
    <row r="18" spans="1:3" ht="13.5">
      <c r="A18" s="2997"/>
      <c r="B18" s="2994"/>
      <c r="C18" s="2003" t="s">
        <v>1671</v>
      </c>
    </row>
    <row r="19" spans="1:3" ht="13.5">
      <c r="A19" s="2997"/>
      <c r="B19" s="2994"/>
      <c r="C19" s="2003" t="s">
        <v>1672</v>
      </c>
    </row>
    <row r="20" spans="1:3" ht="13.5">
      <c r="A20" s="2998"/>
      <c r="B20" s="2993" t="s">
        <v>1673</v>
      </c>
      <c r="C20" s="2992"/>
    </row>
    <row r="21" spans="1:3" ht="13.5">
      <c r="A21" s="2004" t="s">
        <v>1674</v>
      </c>
      <c r="B21" s="2005"/>
      <c r="C21" s="2006"/>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3" t="s">
        <v>1680</v>
      </c>
    </row>
    <row r="26" spans="1:3" ht="13.5">
      <c r="A26" s="2995"/>
      <c r="B26" s="2994"/>
      <c r="C26" s="2003" t="s">
        <v>1681</v>
      </c>
    </row>
    <row r="27" spans="1:3" ht="13.5">
      <c r="A27" s="2995"/>
      <c r="B27" s="2994"/>
      <c r="C27" s="2003" t="s">
        <v>1682</v>
      </c>
    </row>
    <row r="28" spans="1:3" ht="13.5">
      <c r="A28" s="2995"/>
      <c r="B28" s="2994"/>
      <c r="C28" s="2003" t="s">
        <v>1683</v>
      </c>
    </row>
    <row r="29" spans="1:3" ht="13.5">
      <c r="A29" s="2995"/>
      <c r="B29" s="2994"/>
      <c r="C29" s="2003" t="s">
        <v>1684</v>
      </c>
    </row>
    <row r="30" spans="1:3" ht="13.5">
      <c r="A30" s="2995"/>
      <c r="B30" s="2994"/>
      <c r="C30" s="2003" t="s">
        <v>1685</v>
      </c>
    </row>
    <row r="31" spans="1:3" ht="13.5">
      <c r="A31" s="2995"/>
      <c r="B31" s="2994"/>
      <c r="C31" s="2003" t="s">
        <v>1686</v>
      </c>
    </row>
    <row r="32" spans="1:3" ht="13.5">
      <c r="A32" s="2995"/>
      <c r="B32" s="2994"/>
      <c r="C32" s="2003" t="s">
        <v>1687</v>
      </c>
    </row>
    <row r="33" spans="1:3" ht="13.5">
      <c r="A33" s="2995"/>
      <c r="B33" s="299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43236</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3051</v>
      </c>
      <c r="B12" s="1025">
        <v>1120110054</v>
      </c>
      <c r="C12" s="2948">
        <v>43937</v>
      </c>
      <c r="D12" s="1705" t="s">
        <v>3051</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面积汇总</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2018-05-16T09:34:28Z</dcterms:modified>
</cp:coreProperties>
</file>