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390" windowWidth="11490" windowHeight="10695" tabRatio="819" firstSheet="40"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输机表-建筑物及附属物" sheetId="77" r:id="rId44"/>
    <sheet name="建筑物分值" sheetId="78" r:id="rId45"/>
    <sheet name="附属物分值" sheetId="79" r:id="rId46"/>
    <sheet name="建（构）筑物价格" sheetId="68" r:id="rId47"/>
    <sheet name="存贷款利率" sheetId="65" state="hidden" r:id="rId48"/>
    <sheet name="附属物-墙地棚" sheetId="83" r:id="rId49"/>
    <sheet name="附属物-树木" sheetId="82" r:id="rId50"/>
    <sheet name="不动产比较法-工业" sheetId="37" state="hidden" r:id="rId51"/>
    <sheet name="停产停业损失" sheetId="80" r:id="rId52"/>
    <sheet name="丰怀利润表" sheetId="85" r:id="rId53"/>
    <sheet name="国地评估结果" sheetId="86" r:id="rId54"/>
    <sheet name="Sheet1" sheetId="87"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0"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5">[1]分值!$AM$3:$AP$94</definedName>
    <definedName name="CX">建筑物分值!$AM$3:$AP$94</definedName>
    <definedName name="DM">建筑物分值!$X$3:$AB$17</definedName>
    <definedName name="DP">建筑物分值!$R$16:$V$26</definedName>
    <definedName name="FSW">附属物分值!$B$1:$F$65536</definedName>
    <definedName name="GD" localSheetId="45">[1]分值!$AD$3:$AH$13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0">'不动产比较法-工业'!$A$1:$K$48,'不动产比较法-工业'!$A$51:$M$113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3">'输机表-建筑物及附属物'!$A$74:$G$132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5">[1]分值!$AJ$3:$AK$28</definedName>
    <definedName name="ZG">建筑物分值!$AJ$3:$AK$28</definedName>
    <definedName name="八级" localSheetId="45">#REF!</definedName>
    <definedName name="八级" localSheetId="44">#REF!</definedName>
    <definedName name="八级" localSheetId="43">#REF!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5">#REF!</definedName>
    <definedName name="二级" localSheetId="44">#REF!</definedName>
    <definedName name="二级" localSheetId="43">#REF!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3">'输机表-建筑物及附属物'!$E$1:$F$1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5">[3]基准地价修正!$O$19:$Z$19</definedName>
    <definedName name="季度" localSheetId="44">[3]基准地价修正!$O$19:$Z$19</definedName>
    <definedName name="季度" localSheetId="43">[3]基准地价修正!$O$19:$Z$19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5">#REF!</definedName>
    <definedName name="九级" localSheetId="44">#REF!</definedName>
    <definedName name="九级" localSheetId="43">#REF!</definedName>
    <definedName name="九级">区片价!$Q$1:$Q$46</definedName>
    <definedName name="居住社区成熟度">定义!$K$1:$K$6</definedName>
    <definedName name="类别">定义!$J$1:$J$3</definedName>
    <definedName name="临街状况">定义!$T$1:$T$5</definedName>
    <definedName name="六级" localSheetId="45">#REF!</definedName>
    <definedName name="六级" localSheetId="44">#REF!</definedName>
    <definedName name="六级" localSheetId="43">#REF!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5">#REF!</definedName>
    <definedName name="七级" localSheetId="44">#REF!</definedName>
    <definedName name="七级" localSheetId="43">#REF!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5">#REF!</definedName>
    <definedName name="三级" localSheetId="44">#REF!</definedName>
    <definedName name="三级" localSheetId="43">#REF!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5">#REF!</definedName>
    <definedName name="十二级" localSheetId="44">#REF!</definedName>
    <definedName name="十二级" localSheetId="43">#REF!</definedName>
    <definedName name="十二级">区片价!$T$1:$T$8</definedName>
    <definedName name="十级" localSheetId="45">#REF!</definedName>
    <definedName name="十级" localSheetId="44">#REF!</definedName>
    <definedName name="十级" localSheetId="43">#REF!</definedName>
    <definedName name="十级">区片价!$R$1:$R$27</definedName>
    <definedName name="十一级" localSheetId="45">#REF!</definedName>
    <definedName name="十一级" localSheetId="44">#REF!</definedName>
    <definedName name="十一级" localSheetId="43">#REF!</definedName>
    <definedName name="十一级">区片价!$S$1:$S$22</definedName>
    <definedName name="是否封闭">'不动产比较法-仓储'!$B$89:$M$89</definedName>
    <definedName name="是否直接入户">'不动产比较法-车位'!$B$95:$M$95</definedName>
    <definedName name="四级" localSheetId="45">#REF!</definedName>
    <definedName name="四级" localSheetId="44">#REF!</definedName>
    <definedName name="四级" localSheetId="43">#REF!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5">#REF!</definedName>
    <definedName name="五级" localSheetId="44">#REF!</definedName>
    <definedName name="五级" localSheetId="43">#REF!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5">#REF!</definedName>
    <definedName name="一级" localSheetId="44">#REF!</definedName>
    <definedName name="一级" localSheetId="43">#REF!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44525"/>
</workbook>
</file>

<file path=xl/calcChain.xml><?xml version="1.0" encoding="utf-8"?>
<calcChain xmlns="http://schemas.openxmlformats.org/spreadsheetml/2006/main">
  <c r="U28" i="77" l="1"/>
  <c r="AP28" i="77" s="1"/>
  <c r="G28" i="77"/>
  <c r="H28" i="77" s="1"/>
  <c r="H29" i="77" s="1"/>
  <c r="E28" i="77"/>
  <c r="I28" i="77" s="1"/>
  <c r="D28" i="77"/>
  <c r="D29" i="77" s="1"/>
  <c r="F29" i="77"/>
  <c r="G29" i="77"/>
  <c r="U29" i="77"/>
  <c r="C29" i="77"/>
  <c r="AQ28" i="77" l="1"/>
  <c r="AP29" i="77"/>
  <c r="E29" i="77"/>
  <c r="J28" i="77"/>
  <c r="I29" i="77"/>
  <c r="AW28" i="77" l="1"/>
  <c r="AW29" i="77" s="1"/>
  <c r="AZ28" i="77"/>
  <c r="AX28" i="77"/>
  <c r="AX29" i="77" s="1"/>
  <c r="AV28" i="77"/>
  <c r="AV29" i="77" s="1"/>
  <c r="AQ29" i="77"/>
  <c r="AY28" i="77"/>
  <c r="AY29" i="77" s="1"/>
  <c r="K28" i="77"/>
  <c r="J29" i="77"/>
  <c r="AZ29" i="77" l="1"/>
  <c r="BA28" i="77"/>
  <c r="L28" i="77"/>
  <c r="K29" i="77"/>
  <c r="BB28" i="77" l="1"/>
  <c r="BA29" i="77"/>
  <c r="M28" i="77"/>
  <c r="L29" i="77"/>
  <c r="BE28" i="77" l="1"/>
  <c r="BC28" i="77"/>
  <c r="BC29" i="77" s="1"/>
  <c r="BD28" i="77"/>
  <c r="BD29" i="77" s="1"/>
  <c r="BB29" i="77"/>
  <c r="N28" i="77"/>
  <c r="M29" i="77"/>
  <c r="BF28" i="77" l="1"/>
  <c r="BE29" i="77"/>
  <c r="O28" i="77"/>
  <c r="N29" i="77"/>
  <c r="BG28" i="77" l="1"/>
  <c r="BF29" i="77"/>
  <c r="P28" i="77"/>
  <c r="Q28" i="77" s="1"/>
  <c r="R28" i="77" s="1"/>
  <c r="S28" i="77" s="1"/>
  <c r="T28" i="77" s="1"/>
  <c r="V28" i="77" s="1"/>
  <c r="W28" i="77" s="1"/>
  <c r="X28" i="77" s="1"/>
  <c r="Y28" i="77" s="1"/>
  <c r="Z28" i="77" s="1"/>
  <c r="AA28" i="77" s="1"/>
  <c r="AB28" i="77" s="1"/>
  <c r="AC28" i="77" s="1"/>
  <c r="O29" i="77"/>
  <c r="BI28" i="77" l="1"/>
  <c r="BI29" i="77" s="1"/>
  <c r="BH28" i="77"/>
  <c r="BH29" i="77" s="1"/>
  <c r="BG29" i="77"/>
  <c r="AE28" i="77"/>
  <c r="AF28" i="77"/>
  <c r="AG28" i="77" s="1"/>
  <c r="AH28" i="77" s="1"/>
  <c r="AI28" i="77" s="1"/>
  <c r="AJ28" i="77" s="1"/>
  <c r="AK28" i="77" s="1"/>
  <c r="AL28" i="77" s="1"/>
  <c r="AM28" i="77" s="1"/>
  <c r="AN28" i="77" s="1"/>
  <c r="AO28" i="77" s="1"/>
  <c r="AR28" i="77" s="1"/>
  <c r="AU28" i="77" l="1"/>
  <c r="AS28" i="77"/>
  <c r="AT28" i="77"/>
  <c r="H16" i="69" l="1"/>
  <c r="J16" i="69" s="1"/>
  <c r="L16" i="69" s="1"/>
  <c r="N16" i="69" s="1"/>
  <c r="H11" i="69"/>
  <c r="J11" i="69" s="1"/>
  <c r="L11" i="69" s="1"/>
  <c r="N11" i="69" s="1"/>
  <c r="H14" i="69"/>
  <c r="J14" i="69" s="1"/>
  <c r="L14" i="69" s="1"/>
  <c r="N14" i="69" s="1"/>
  <c r="H8" i="69"/>
  <c r="J8" i="69" s="1"/>
  <c r="L8" i="69" s="1"/>
  <c r="B12" i="80" l="1"/>
  <c r="F14" i="83" l="1"/>
  <c r="H2" i="68" l="1"/>
  <c r="X11" i="75"/>
  <c r="W9" i="75"/>
  <c r="W11" i="75"/>
  <c r="X12" i="75" s="1"/>
  <c r="B31" i="83"/>
  <c r="G13" i="83" s="1"/>
  <c r="F12" i="83"/>
  <c r="G9" i="83"/>
  <c r="F9" i="83"/>
  <c r="F8" i="83"/>
  <c r="F7" i="83"/>
  <c r="F6" i="83"/>
  <c r="F5" i="83"/>
  <c r="F4" i="83"/>
  <c r="F3" i="83"/>
  <c r="B16" i="83"/>
  <c r="B15" i="83"/>
  <c r="B14" i="83"/>
  <c r="B13" i="83"/>
  <c r="B12" i="83"/>
  <c r="B11" i="83"/>
  <c r="B10" i="83"/>
  <c r="B9" i="83"/>
  <c r="B8" i="83"/>
  <c r="B7" i="83"/>
  <c r="B6" i="83"/>
  <c r="B5" i="83"/>
  <c r="B4" i="83"/>
  <c r="B3" i="83"/>
  <c r="G11" i="83"/>
  <c r="G10" i="83"/>
  <c r="H63" i="86" l="1"/>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F30" i="82"/>
  <c r="D30" i="82"/>
  <c r="D49" i="82" s="1"/>
  <c r="F49" i="82" s="1"/>
  <c r="F29" i="82"/>
  <c r="D29" i="82"/>
  <c r="F28" i="82"/>
  <c r="D28" i="82"/>
  <c r="F27" i="82"/>
  <c r="D27" i="82"/>
  <c r="D26" i="82"/>
  <c r="F26" i="82" s="1"/>
  <c r="D25" i="82"/>
  <c r="F25" i="82" s="1"/>
  <c r="F24" i="82"/>
  <c r="D24" i="82"/>
  <c r="F23" i="82"/>
  <c r="D23" i="82"/>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G2" i="85"/>
  <c r="G1" i="85"/>
  <c r="B14" i="80"/>
  <c r="F9" i="80" s="1"/>
  <c r="G32" i="80"/>
  <c r="G33" i="80" s="1"/>
  <c r="G30" i="80"/>
  <c r="C24" i="80"/>
  <c r="C19" i="80"/>
  <c r="D11" i="80"/>
  <c r="C6" i="80"/>
  <c r="L1" i="75"/>
  <c r="R8" i="75"/>
  <c r="F10" i="80" l="1"/>
  <c r="R7" i="75" s="1"/>
  <c r="F50" i="82"/>
  <c r="D43" i="82"/>
  <c r="F43"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D131" i="77" s="1"/>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C81" i="77"/>
  <c r="B132" i="77" s="1"/>
  <c r="E132" i="77" s="1"/>
  <c r="F80" i="77"/>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B55" i="77"/>
  <c r="B56" i="77" s="1"/>
  <c r="C52" i="77"/>
  <c r="B183" i="77" s="1"/>
  <c r="B52" i="77"/>
  <c r="B241" i="77" s="1"/>
  <c r="H50" i="77"/>
  <c r="G240" i="77" s="1"/>
  <c r="G50" i="77"/>
  <c r="C240" i="77" s="1"/>
  <c r="F50" i="77"/>
  <c r="G180" i="77" s="1"/>
  <c r="E50" i="77"/>
  <c r="C180" i="77" s="1"/>
  <c r="C50" i="77"/>
  <c r="C238" i="77" s="1"/>
  <c r="E49" i="77"/>
  <c r="D49" i="77"/>
  <c r="D50" i="77" s="1"/>
  <c r="B49" i="77"/>
  <c r="B50" i="77" s="1"/>
  <c r="E46" i="77"/>
  <c r="B239" i="77" s="1"/>
  <c r="D46" i="77"/>
  <c r="E238" i="77" s="1"/>
  <c r="B46" i="77"/>
  <c r="B237" i="77" s="1"/>
  <c r="H43" i="77"/>
  <c r="H44" i="77" s="1"/>
  <c r="G43" i="77"/>
  <c r="G44" i="77" s="1"/>
  <c r="F43" i="77"/>
  <c r="F44" i="77" s="1"/>
  <c r="E43" i="77"/>
  <c r="E44" i="77" s="1"/>
  <c r="D43" i="77"/>
  <c r="D44" i="77" s="1"/>
  <c r="C43" i="77"/>
  <c r="C44" i="77" s="1"/>
  <c r="B43" i="77"/>
  <c r="B44" i="77" s="1"/>
  <c r="H40" i="77"/>
  <c r="F40" i="77"/>
  <c r="E176" i="77" s="1"/>
  <c r="E40" i="77"/>
  <c r="H37" i="77"/>
  <c r="H38" i="77" s="1"/>
  <c r="G37" i="77"/>
  <c r="G38" i="77" s="1"/>
  <c r="F37" i="77"/>
  <c r="F38" i="77" s="1"/>
  <c r="E37" i="77"/>
  <c r="E38" i="77" s="1"/>
  <c r="D37" i="77"/>
  <c r="D38" i="77" s="1"/>
  <c r="C37" i="77"/>
  <c r="C38" i="77" s="1"/>
  <c r="B37" i="77"/>
  <c r="B38" i="77" s="1"/>
  <c r="H34" i="77"/>
  <c r="G34" i="77"/>
  <c r="F34" i="77"/>
  <c r="E34" i="77"/>
  <c r="D34" i="77"/>
  <c r="C34" i="77"/>
  <c r="B34" i="77"/>
  <c r="B31" i="77"/>
  <c r="AU29" i="77"/>
  <c r="AT29" i="77"/>
  <c r="AS29" i="77"/>
  <c r="AR29" i="77"/>
  <c r="AO29" i="77"/>
  <c r="AN29" i="77"/>
  <c r="AM29" i="77"/>
  <c r="AL29" i="77"/>
  <c r="AK29" i="77"/>
  <c r="AJ29" i="77"/>
  <c r="AI29" i="77"/>
  <c r="AH29" i="77"/>
  <c r="AG29" i="77"/>
  <c r="AF29" i="77"/>
  <c r="AE29" i="77"/>
  <c r="AD29" i="77"/>
  <c r="AC29" i="77"/>
  <c r="AB29" i="77"/>
  <c r="AA29" i="77"/>
  <c r="Z29" i="77"/>
  <c r="Y29" i="77"/>
  <c r="X29" i="77"/>
  <c r="W29" i="77"/>
  <c r="V29" i="77"/>
  <c r="T29" i="77"/>
  <c r="S29" i="77"/>
  <c r="R29" i="77"/>
  <c r="Q29" i="77"/>
  <c r="P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H10"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H18" i="77" s="1"/>
  <c r="BH21" i="77" s="1"/>
  <c r="BI8" i="77"/>
  <c r="BH8" i="77"/>
  <c r="B8" i="77"/>
  <c r="BD6" i="77"/>
  <c r="AW6" i="77"/>
  <c r="AN6" i="77"/>
  <c r="AL6" i="77"/>
  <c r="AK6" i="77"/>
  <c r="AH6" i="77"/>
  <c r="AB6" i="77"/>
  <c r="AA6" i="77"/>
  <c r="X6" i="77"/>
  <c r="Q6" i="77"/>
  <c r="H6" i="77"/>
  <c r="X5" i="77"/>
  <c r="X11" i="77" s="1"/>
  <c r="Q5" i="77"/>
  <c r="S5" i="77" s="1"/>
  <c r="F5" i="77"/>
  <c r="F11" i="77" s="1"/>
  <c r="BG4" i="77"/>
  <c r="BG9" i="77" s="1"/>
  <c r="BG18" i="77" s="1"/>
  <c r="BF4" i="77"/>
  <c r="BF9" i="77" s="1"/>
  <c r="BF18" i="77" s="1"/>
  <c r="BE4" i="77"/>
  <c r="BE6" i="77" s="1"/>
  <c r="BD4" i="77"/>
  <c r="BD9" i="77" s="1"/>
  <c r="BD18" i="77" s="1"/>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K9" i="77" s="1"/>
  <c r="AK18" i="77" s="1"/>
  <c r="AJ4" i="77"/>
  <c r="AJ9" i="77" s="1"/>
  <c r="AJ18" i="77" s="1"/>
  <c r="AI4" i="77"/>
  <c r="AI9" i="77" s="1"/>
  <c r="AI18" i="77" s="1"/>
  <c r="AH4" i="77"/>
  <c r="AH9" i="77" s="1"/>
  <c r="AH18" i="77" s="1"/>
  <c r="AG4" i="77"/>
  <c r="AG9" i="77" s="1"/>
  <c r="AG18" i="77" s="1"/>
  <c r="AF4" i="77"/>
  <c r="AE4" i="77"/>
  <c r="AE9" i="77" s="1"/>
  <c r="AE18" i="77" s="1"/>
  <c r="AD4" i="77"/>
  <c r="AD9" i="77" s="1"/>
  <c r="AD18" i="77" s="1"/>
  <c r="AC4" i="77"/>
  <c r="AC9" i="77" s="1"/>
  <c r="AC18" i="77" s="1"/>
  <c r="AB4" i="77"/>
  <c r="AB9" i="77" s="1"/>
  <c r="AB18" i="77" s="1"/>
  <c r="AA4" i="77"/>
  <c r="AA9" i="77" s="1"/>
  <c r="AA18" i="77" s="1"/>
  <c r="Z4" i="77"/>
  <c r="Z9" i="77" s="1"/>
  <c r="Z18" i="77" s="1"/>
  <c r="Y4" i="77"/>
  <c r="Y9" i="77" s="1"/>
  <c r="Y18" i="77" s="1"/>
  <c r="W4" i="77"/>
  <c r="W9" i="77" s="1"/>
  <c r="W18" i="77" s="1"/>
  <c r="W21" i="77" s="1"/>
  <c r="V4" i="77"/>
  <c r="V9" i="77" s="1"/>
  <c r="V18" i="77" s="1"/>
  <c r="V21" i="77" s="1"/>
  <c r="U4" i="77"/>
  <c r="U9" i="77" s="1"/>
  <c r="U18" i="77" s="1"/>
  <c r="U21" i="77" s="1"/>
  <c r="T4" i="77"/>
  <c r="R4" i="77"/>
  <c r="R9" i="77" s="1"/>
  <c r="R18" i="77" s="1"/>
  <c r="P4" i="77"/>
  <c r="O4" i="77"/>
  <c r="O6" i="77" s="1"/>
  <c r="N4" i="77"/>
  <c r="N9" i="77" s="1"/>
  <c r="N18" i="77" s="1"/>
  <c r="N21" i="77" s="1"/>
  <c r="M4" i="77"/>
  <c r="L4" i="77"/>
  <c r="K4" i="77"/>
  <c r="J4" i="77"/>
  <c r="I4" i="77"/>
  <c r="H4" i="77"/>
  <c r="H9" i="77" s="1"/>
  <c r="H18" i="77" s="1"/>
  <c r="G4" i="77"/>
  <c r="E4" i="77"/>
  <c r="E9" i="77" s="1"/>
  <c r="E18" i="77" s="1"/>
  <c r="D4" i="77"/>
  <c r="D9" i="77" s="1"/>
  <c r="D18" i="77" s="1"/>
  <c r="C4" i="77"/>
  <c r="C9" i="77" s="1"/>
  <c r="Y21" i="77" l="1"/>
  <c r="Y30" i="77" s="1"/>
  <c r="Y32" i="77" s="1"/>
  <c r="AA21" i="77"/>
  <c r="AA30" i="77" s="1"/>
  <c r="AC21" i="77"/>
  <c r="AC30" i="77" s="1"/>
  <c r="AC32" i="77" s="1"/>
  <c r="AE21" i="77"/>
  <c r="AG21" i="77"/>
  <c r="AG30" i="77" s="1"/>
  <c r="AG32" i="77" s="1"/>
  <c r="AI21" i="77"/>
  <c r="AI30" i="77" s="1"/>
  <c r="H11" i="68" s="1"/>
  <c r="AK21" i="77"/>
  <c r="AK30" i="77" s="1"/>
  <c r="AK32" i="77" s="1"/>
  <c r="AM21" i="77"/>
  <c r="AM30" i="77" s="1"/>
  <c r="H15" i="68" s="1"/>
  <c r="AQ21" i="77"/>
  <c r="AQ30" i="77" s="1"/>
  <c r="AQ32" i="77" s="1"/>
  <c r="AS21" i="77"/>
  <c r="AS30" i="77" s="1"/>
  <c r="AS32" i="77" s="1"/>
  <c r="AU21" i="77"/>
  <c r="AU30" i="77" s="1"/>
  <c r="AU32" i="77" s="1"/>
  <c r="AW21" i="77"/>
  <c r="AW30" i="77" s="1"/>
  <c r="AW32" i="77" s="1"/>
  <c r="BC21" i="77"/>
  <c r="BC30" i="77" s="1"/>
  <c r="BC32" i="77" s="1"/>
  <c r="BG21" i="77"/>
  <c r="BG30" i="77" s="1"/>
  <c r="D30" i="83" s="1"/>
  <c r="H14" i="77"/>
  <c r="AA32" i="77"/>
  <c r="H4" i="68"/>
  <c r="AI32" i="77"/>
  <c r="H13" i="68"/>
  <c r="AM32" i="77"/>
  <c r="R21" i="77"/>
  <c r="Z21" i="77"/>
  <c r="AB21" i="77"/>
  <c r="AD21" i="77"/>
  <c r="AH21" i="77"/>
  <c r="AJ21" i="77"/>
  <c r="AL21" i="77"/>
  <c r="AN21" i="77"/>
  <c r="AP21" i="77"/>
  <c r="AR21" i="77"/>
  <c r="AT21" i="77"/>
  <c r="AV21" i="77"/>
  <c r="AV30" i="77" s="1"/>
  <c r="AX21" i="77"/>
  <c r="BB21" i="77"/>
  <c r="BB30" i="77" s="1"/>
  <c r="BD21" i="77"/>
  <c r="BF21" i="77"/>
  <c r="BF30" i="77" s="1"/>
  <c r="BF32" i="77" s="1"/>
  <c r="W30" i="77"/>
  <c r="Z30" i="77"/>
  <c r="AB30" i="77"/>
  <c r="AD30" i="77"/>
  <c r="AH30" i="77"/>
  <c r="AJ30" i="77"/>
  <c r="AL30" i="77"/>
  <c r="AN30" i="77"/>
  <c r="AP30" i="77"/>
  <c r="AT30" i="77"/>
  <c r="AX30" i="77"/>
  <c r="BD30" i="77"/>
  <c r="C18" i="77"/>
  <c r="S4" i="77"/>
  <c r="S11" i="77"/>
  <c r="S6" i="77"/>
  <c r="D21" i="77"/>
  <c r="G9" i="77"/>
  <c r="G18" i="77" s="1"/>
  <c r="K9" i="77"/>
  <c r="K18" i="77" s="1"/>
  <c r="H21" i="77"/>
  <c r="G6" i="77"/>
  <c r="I6" i="77"/>
  <c r="I9" i="77" s="1"/>
  <c r="I18" i="77" s="1"/>
  <c r="I21" i="77" s="1"/>
  <c r="K6" i="77"/>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BI30" i="77" s="1"/>
  <c r="Q11" i="77"/>
  <c r="N30" i="77"/>
  <c r="O13" i="77"/>
  <c r="AE30" i="77"/>
  <c r="AE32" i="77" s="1"/>
  <c r="F15" i="77"/>
  <c r="J15" i="77" s="1"/>
  <c r="H15" i="77"/>
  <c r="L15" i="77" s="1"/>
  <c r="G15" i="77"/>
  <c r="K15" i="77" s="1"/>
  <c r="V30" i="77"/>
  <c r="U30" i="77"/>
  <c r="K17" i="77"/>
  <c r="K21" i="77" s="1"/>
  <c r="G17" i="77"/>
  <c r="G21" i="77" s="1"/>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AR30" i="77"/>
  <c r="I15" i="77"/>
  <c r="R30" i="77"/>
  <c r="C21" i="77"/>
  <c r="C30" i="77" s="1"/>
  <c r="D3" i="68" s="1"/>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H21" i="68" l="1"/>
  <c r="H6" i="68"/>
  <c r="D25" i="68"/>
  <c r="D26" i="83"/>
  <c r="H23" i="68"/>
  <c r="H9" i="68"/>
  <c r="BG32" i="77"/>
  <c r="H25" i="68"/>
  <c r="H19" i="68"/>
  <c r="H30" i="77"/>
  <c r="D8" i="68" s="1"/>
  <c r="R32" i="77"/>
  <c r="D18" i="68"/>
  <c r="AR32" i="77"/>
  <c r="H20" i="68"/>
  <c r="AF32" i="77"/>
  <c r="H8" i="68"/>
  <c r="V32" i="77"/>
  <c r="D22" i="68"/>
  <c r="N32" i="77"/>
  <c r="D14" i="68"/>
  <c r="BI32" i="77"/>
  <c r="F11" i="83"/>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BG33" i="77"/>
  <c r="C62" i="77" s="1"/>
  <c r="AY32" i="77"/>
  <c r="D194" i="77"/>
  <c r="D195" i="77" s="1"/>
  <c r="B196" i="77" s="1"/>
  <c r="E196" i="77" s="1"/>
  <c r="G206" i="77"/>
  <c r="G147" i="77"/>
  <c r="C32" i="77"/>
  <c r="I30" i="77"/>
  <c r="D9" i="68" s="1"/>
  <c r="M15" i="77"/>
  <c r="M30" i="77" s="1"/>
  <c r="F30" i="77"/>
  <c r="D6" i="68" s="1"/>
  <c r="L21" i="77"/>
  <c r="L30" i="77" s="1"/>
  <c r="D12" i="68" s="1"/>
  <c r="E30" i="77"/>
  <c r="D5" i="68" s="1"/>
  <c r="O30" i="77"/>
  <c r="P13" i="77"/>
  <c r="P30" i="77" s="1"/>
  <c r="G30" i="77"/>
  <c r="D7" i="68" s="1"/>
  <c r="B253" i="77"/>
  <c r="B254" i="77" s="1"/>
  <c r="BH32" i="77"/>
  <c r="BJ30" i="77"/>
  <c r="D62" i="77" s="1"/>
  <c r="G123" i="77" s="1"/>
  <c r="J30" i="77"/>
  <c r="D10" i="68" s="1"/>
  <c r="S9" i="77"/>
  <c r="S18" i="77" s="1"/>
  <c r="S21" i="77" s="1"/>
  <c r="S30" i="77" s="1"/>
  <c r="C17" i="69"/>
  <c r="N6" i="69"/>
  <c r="L6" i="69"/>
  <c r="J6" i="69"/>
  <c r="F6" i="69"/>
  <c r="Q39" i="69"/>
  <c r="R39" i="69" s="1"/>
  <c r="S39" i="69" s="1"/>
  <c r="Q38" i="69"/>
  <c r="R38" i="69" s="1"/>
  <c r="S38" i="69" s="1"/>
  <c r="Q37" i="69"/>
  <c r="R37" i="69" s="1"/>
  <c r="S37" i="69" s="1"/>
  <c r="Q36" i="69"/>
  <c r="R36" i="69" s="1"/>
  <c r="S36" i="69" s="1"/>
  <c r="Q35" i="69"/>
  <c r="R35" i="69" s="1"/>
  <c r="S35" i="69" s="1"/>
  <c r="Q34" i="69"/>
  <c r="R34" i="69" s="1"/>
  <c r="S34" i="69" s="1"/>
  <c r="Q33" i="69"/>
  <c r="R33" i="69" s="1"/>
  <c r="S33" i="69" s="1"/>
  <c r="Q32" i="69"/>
  <c r="R32" i="69" s="1"/>
  <c r="S32" i="69" s="1"/>
  <c r="Q31" i="69"/>
  <c r="R31" i="69" s="1"/>
  <c r="S31" i="69" s="1"/>
  <c r="Q30" i="69"/>
  <c r="R30" i="69" s="1"/>
  <c r="S30" i="69" s="1"/>
  <c r="Q29" i="69"/>
  <c r="R29" i="69" s="1"/>
  <c r="S29" i="69" s="1"/>
  <c r="Q28" i="69"/>
  <c r="R28" i="69" s="1"/>
  <c r="S28" i="69" s="1"/>
  <c r="Q27" i="69"/>
  <c r="R27" i="69" s="1"/>
  <c r="S27" i="69" s="1"/>
  <c r="Q26" i="69"/>
  <c r="R26" i="69" s="1"/>
  <c r="S26" i="69" s="1"/>
  <c r="Q25" i="69"/>
  <c r="R25" i="69" s="1"/>
  <c r="S25" i="69" s="1"/>
  <c r="Q18" i="69"/>
  <c r="R18" i="69" s="1"/>
  <c r="S18" i="69" s="1"/>
  <c r="Q19" i="69"/>
  <c r="R19" i="69" s="1"/>
  <c r="S19" i="69" s="1"/>
  <c r="Q20" i="69"/>
  <c r="R20" i="69" s="1"/>
  <c r="S20" i="69" s="1"/>
  <c r="Q21" i="69"/>
  <c r="R21" i="69" s="1"/>
  <c r="S21" i="69" s="1"/>
  <c r="Q22" i="69"/>
  <c r="R22" i="69" s="1"/>
  <c r="S22" i="69" s="1"/>
  <c r="Q23" i="69"/>
  <c r="R23" i="69" s="1"/>
  <c r="S23" i="69" s="1"/>
  <c r="Q24" i="69"/>
  <c r="R24" i="69" s="1"/>
  <c r="S24" i="69" s="1"/>
  <c r="Q17" i="69"/>
  <c r="R17" i="69" s="1"/>
  <c r="S17" i="69" s="1"/>
  <c r="K4" i="75"/>
  <c r="D13" i="11"/>
  <c r="E4" i="75"/>
  <c r="K5" i="76"/>
  <c r="D5" i="9"/>
  <c r="D8" i="11"/>
  <c r="E25" i="69"/>
  <c r="E26" i="69" s="1"/>
  <c r="N7" i="69"/>
  <c r="L7" i="69"/>
  <c r="J7" i="69"/>
  <c r="H7" i="69"/>
  <c r="G26" i="69" s="1"/>
  <c r="M5" i="69"/>
  <c r="K5" i="69"/>
  <c r="I5" i="69"/>
  <c r="G5" i="69"/>
  <c r="E5" i="69"/>
  <c r="M4" i="69"/>
  <c r="K4" i="69"/>
  <c r="I4" i="69"/>
  <c r="G4" i="69"/>
  <c r="E4" i="69"/>
  <c r="G81" i="46"/>
  <c r="G82" i="46"/>
  <c r="G83" i="46"/>
  <c r="G84" i="46"/>
  <c r="G85" i="46"/>
  <c r="G86" i="46"/>
  <c r="G87" i="46"/>
  <c r="G80" i="46"/>
  <c r="D29" i="46"/>
  <c r="F1" i="46"/>
  <c r="B59" i="1"/>
  <c r="F26" i="68"/>
  <c r="B26" i="68"/>
  <c r="F19" i="6"/>
  <c r="I13" i="3"/>
  <c r="D3" i="4"/>
  <c r="C150" i="77" l="1"/>
  <c r="G151" i="77"/>
  <c r="H32" i="77"/>
  <c r="C209" i="77"/>
  <c r="K32" i="77"/>
  <c r="G210" i="77"/>
  <c r="P32" i="77"/>
  <c r="D16" i="68"/>
  <c r="M32" i="77"/>
  <c r="D13" i="68"/>
  <c r="C207" i="77"/>
  <c r="D4" i="68"/>
  <c r="S32" i="77"/>
  <c r="D19" i="68"/>
  <c r="O32" i="77"/>
  <c r="D15" i="68"/>
  <c r="H26" i="68"/>
  <c r="D31" i="83"/>
  <c r="F13" i="83" s="1"/>
  <c r="F16" i="83" s="1"/>
  <c r="R5" i="75"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H5" i="59"/>
  <c r="AG5" i="59"/>
  <c r="AE5" i="59"/>
  <c r="AF5" i="59" s="1"/>
  <c r="AD5" i="59"/>
  <c r="Q5" i="59"/>
  <c r="P5" i="59"/>
  <c r="O5" i="59"/>
  <c r="N5" i="59"/>
  <c r="A27" i="69" l="1"/>
  <c r="K27" i="69"/>
  <c r="E8" i="11" s="1"/>
  <c r="D26" i="68"/>
  <c r="B28" i="68" s="1"/>
  <c r="R4" i="75" s="1"/>
  <c r="K63" i="77"/>
  <c r="L63" i="77" s="1"/>
  <c r="L37" i="77"/>
  <c r="K62" i="77"/>
  <c r="I69" i="77"/>
  <c r="C69" i="77"/>
  <c r="E69" i="77" s="1"/>
  <c r="L36" i="77"/>
  <c r="L40" i="77" s="1"/>
  <c r="B32" i="77"/>
  <c r="L28" i="69"/>
  <c r="AH6" i="59"/>
  <c r="AG6" i="59"/>
  <c r="AE6" i="59"/>
  <c r="AF6" i="59" s="1"/>
  <c r="AD6" i="59"/>
  <c r="Q6" i="59"/>
  <c r="AB5" i="59" s="1"/>
  <c r="P6" i="59"/>
  <c r="AA5" i="59" s="1"/>
  <c r="O6" i="59"/>
  <c r="Y5" i="59" s="1"/>
  <c r="Z5" i="59" s="1"/>
  <c r="N6" i="59"/>
  <c r="X5" i="59" s="1"/>
  <c r="K65" i="77" l="1"/>
  <c r="L65" i="77"/>
  <c r="AB32" i="59"/>
  <c r="AA32" i="59"/>
  <c r="Z32" i="59"/>
  <c r="Y32" i="59"/>
  <c r="X32" i="59"/>
  <c r="AB31" i="59"/>
  <c r="AA31" i="59"/>
  <c r="Y31" i="59"/>
  <c r="Z31" i="59" s="1"/>
  <c r="X31" i="59"/>
  <c r="AB30" i="59"/>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C25" i="12" l="1"/>
  <c r="F25" i="12"/>
  <c r="C16" i="11" l="1"/>
  <c r="C15" i="11"/>
  <c r="C14" i="11"/>
  <c r="C9" i="11"/>
  <c r="C8" i="11"/>
  <c r="K36" i="36" l="1"/>
  <c r="K38" i="35"/>
  <c r="K42" i="37"/>
  <c r="K49" i="34"/>
  <c r="K48" i="33" l="1"/>
  <c r="K48" i="21"/>
  <c r="K44" i="40" l="1"/>
  <c r="K49" i="39"/>
  <c r="E77" i="9"/>
  <c r="F77" i="9"/>
  <c r="AH7" i="59" l="1"/>
  <c r="AG7" i="59"/>
  <c r="AE7" i="59"/>
  <c r="AF7" i="59" s="1"/>
  <c r="AD7" i="59"/>
  <c r="Q7" i="59"/>
  <c r="P7" i="59"/>
  <c r="O7" i="59"/>
  <c r="N7" i="59"/>
  <c r="Y6" i="59" l="1"/>
  <c r="Z6" i="59" s="1"/>
  <c r="Y7" i="59"/>
  <c r="X6" i="59"/>
  <c r="X7" i="59"/>
  <c r="AA6" i="59"/>
  <c r="AA7" i="59"/>
  <c r="AB6" i="59"/>
  <c r="AB7" i="59"/>
  <c r="A21" i="31"/>
  <c r="V9" i="59" l="1"/>
  <c r="U9" i="59"/>
  <c r="T9" i="59"/>
  <c r="S9" i="59"/>
  <c r="AH8" i="59" l="1"/>
  <c r="AG8" i="59"/>
  <c r="AE8" i="59"/>
  <c r="AF8" i="59" s="1"/>
  <c r="AD8" i="59"/>
  <c r="Q8" i="59"/>
  <c r="P8" i="59"/>
  <c r="O8" i="59"/>
  <c r="Z7" i="59" s="1"/>
  <c r="N8" i="59"/>
  <c r="Q10" i="59" l="1"/>
  <c r="P10" i="59"/>
  <c r="O10" i="59"/>
  <c r="N10" i="59"/>
  <c r="AH9" i="59"/>
  <c r="AG9" i="59"/>
  <c r="AE9" i="59"/>
  <c r="AF9" i="59" s="1"/>
  <c r="AD9" i="59"/>
  <c r="Q9" i="59"/>
  <c r="P9" i="59"/>
  <c r="O9" i="59"/>
  <c r="N9" i="59"/>
  <c r="F10" i="59"/>
  <c r="F9" i="59"/>
  <c r="F8" i="59" s="1"/>
  <c r="F7" i="59" s="1"/>
  <c r="F6" i="59" s="1"/>
  <c r="F5" i="59" s="1"/>
  <c r="E10" i="59"/>
  <c r="C10" i="59"/>
  <c r="C9" i="59"/>
  <c r="C8" i="59" s="1"/>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P17" i="59"/>
  <c r="O17" i="59"/>
  <c r="N17" i="59"/>
  <c r="N18" i="59"/>
  <c r="Q18" i="59"/>
  <c r="P18" i="59"/>
  <c r="O18" i="59"/>
  <c r="K59" i="15"/>
  <c r="P62" i="15"/>
  <c r="P75" i="15"/>
  <c r="Q74" i="44"/>
  <c r="Q61" i="44"/>
  <c r="Q60" i="44"/>
  <c r="Q53" i="44"/>
  <c r="J51" i="44"/>
  <c r="J52" i="44"/>
  <c r="M48" i="44"/>
  <c r="A16" i="55"/>
  <c r="A15" i="55"/>
  <c r="B66" i="63" s="1"/>
  <c r="A14" i="55"/>
  <c r="A11" i="55"/>
  <c r="A10" i="55"/>
  <c r="B61" i="63" s="1"/>
  <c r="A9" i="55"/>
  <c r="B60" i="63" s="1"/>
  <c r="A8" i="55"/>
  <c r="A6" i="54"/>
  <c r="A8" i="54"/>
  <c r="B53" i="63" s="1"/>
  <c r="A7" i="54"/>
  <c r="A28" i="51"/>
  <c r="N4" i="63" s="1"/>
  <c r="A27" i="51"/>
  <c r="B20" i="63" s="1"/>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s="1"/>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G11" i="1" s="1"/>
  <c r="D12" i="1"/>
  <c r="D13" i="1"/>
  <c r="D6" i="1"/>
  <c r="D7" i="1"/>
  <c r="D8" i="1"/>
  <c r="D9" i="1"/>
  <c r="G9" i="1" s="1"/>
  <c r="F10" i="1"/>
  <c r="AP10" i="1" s="1"/>
  <c r="D10" i="1"/>
  <c r="G10" i="1" s="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E80" i="46" s="1"/>
  <c r="B78" i="46" s="1"/>
  <c r="C24" i="46" s="1"/>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8" i="1"/>
  <c r="L5" i="54"/>
  <c r="B39" i="63"/>
  <c r="K5" i="54"/>
  <c r="B38" i="63"/>
  <c r="T41" i="4"/>
  <c r="A17" i="64"/>
  <c r="B46" i="50"/>
  <c r="B4" i="63" s="1"/>
  <c r="C46" i="36"/>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58" i="39"/>
  <c r="E53" i="40"/>
  <c r="F27" i="6"/>
  <c r="E5" i="6"/>
  <c r="D12" i="11" s="1"/>
  <c r="C12" i="11" s="1"/>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G66" i="36"/>
  <c r="J18" i="36"/>
  <c r="AE8" i="1"/>
  <c r="AE7" i="1"/>
  <c r="W18" i="36"/>
  <c r="AC18" i="36"/>
  <c r="AG6" i="1"/>
  <c r="L20"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F34" i="46"/>
  <c r="F37"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N17" i="46"/>
  <c r="M17" i="46"/>
  <c r="E28" i="6"/>
  <c r="P13" i="1"/>
  <c r="P12" i="1"/>
  <c r="AP7" i="1"/>
  <c r="G13" i="1"/>
  <c r="D46" i="36"/>
  <c r="H50" i="46"/>
  <c r="H48" i="46"/>
  <c r="F35" i="46"/>
  <c r="H63" i="46"/>
  <c r="H66" i="46"/>
  <c r="D100" i="46"/>
  <c r="H62" i="46"/>
  <c r="AF12" i="46"/>
  <c r="K100" i="46"/>
  <c r="AB12" i="46"/>
  <c r="AJ12" i="46"/>
  <c r="H59" i="46"/>
  <c r="H55" i="46"/>
  <c r="H54" i="46"/>
  <c r="H52" i="46"/>
  <c r="H47" i="46"/>
  <c r="AD12" i="46"/>
  <c r="AH12" i="46"/>
  <c r="C14" i="59"/>
  <c r="C13" i="59"/>
  <c r="T13" i="59"/>
  <c r="B14" i="59"/>
  <c r="B13" i="59"/>
  <c r="S13" i="59"/>
  <c r="D14" i="59"/>
  <c r="V13" i="59"/>
  <c r="D13" i="59"/>
  <c r="K14" i="1"/>
  <c r="M14" i="1" s="1"/>
  <c r="E30" i="6"/>
  <c r="E46" i="36"/>
  <c r="C7" i="46"/>
  <c r="D12" i="59"/>
  <c r="D11" i="59"/>
  <c r="F46" i="36"/>
  <c r="G46" i="36" s="1"/>
  <c r="H46" i="36" s="1"/>
  <c r="B8" i="67"/>
  <c r="M30" i="44"/>
  <c r="N5" i="65"/>
  <c r="M26" i="44"/>
  <c r="J3" i="65"/>
  <c r="F43" i="44"/>
  <c r="F37" i="15"/>
  <c r="J17" i="44"/>
  <c r="M26" i="15"/>
  <c r="F9" i="67"/>
  <c r="M29" i="44"/>
  <c r="E13" i="67"/>
  <c r="F40" i="15"/>
  <c r="B12" i="67"/>
  <c r="F15" i="44"/>
  <c r="F46" i="44"/>
  <c r="B13" i="67"/>
  <c r="M22" i="15"/>
  <c r="N3" i="65"/>
  <c r="J15" i="15"/>
  <c r="L48" i="15"/>
  <c r="J36" i="15"/>
  <c r="E11" i="67"/>
  <c r="F8" i="15"/>
  <c r="I5" i="65"/>
  <c r="M11" i="44"/>
  <c r="L48" i="44"/>
  <c r="F9" i="44"/>
  <c r="F10" i="67"/>
  <c r="F8" i="67"/>
  <c r="F9" i="15"/>
  <c r="J7" i="65"/>
  <c r="M24" i="15"/>
  <c r="E8" i="67"/>
  <c r="B9" i="67"/>
  <c r="F13" i="67"/>
  <c r="N4" i="65"/>
  <c r="E9" i="67"/>
  <c r="I4" i="65"/>
  <c r="F38" i="44"/>
  <c r="M10" i="44"/>
  <c r="F38" i="15"/>
  <c r="F11" i="67"/>
  <c r="M8" i="44"/>
  <c r="F39" i="44"/>
  <c r="M23" i="15"/>
  <c r="M27" i="15"/>
  <c r="M29" i="15"/>
  <c r="M28" i="44"/>
  <c r="F14" i="67"/>
  <c r="I3" i="65"/>
  <c r="M31" i="44"/>
  <c r="F18" i="44"/>
  <c r="F42" i="15"/>
  <c r="F10" i="44"/>
  <c r="F7" i="15"/>
  <c r="F6" i="15"/>
  <c r="J4" i="65"/>
  <c r="E12" i="67"/>
  <c r="M24" i="44"/>
  <c r="F45" i="44"/>
  <c r="L47" i="15"/>
  <c r="F28" i="44"/>
  <c r="I7" i="65"/>
  <c r="B14" i="67"/>
  <c r="N7" i="65"/>
  <c r="M8" i="15"/>
  <c r="J5" i="65"/>
  <c r="E14" i="67"/>
  <c r="J6" i="65"/>
  <c r="F43" i="15"/>
  <c r="F12" i="67"/>
  <c r="B10" i="67"/>
  <c r="F40" i="44"/>
  <c r="F8" i="44"/>
  <c r="L49" i="44"/>
  <c r="M9" i="15"/>
  <c r="M25" i="44"/>
  <c r="E10" i="67"/>
  <c r="F11" i="44"/>
  <c r="F16" i="15"/>
  <c r="F26" i="15"/>
  <c r="F36" i="15"/>
  <c r="B11" i="67"/>
  <c r="I6" i="65"/>
  <c r="M6" i="15"/>
  <c r="M28" i="15"/>
  <c r="F13" i="15"/>
  <c r="N6" i="65"/>
  <c r="M43" i="9" l="1"/>
  <c r="D18" i="9"/>
  <c r="M44" i="9" s="1"/>
  <c r="A30" i="51"/>
  <c r="B22" i="63" s="1"/>
  <c r="A30" i="64"/>
  <c r="E9" i="46"/>
  <c r="E8" i="46"/>
  <c r="E10" i="46"/>
  <c r="E11" i="46"/>
  <c r="F80" i="46"/>
  <c r="M11" i="46"/>
  <c r="N2" i="46"/>
  <c r="M6" i="46"/>
  <c r="H9" i="48"/>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H65" i="46"/>
  <c r="H60" i="46"/>
  <c r="H64" i="46"/>
  <c r="I17" i="46"/>
  <c r="L17" i="46"/>
  <c r="O17" i="46"/>
  <c r="E17" i="46"/>
  <c r="H113" i="46"/>
  <c r="F38" i="46"/>
  <c r="C17" i="46"/>
  <c r="H58" i="46"/>
  <c r="D17" i="46"/>
  <c r="K17" i="46"/>
  <c r="C6" i="46"/>
  <c r="G12" i="1"/>
  <c r="G7" i="1"/>
  <c r="D70" i="39"/>
  <c r="C72" i="39"/>
  <c r="C67" i="40"/>
  <c r="D65" i="40"/>
  <c r="C31" i="43"/>
  <c r="F31" i="6"/>
  <c r="Y11" i="46"/>
  <c r="Y13" i="46" s="1"/>
  <c r="G22" i="46"/>
  <c r="F101" i="46"/>
  <c r="F104" i="46" s="1"/>
  <c r="M101" i="46"/>
  <c r="M107" i="46" s="1"/>
  <c r="AC11" i="46"/>
  <c r="AC13" i="46" s="1"/>
  <c r="AJ11" i="46"/>
  <c r="AJ13" i="46" s="1"/>
  <c r="C101" i="46"/>
  <c r="C102" i="46" s="1"/>
  <c r="J101" i="46"/>
  <c r="J109"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C15" i="43"/>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C105"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M16" i="1"/>
  <c r="P14" i="1"/>
  <c r="O8" i="1"/>
  <c r="P8" i="1" s="1"/>
  <c r="O6" i="1"/>
  <c r="BL5" i="3"/>
  <c r="AZ13" i="3"/>
  <c r="AZ5" i="3" s="1"/>
  <c r="E14" i="6"/>
  <c r="E13" i="6"/>
  <c r="E10" i="6"/>
  <c r="M102" i="46"/>
  <c r="M109" i="46"/>
  <c r="AP16" i="1"/>
  <c r="F22" i="11" s="1"/>
  <c r="C18" i="11"/>
  <c r="K77" i="9"/>
  <c r="K79" i="9" s="1"/>
  <c r="K81" i="9" s="1"/>
  <c r="E12" i="52"/>
  <c r="B15" i="52"/>
  <c r="F31" i="15"/>
  <c r="F33" i="44"/>
  <c r="D8" i="59"/>
  <c r="C7" i="59"/>
  <c r="E9" i="59"/>
  <c r="E8" i="59" s="1"/>
  <c r="E7" i="59" s="1"/>
  <c r="E6" i="59" s="1"/>
  <c r="E5" i="59" s="1"/>
  <c r="B9" i="59"/>
  <c r="B8" i="59" s="1"/>
  <c r="B7" i="59" s="1"/>
  <c r="B6" i="59" s="1"/>
  <c r="B5" i="59" s="1"/>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D9"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C16" i="15"/>
  <c r="C17" i="15"/>
  <c r="C18" i="44"/>
  <c r="C19" i="44"/>
  <c r="E3" i="65"/>
  <c r="E2" i="65"/>
  <c r="D21" i="12"/>
  <c r="F33" i="12"/>
  <c r="H81" i="46" l="1"/>
  <c r="H80" i="46"/>
  <c r="H84" i="46"/>
  <c r="H82" i="46"/>
  <c r="H87" i="46"/>
  <c r="H83" i="46"/>
  <c r="H85" i="46"/>
  <c r="H86" i="46"/>
  <c r="G17" i="46"/>
  <c r="C16" i="46" s="1"/>
  <c r="C5" i="46" s="1"/>
  <c r="C34" i="12"/>
  <c r="D33" i="12" s="1"/>
  <c r="C21" i="12"/>
  <c r="M103" i="46"/>
  <c r="M106" i="46"/>
  <c r="M105" i="46"/>
  <c r="I109" i="46"/>
  <c r="M104" i="46"/>
  <c r="J105" i="46"/>
  <c r="I106" i="46"/>
  <c r="D5" i="46"/>
  <c r="F7" i="37"/>
  <c r="S7" i="37" s="1"/>
  <c r="D67" i="40"/>
  <c r="E65" i="40"/>
  <c r="E70" i="39"/>
  <c r="D72" i="39"/>
  <c r="D7" i="59"/>
  <c r="C6"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AB7" i="37" s="1"/>
  <c r="T42" i="37" s="1"/>
  <c r="G42" i="37" s="1"/>
  <c r="J12" i="40"/>
  <c r="AC12" i="40" s="1"/>
  <c r="AB7" i="36"/>
  <c r="T36" i="36" s="1"/>
  <c r="G36" i="36" s="1"/>
  <c r="U7" i="36"/>
  <c r="AA7" i="37"/>
  <c r="R42" i="37" s="1"/>
  <c r="S7" i="36"/>
  <c r="AA7" i="36"/>
  <c r="R36" i="36" s="1"/>
  <c r="AA7" i="35"/>
  <c r="R38" i="35" s="1"/>
  <c r="S7" i="35"/>
  <c r="AC7" i="35"/>
  <c r="V38" i="35" s="1"/>
  <c r="I38" i="35" s="1"/>
  <c r="W7" i="35"/>
  <c r="E59" i="34"/>
  <c r="E58" i="21"/>
  <c r="E58" i="33"/>
  <c r="W7" i="37"/>
  <c r="AC7" i="37"/>
  <c r="V42" i="37" s="1"/>
  <c r="I42" i="37" s="1"/>
  <c r="W7" i="36"/>
  <c r="AC7" i="36"/>
  <c r="V36" i="36" s="1"/>
  <c r="I36" i="36" s="1"/>
  <c r="U7" i="35"/>
  <c r="AB7" i="35"/>
  <c r="T38" i="35" s="1"/>
  <c r="G38" i="35" s="1"/>
  <c r="F12" i="40"/>
  <c r="S12" i="40" s="1"/>
  <c r="H12" i="40"/>
  <c r="U12" i="40" s="1"/>
  <c r="E6" i="3"/>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G20" i="46" l="1"/>
  <c r="C20" i="46" s="1"/>
  <c r="C34" i="46" s="1"/>
  <c r="S2" i="46"/>
  <c r="S5" i="46"/>
  <c r="S7" i="46"/>
  <c r="S6" i="46"/>
  <c r="S3" i="46"/>
  <c r="S4" i="46"/>
  <c r="T9" i="1"/>
  <c r="T11" i="1"/>
  <c r="T13" i="1"/>
  <c r="T7" i="1"/>
  <c r="T10" i="1"/>
  <c r="U7" i="37"/>
  <c r="E72" i="39"/>
  <c r="F70" i="39"/>
  <c r="F65" i="40"/>
  <c r="E67" i="40"/>
  <c r="D6" i="59"/>
  <c r="C5" i="59"/>
  <c r="T12" i="1"/>
  <c r="T6" i="1"/>
  <c r="C115" i="46"/>
  <c r="D113" i="46" s="1"/>
  <c r="AA12" i="40"/>
  <c r="W12" i="40"/>
  <c r="AB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P16" i="1"/>
  <c r="W12" i="39"/>
  <c r="I19" i="6"/>
  <c r="M27" i="6"/>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4" i="15"/>
  <c r="F41" i="15"/>
  <c r="C16" i="44"/>
  <c r="D16" i="12"/>
  <c r="C13" i="12"/>
  <c r="C15" i="12"/>
  <c r="F68" i="15" l="1"/>
  <c r="E41" i="46"/>
  <c r="C41" i="46" s="1"/>
  <c r="C38" i="46" s="1"/>
  <c r="G38" i="46" s="1"/>
  <c r="I38" i="46" s="1"/>
  <c r="C37" i="46"/>
  <c r="G37" i="46" s="1"/>
  <c r="I37" i="46" s="1"/>
  <c r="T6" i="46"/>
  <c r="V6" i="46" s="1"/>
  <c r="C35" i="46"/>
  <c r="G35" i="46" s="1"/>
  <c r="I35" i="46" s="1"/>
  <c r="T2" i="46"/>
  <c r="V2" i="46" s="1"/>
  <c r="T5" i="46"/>
  <c r="V5" i="46" s="1"/>
  <c r="T16" i="46"/>
  <c r="V16" i="46" s="1"/>
  <c r="C17" i="12"/>
  <c r="T16" i="1"/>
  <c r="C36" i="46"/>
  <c r="G36" i="46" s="1"/>
  <c r="I36" i="46" s="1"/>
  <c r="T12" i="46"/>
  <c r="V12" i="46" s="1"/>
  <c r="T15" i="46"/>
  <c r="V15" i="46" s="1"/>
  <c r="T11" i="46"/>
  <c r="V11" i="46" s="1"/>
  <c r="T13" i="46"/>
  <c r="V13" i="46" s="1"/>
  <c r="T9" i="46"/>
  <c r="V9" i="46" s="1"/>
  <c r="T8" i="46"/>
  <c r="V8" i="46" s="1"/>
  <c r="T3" i="46"/>
  <c r="V3" i="46" s="1"/>
  <c r="T4" i="46"/>
  <c r="V4" i="46" s="1"/>
  <c r="J7" i="21"/>
  <c r="J7" i="33"/>
  <c r="F67" i="40"/>
  <c r="G65" i="40"/>
  <c r="G70" i="39"/>
  <c r="F72" i="39"/>
  <c r="D5" i="59"/>
  <c r="M20" i="46"/>
  <c r="C20" i="44"/>
  <c r="C17" i="44"/>
  <c r="C15" i="15"/>
  <c r="C18" i="15"/>
  <c r="T10" i="46"/>
  <c r="V10" i="46" s="1"/>
  <c r="C33" i="46"/>
  <c r="E33" i="46" s="1"/>
  <c r="C29" i="46"/>
  <c r="T14" i="46"/>
  <c r="V14" i="46" s="1"/>
  <c r="T7" i="46"/>
  <c r="V7" i="46" s="1"/>
  <c r="G34" i="46"/>
  <c r="I34" i="46" s="1"/>
  <c r="E34"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19" i="12"/>
  <c r="C19" i="12" s="1"/>
  <c r="C16" i="12"/>
  <c r="C65" i="15"/>
  <c r="C59" i="15"/>
  <c r="B5" i="11"/>
  <c r="B3" i="11"/>
  <c r="J4" i="75" s="1"/>
  <c r="B4" i="11"/>
  <c r="C27" i="12"/>
  <c r="D26" i="12" s="1"/>
  <c r="C32" i="12" s="1"/>
  <c r="D30" i="12" s="1"/>
  <c r="J26" i="15"/>
  <c r="J29" i="15" s="1"/>
  <c r="J24" i="15"/>
  <c r="C38" i="15"/>
  <c r="Q58" i="44"/>
  <c r="Q67" i="44"/>
  <c r="Q49" i="44"/>
  <c r="Q55" i="44" s="1"/>
  <c r="F7" i="67"/>
  <c r="D22" i="12"/>
  <c r="E38" i="46" l="1"/>
  <c r="C39" i="46"/>
  <c r="E39" i="46" s="1"/>
  <c r="C30" i="46"/>
  <c r="E30" i="46" s="1"/>
  <c r="B4" i="75"/>
  <c r="C19" i="43"/>
  <c r="C25" i="43" s="1"/>
  <c r="C24" i="43" s="1"/>
  <c r="C109" i="9"/>
  <c r="C110" i="9" s="1"/>
  <c r="E37" i="46"/>
  <c r="E35" i="46"/>
  <c r="C22" i="12"/>
  <c r="C20" i="12" s="1"/>
  <c r="E36" i="46"/>
  <c r="G33" i="46"/>
  <c r="I33" i="46" s="1"/>
  <c r="H65" i="40"/>
  <c r="G67" i="40"/>
  <c r="F7" i="34"/>
  <c r="S7" i="34" s="1"/>
  <c r="H70" i="39"/>
  <c r="G72" i="39"/>
  <c r="C21" i="44"/>
  <c r="C22" i="44" s="1"/>
  <c r="C28" i="44" s="1"/>
  <c r="C19" i="15"/>
  <c r="C20" i="15" s="1"/>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2" i="43" l="1"/>
  <c r="C21" i="43" s="1"/>
  <c r="C28" i="43" s="1"/>
  <c r="C30" i="43" s="1"/>
  <c r="C32" i="43" s="1"/>
  <c r="B2" i="43" s="1"/>
  <c r="B4" i="43" s="1"/>
  <c r="G39" i="46"/>
  <c r="I39" i="46" s="1"/>
  <c r="C27" i="46" s="1"/>
  <c r="C26" i="46"/>
  <c r="B2" i="46" s="1"/>
  <c r="C23" i="12"/>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B2" i="67"/>
  <c r="M21" i="15"/>
  <c r="F37" i="44"/>
  <c r="F35" i="15"/>
  <c r="M23" i="44"/>
  <c r="C19" i="9"/>
  <c r="B5" i="43" l="1"/>
  <c r="B3" i="43"/>
  <c r="L43" i="9"/>
  <c r="D4" i="46"/>
  <c r="B3" i="46"/>
  <c r="B4" i="46"/>
  <c r="C38" i="44"/>
  <c r="Q51" i="44"/>
  <c r="C43" i="44"/>
  <c r="J70" i="39"/>
  <c r="I72" i="39"/>
  <c r="J65" i="40"/>
  <c r="I67" i="40"/>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20" i="9"/>
  <c r="J19" i="44" l="1"/>
  <c r="J15" i="44"/>
  <c r="J25" i="44" s="1"/>
  <c r="C13" i="15"/>
  <c r="C37" i="15" s="1"/>
  <c r="C33" i="15"/>
  <c r="C31" i="15" s="1"/>
  <c r="K65" i="40"/>
  <c r="J67" i="40"/>
  <c r="K70" i="39"/>
  <c r="J72" i="39"/>
  <c r="J59" i="15"/>
  <c r="J60" i="15" s="1"/>
  <c r="Q49" i="15" s="1"/>
  <c r="C56" i="15"/>
  <c r="C60" i="15" s="1"/>
  <c r="C58" i="15" s="1"/>
  <c r="J14" i="15"/>
  <c r="J22" i="15" s="1"/>
  <c r="J19" i="15"/>
  <c r="J17" i="15" s="1"/>
  <c r="C36" i="15"/>
  <c r="C33" i="44"/>
  <c r="C32" i="44" s="1"/>
  <c r="C42" i="44" s="1"/>
  <c r="J13" i="15" l="1"/>
  <c r="J23" i="15" s="1"/>
  <c r="J16" i="15" s="1"/>
  <c r="J25" i="15" s="1"/>
  <c r="J18" i="44"/>
  <c r="J27" i="44" s="1"/>
  <c r="C30" i="15"/>
  <c r="C39" i="15" s="1"/>
  <c r="Q70" i="15" s="1"/>
  <c r="C55" i="15"/>
  <c r="C64" i="15" s="1"/>
  <c r="J35" i="15"/>
  <c r="Q71" i="15"/>
  <c r="L70" i="39"/>
  <c r="K72" i="39"/>
  <c r="K67" i="40"/>
  <c r="L65" i="40"/>
  <c r="C63" i="15"/>
  <c r="Q71" i="44"/>
  <c r="Q70" i="44" s="1"/>
  <c r="C44" i="44"/>
  <c r="C45" i="44" s="1"/>
  <c r="L52" i="44" s="1"/>
  <c r="C40" i="15" l="1"/>
  <c r="Q57" i="15" s="1"/>
  <c r="J39" i="15"/>
  <c r="J40" i="15" s="1"/>
  <c r="Q69" i="15"/>
  <c r="C57" i="15"/>
  <c r="C66" i="15" s="1"/>
  <c r="C67" i="15" s="1"/>
  <c r="C70" i="15" s="1"/>
  <c r="B2" i="44"/>
  <c r="B3" i="44" s="1"/>
  <c r="M65" i="40"/>
  <c r="L67" i="40"/>
  <c r="L72" i="39"/>
  <c r="M70" i="39"/>
  <c r="L58" i="44"/>
  <c r="L61" i="44" s="1"/>
  <c r="Q69" i="44"/>
  <c r="L51" i="15"/>
  <c r="Q68" i="15" l="1"/>
  <c r="L57" i="15"/>
  <c r="L60" i="15" s="1"/>
  <c r="Q58" i="15" s="1"/>
  <c r="Q63" i="15" s="1"/>
  <c r="Q48" i="15"/>
  <c r="Q54" i="15" s="1"/>
  <c r="C43" i="15"/>
  <c r="Q66" i="15"/>
  <c r="J42" i="15"/>
  <c r="J43" i="15" s="1"/>
  <c r="C46" i="15"/>
  <c r="Q67" i="15"/>
  <c r="L46" i="15"/>
  <c r="B2" i="15" s="1"/>
  <c r="B5" i="44"/>
  <c r="B4" i="44"/>
  <c r="H9" i="39"/>
  <c r="M72" i="39"/>
  <c r="N70" i="39"/>
  <c r="N72" i="39" s="1"/>
  <c r="J9" i="39" s="1"/>
  <c r="M67" i="40"/>
  <c r="N65" i="40"/>
  <c r="N67" i="40" s="1"/>
  <c r="Q68" i="44"/>
  <c r="Q77" i="44" s="1"/>
  <c r="Q59" i="44"/>
  <c r="Q64" i="44" s="1"/>
  <c r="Q76" i="15" l="1"/>
  <c r="B3" i="15"/>
  <c r="C10" i="12"/>
  <c r="C6" i="12" s="1"/>
  <c r="H9" i="40"/>
  <c r="W9" i="39"/>
  <c r="AC9" i="39"/>
  <c r="V49" i="39" s="1"/>
  <c r="I49" i="39" s="1"/>
  <c r="F9" i="40"/>
  <c r="J9" i="40"/>
  <c r="F9" i="39"/>
  <c r="AB9" i="40"/>
  <c r="T44" i="40" s="1"/>
  <c r="G44" i="40" s="1"/>
  <c r="G48" i="40" s="1"/>
  <c r="H48" i="40" s="1"/>
  <c r="U9" i="40"/>
  <c r="U9" i="39"/>
  <c r="AB9" i="39"/>
  <c r="T49" i="39" s="1"/>
  <c r="G49" i="39" s="1"/>
  <c r="C24" i="12" l="1"/>
  <c r="C29" i="12"/>
  <c r="G53" i="39"/>
  <c r="H53" i="39" s="1"/>
  <c r="G54" i="39"/>
  <c r="H54" i="39" s="1"/>
  <c r="AC9" i="40"/>
  <c r="V44" i="40" s="1"/>
  <c r="I44" i="40" s="1"/>
  <c r="W9" i="40"/>
  <c r="I53" i="39"/>
  <c r="J53" i="39" s="1"/>
  <c r="S9" i="39"/>
  <c r="AA9" i="39"/>
  <c r="R49" i="39" s="1"/>
  <c r="S9" i="40"/>
  <c r="AA9" i="40"/>
  <c r="R44" i="40" s="1"/>
  <c r="C28" i="12" l="1"/>
  <c r="C26" i="12" s="1"/>
  <c r="C31" i="12" s="1"/>
  <c r="C30" i="12" s="1"/>
  <c r="C35" i="12"/>
  <c r="C33" i="12" s="1"/>
  <c r="G49" i="40"/>
  <c r="H49" i="40" s="1"/>
  <c r="I48" i="40"/>
  <c r="J48" i="40" s="1"/>
  <c r="R45" i="40"/>
  <c r="E44" i="40"/>
  <c r="E49" i="39"/>
  <c r="R50" i="39"/>
  <c r="C36" i="12" l="1"/>
  <c r="B2" i="12" s="1"/>
  <c r="C49" i="39"/>
  <c r="C50" i="39"/>
  <c r="E48" i="40"/>
  <c r="F48" i="40" s="1"/>
  <c r="E49" i="40"/>
  <c r="F49" i="40" s="1"/>
  <c r="E54" i="39"/>
  <c r="F54" i="39" s="1"/>
  <c r="E53" i="39"/>
  <c r="F53" i="39" s="1"/>
  <c r="I54" i="39"/>
  <c r="J54" i="39" s="1"/>
  <c r="C44" i="40"/>
  <c r="C45" i="40"/>
  <c r="I49" i="40"/>
  <c r="J49" i="40" s="1"/>
  <c r="B4" i="12"/>
  <c r="D19" i="9"/>
  <c r="L44" i="9" l="1"/>
  <c r="D22" i="9"/>
  <c r="G19" i="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5" i="12"/>
  <c r="D21" i="9"/>
  <c r="B3" i="12"/>
  <c r="D4" i="75" l="1"/>
  <c r="F4" i="75" s="1"/>
  <c r="G21" i="9"/>
  <c r="N43" i="9"/>
  <c r="C32" i="9"/>
  <c r="G22" i="9"/>
  <c r="B4" i="39"/>
  <c r="B3" i="39"/>
  <c r="B5" i="39"/>
  <c r="B3" i="40"/>
  <c r="B5" i="40"/>
  <c r="B4" i="40"/>
  <c r="D20" i="9"/>
  <c r="G20" i="9" l="1"/>
  <c r="H4" i="75"/>
  <c r="L4" i="75" s="1"/>
  <c r="M4" i="75" s="1"/>
  <c r="R3" i="75" s="1"/>
  <c r="R15" i="75" s="1"/>
  <c r="C35" i="9"/>
  <c r="F42" i="9" s="1"/>
  <c r="C42" i="9"/>
  <c r="C33" i="9"/>
  <c r="O43" i="9"/>
  <c r="O38" i="9"/>
  <c r="C34" i="9"/>
  <c r="S11" i="75" l="1"/>
  <c r="S12" i="75" s="1"/>
  <c r="R9" i="75"/>
  <c r="R11" i="75" s="1"/>
  <c r="L6" i="75"/>
  <c r="K25" i="9"/>
  <c r="K26" i="9"/>
  <c r="D42" i="9"/>
  <c r="Q5" i="54" s="1"/>
  <c r="B47" i="63" s="1"/>
  <c r="N38" i="9"/>
  <c r="K28" i="9" s="1"/>
  <c r="E42" i="9"/>
  <c r="P5" i="54" s="1"/>
  <c r="B46" i="63" s="1"/>
  <c r="M38" i="9"/>
  <c r="K27" i="9" s="1"/>
  <c r="D14" i="66"/>
  <c r="N68" i="9"/>
  <c r="D63" i="9"/>
  <c r="R5" i="54"/>
  <c r="B48" i="63" s="1"/>
  <c r="C111" i="9" l="1"/>
  <c r="C104" i="9" s="1"/>
  <c r="D70" i="9"/>
  <c r="D73" i="9"/>
  <c r="N73" i="9" s="1"/>
  <c r="C103" i="9"/>
  <c r="C82" i="9"/>
  <c r="C81" i="9" s="1"/>
  <c r="C85" i="9" s="1"/>
  <c r="C86" i="9" s="1"/>
  <c r="D72" i="9" s="1"/>
  <c r="D71" i="9"/>
  <c r="D66" i="9" s="1"/>
  <c r="N72" i="9" s="1"/>
  <c r="C96" i="9"/>
  <c r="C91" i="9" s="1"/>
  <c r="C90" i="9"/>
  <c r="E14" i="66"/>
  <c r="F14" i="66"/>
  <c r="B5" i="66"/>
  <c r="D5" i="66" l="1"/>
  <c r="C5" i="66"/>
  <c r="C97" i="9"/>
  <c r="C113" i="9"/>
  <c r="C98" i="9" l="1"/>
  <c r="E98" i="9" s="1"/>
  <c r="E99" i="9" s="1"/>
  <c r="C114" i="9"/>
  <c r="E114" i="9" s="1"/>
  <c r="E115"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liu</author>
  </authors>
  <commentList>
    <comment ref="G13"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<sst xmlns="http://schemas.openxmlformats.org/spreadsheetml/2006/main" count="9421" uniqueCount="4593">
  <si>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</si>
  <si>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</si>
  <si>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</si>
  <si>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</si>
  <si>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</si>
  <si>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</si>
  <si>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</si>
  <si>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</si>
  <si>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</si>
  <si>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</si>
  <si>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</si>
  <si>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</si>
  <si>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</si>
  <si>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</si>
  <si>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</si>
  <si>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</si>
  <si>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</si>
  <si>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</si>
  <si>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</si>
  <si>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</si>
  <si>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</si>
  <si>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</si>
  <si>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</si>
  <si>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</si>
  <si>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</si>
  <si>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</si>
  <si>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</si>
  <si>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</si>
  <si>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</si>
  <si>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</si>
  <si>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</si>
  <si>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</si>
  <si>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</si>
  <si>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</si>
  <si>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</si>
  <si>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</si>
  <si>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</si>
  <si>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</si>
  <si>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</si>
  <si>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</si>
  <si>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</si>
  <si>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</si>
  <si>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</si>
  <si>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</si>
  <si>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</si>
  <si>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</si>
  <si>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</si>
  <si>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</si>
  <si>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</si>
  <si>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</si>
  <si>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</si>
  <si>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</si>
  <si>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</si>
  <si>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</si>
  <si>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</si>
  <si>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</si>
  <si>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</si>
  <si>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</si>
  <si>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</si>
  <si>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</si>
  <si>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</si>
  <si>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</si>
  <si>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</si>
  <si>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</si>
  <si>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</si>
  <si>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</si>
  <si>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</si>
  <si>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</si>
  <si>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</si>
  <si>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</si>
  <si>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</si>
  <si>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</si>
  <si>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</si>
  <si>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</si>
  <si>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</si>
  <si>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</si>
  <si>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</si>
  <si>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</si>
  <si>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</si>
  <si>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</si>
  <si>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</si>
  <si>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</si>
  <si>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</si>
  <si>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</si>
  <si>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</si>
  <si>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</si>
  <si>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</si>
  <si>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</si>
  <si>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</si>
  <si>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</si>
  <si>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</si>
  <si>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</si>
  <si>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</si>
  <si>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</si>
  <si>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</si>
  <si>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</si>
  <si>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</si>
  <si>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</si>
  <si>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</si>
  <si>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</si>
  <si>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</si>
  <si>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</si>
  <si>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</si>
  <si>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</si>
  <si>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</si>
  <si>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</si>
  <si>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</si>
  <si>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</si>
  <si>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</si>
  <si>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</si>
  <si>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</si>
  <si>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</si>
  <si>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</si>
  <si>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</si>
  <si>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</si>
  <si>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</si>
  <si>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</si>
  <si>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</si>
  <si>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</si>
  <si>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</si>
  <si>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</si>
  <si>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</si>
  <si>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</si>
  <si>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</si>
  <si>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</si>
  <si>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</si>
  <si>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</si>
  <si>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</si>
  <si>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</si>
  <si>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</si>
  <si>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</si>
  <si>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</si>
  <si>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</si>
  <si>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</si>
  <si>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</si>
  <si>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</si>
  <si>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</si>
  <si>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</si>
  <si>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</si>
  <si>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</si>
  <si>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</si>
  <si>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</si>
  <si>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</si>
  <si>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</si>
  <si>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</si>
  <si>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</si>
  <si>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</si>
  <si>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</si>
  <si>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</si>
  <si>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</si>
  <si>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</si>
  <si>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</si>
  <si>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</si>
  <si>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</si>
  <si>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</si>
  <si>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</si>
  <si>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</si>
  <si>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</si>
  <si>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</si>
  <si>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</si>
  <si>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</si>
  <si>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</si>
  <si>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</si>
  <si>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</si>
  <si>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</si>
  <si>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</si>
  <si>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</si>
  <si>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</si>
  <si>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</si>
  <si>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</si>
  <si>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</si>
  <si>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</si>
  <si>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</si>
  <si>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</si>
  <si>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</si>
  <si>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</si>
  <si>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</si>
  <si>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</si>
  <si>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</si>
  <si>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</si>
  <si>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</si>
  <si>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</si>
  <si>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</si>
  <si>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</si>
  <si>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</si>
  <si>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</si>
  <si>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</si>
  <si>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</si>
  <si>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</si>
  <si>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</si>
  <si>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</si>
  <si>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</si>
  <si>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</si>
  <si>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</si>
  <si>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</si>
  <si>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</si>
  <si>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</si>
  <si>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</si>
  <si>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</si>
  <si>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</si>
  <si>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</si>
  <si>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</si>
  <si>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</si>
  <si>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</si>
  <si>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</si>
  <si>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</si>
  <si>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</si>
  <si>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</si>
  <si>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</si>
  <si>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</si>
  <si>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</si>
  <si>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</si>
  <si>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</si>
  <si>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</si>
  <si>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</si>
  <si>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</si>
  <si>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</si>
  <si>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</si>
  <si>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</si>
  <si>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</si>
  <si>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</si>
  <si>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</si>
  <si>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</si>
  <si>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</si>
  <si>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</si>
  <si>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</si>
  <si>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</si>
  <si>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</si>
  <si>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</si>
  <si>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</si>
  <si>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</si>
  <si>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</si>
  <si>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</si>
  <si>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</si>
  <si>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</si>
  <si>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</si>
  <si>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</si>
  <si>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</si>
  <si>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</si>
  <si>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</si>
  <si>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</si>
  <si>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</si>
  <si>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</si>
  <si>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</si>
  <si>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</si>
  <si>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</si>
  <si>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</si>
  <si>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</si>
  <si>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</si>
  <si>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</si>
  <si>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</si>
  <si>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</si>
  <si>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</si>
  <si>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</si>
  <si>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</si>
  <si>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</si>
  <si>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</si>
  <si>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</si>
  <si>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</si>
  <si>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</si>
  <si>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</si>
  <si>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</si>
  <si>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</si>
  <si>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</si>
  <si>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</si>
  <si>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</si>
  <si>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</si>
  <si>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</si>
  <si>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</si>
  <si>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</si>
  <si>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</si>
  <si>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</si>
  <si>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</si>
  <si>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</si>
  <si>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</si>
  <si>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</si>
  <si>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</si>
  <si>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</si>
  <si>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</si>
  <si>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</si>
  <si>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</si>
  <si>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</si>
  <si>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</si>
  <si>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</si>
  <si>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</si>
  <si>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</si>
  <si>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</si>
  <si>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</si>
  <si>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</si>
  <si>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</si>
  <si>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</si>
  <si>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</si>
  <si>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</si>
  <si>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</si>
  <si>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</si>
  <si>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</si>
  <si>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</si>
  <si>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</si>
  <si>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</si>
  <si>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</si>
  <si>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</si>
  <si>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</si>
  <si>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</si>
  <si>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</si>
  <si>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</si>
  <si>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</si>
  <si>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</si>
  <si>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</si>
  <si>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</si>
  <si>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</si>
  <si>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</si>
  <si>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</si>
  <si>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</si>
  <si>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</si>
  <si>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</si>
  <si>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</si>
  <si>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</si>
  <si>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</si>
  <si>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</si>
  <si>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</si>
  <si>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</si>
  <si>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</si>
  <si>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</si>
  <si>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</si>
  <si>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</si>
  <si>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</si>
  <si>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</si>
  <si>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</si>
  <si>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</si>
  <si>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</si>
  <si>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</si>
  <si>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</si>
  <si>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</si>
  <si>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</si>
  <si>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</si>
  <si>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</si>
  <si>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</si>
  <si>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</si>
  <si>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</si>
  <si>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</si>
  <si>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</si>
  <si>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</si>
  <si>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</si>
  <si>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</si>
  <si>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</si>
  <si>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</si>
  <si>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</si>
  <si>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</si>
  <si>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</si>
  <si>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</si>
  <si>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</si>
  <si>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</si>
  <si>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</si>
  <si>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</si>
  <si>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</si>
  <si>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</si>
  <si>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</si>
  <si>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</si>
  <si>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</si>
  <si>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</si>
  <si>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</si>
  <si>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</si>
  <si>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</si>
  <si>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</si>
  <si>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</si>
  <si>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</si>
  <si>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</si>
  <si>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</si>
  <si>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</si>
  <si>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</si>
  <si>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</si>
  <si>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</si>
  <si>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</si>
  <si>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</si>
  <si>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</si>
  <si>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</si>
  <si>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</si>
  <si>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</si>
  <si>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</si>
  <si>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</si>
  <si>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</si>
  <si>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</si>
  <si>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</si>
  <si>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</si>
  <si>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</si>
  <si>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</si>
  <si>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</si>
  <si>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</si>
  <si>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</si>
  <si>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</si>
  <si>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</si>
  <si>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</si>
  <si>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</si>
  <si>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</si>
  <si>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</si>
  <si>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</si>
  <si>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</si>
  <si>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</si>
  <si>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</si>
  <si>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</si>
  <si>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</si>
  <si>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</si>
  <si>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</si>
  <si>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</si>
  <si>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</si>
  <si>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</si>
  <si>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</si>
  <si>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</si>
  <si>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</si>
  <si>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</si>
  <si>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</si>
  <si>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</si>
  <si>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</si>
  <si>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</si>
  <si>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</si>
  <si>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</si>
  <si>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</si>
  <si>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</si>
  <si>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</si>
  <si>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</si>
  <si>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</si>
  <si>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</si>
  <si>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</si>
  <si>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</si>
  <si>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</si>
  <si>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</si>
  <si>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</si>
  <si>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</si>
  <si>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</si>
  <si>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</si>
  <si>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</si>
  <si>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</si>
  <si>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</si>
  <si>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</si>
  <si>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</si>
  <si>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</si>
  <si>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</si>
  <si>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</si>
  <si>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</si>
  <si>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</si>
  <si>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</si>
  <si>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</si>
  <si>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</si>
  <si>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</si>
  <si>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</si>
  <si>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</si>
  <si>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</si>
  <si>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</si>
  <si>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</si>
  <si>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</si>
  <si>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</si>
  <si>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</si>
  <si>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</si>
  <si>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</si>
  <si>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</si>
  <si>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</si>
  <si>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</si>
  <si>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</si>
  <si>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</si>
  <si>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</si>
  <si>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</si>
  <si>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</si>
  <si>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</si>
  <si>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</si>
  <si>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</si>
  <si>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</si>
  <si>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</si>
  <si>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</si>
  <si>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</si>
  <si>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</si>
  <si>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</si>
  <si>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</si>
  <si>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</si>
  <si>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</si>
  <si>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</si>
  <si>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</si>
  <si>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</si>
  <si>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</si>
  <si>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</si>
  <si>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</si>
  <si>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</si>
  <si>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</si>
  <si>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</si>
  <si>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</si>
  <si>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</si>
  <si>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</si>
  <si>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</si>
  <si>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</si>
  <si>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</si>
  <si>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</si>
  <si>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</si>
  <si>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</si>
  <si>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</si>
  <si>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</si>
  <si>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</si>
  <si>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</si>
  <si>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</si>
  <si>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</si>
  <si>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</si>
  <si>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</si>
  <si>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</si>
  <si>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</si>
  <si>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</si>
  <si>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</si>
  <si>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</si>
  <si>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</si>
  <si>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</si>
  <si>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</si>
  <si>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</si>
  <si>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</si>
  <si>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</si>
  <si>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</si>
  <si>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</si>
  <si>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</si>
  <si>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</si>
  <si>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</si>
  <si>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</si>
  <si>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</si>
  <si>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</si>
  <si>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</si>
  <si>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</si>
  <si>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</si>
  <si>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</si>
  <si>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</si>
  <si>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</si>
  <si>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</si>
  <si>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</si>
  <si>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</si>
  <si>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</si>
  <si>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</si>
  <si>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</si>
  <si>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</si>
  <si>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</si>
  <si>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</si>
  <si>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</si>
  <si>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</si>
  <si>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</si>
  <si>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</si>
  <si>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</si>
  <si>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</si>
  <si>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</si>
  <si>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</si>
  <si>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</si>
  <si>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</si>
  <si>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</si>
  <si>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</si>
  <si>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</si>
  <si>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</si>
  <si>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</si>
  <si>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</si>
  <si>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</si>
  <si>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</si>
  <si>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</si>
  <si>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</si>
  <si>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</si>
  <si>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</si>
  <si>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</si>
  <si>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</si>
  <si>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</si>
  <si>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</si>
  <si>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</si>
  <si>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</si>
  <si>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</si>
  <si>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</si>
  <si>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</si>
  <si>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</si>
  <si>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</si>
  <si>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</si>
  <si>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</si>
  <si>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</si>
  <si>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</si>
  <si>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</si>
  <si>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</si>
  <si>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</si>
  <si>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</si>
  <si>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</si>
  <si>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</si>
  <si>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</si>
  <si>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</si>
  <si>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</si>
  <si>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</si>
  <si>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</si>
  <si>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</si>
  <si>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</si>
  <si>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</si>
  <si>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</si>
  <si>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</si>
  <si>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</si>
  <si>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</si>
  <si>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</si>
  <si>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</si>
  <si>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</si>
  <si>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</si>
  <si>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</si>
  <si>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</si>
  <si>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</si>
  <si>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</si>
  <si>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</si>
  <si>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</si>
  <si>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</si>
  <si>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</si>
  <si>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</si>
  <si>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</si>
  <si>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</si>
  <si>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</si>
  <si>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</si>
  <si>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</si>
  <si>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</si>
  <si>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</si>
  <si>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</si>
  <si>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</si>
  <si>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</si>
  <si>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</si>
  <si>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</si>
  <si>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</si>
  <si>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</si>
  <si>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</si>
  <si>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</si>
  <si>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</si>
  <si>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</si>
  <si>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</si>
  <si>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</si>
  <si>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</si>
  <si>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</si>
  <si>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</si>
  <si>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</si>
  <si>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</si>
  <si>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</si>
  <si>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</si>
  <si>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</si>
  <si>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</si>
  <si>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</si>
  <si>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</si>
  <si>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</si>
  <si>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</si>
  <si>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</si>
  <si>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</si>
  <si>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</si>
  <si>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</si>
  <si>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</si>
  <si>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</si>
  <si>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</si>
  <si>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</si>
  <si>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</si>
  <si>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</si>
  <si>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</si>
  <si>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</si>
  <si>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</si>
  <si>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</si>
  <si>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</si>
  <si>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</si>
  <si>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</si>
  <si>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</si>
  <si>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</si>
  <si>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</si>
  <si>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</si>
  <si>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</si>
  <si>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</si>
  <si>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</si>
  <si>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</si>
  <si>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</si>
  <si>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</si>
  <si>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</si>
  <si>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</si>
  <si>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</si>
  <si>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</si>
  <si>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</si>
  <si>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</si>
  <si>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</si>
  <si>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</si>
  <si>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</si>
  <si>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</si>
  <si>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</si>
  <si>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</si>
  <si>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</si>
  <si>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</si>
  <si>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</si>
  <si>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</si>
  <si>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</si>
  <si>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</si>
  <si>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</si>
  <si>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</si>
  <si>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</si>
  <si>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</si>
  <si>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</si>
  <si>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</si>
  <si>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</si>
  <si>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</si>
  <si>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</si>
  <si>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</si>
  <si>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</si>
  <si>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</si>
  <si>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</si>
  <si>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</si>
  <si>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</si>
  <si>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</si>
  <si>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</si>
  <si>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</si>
  <si>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</si>
  <si>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</si>
  <si>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</si>
  <si>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</si>
  <si>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</si>
  <si>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</si>
  <si>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</si>
  <si>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</si>
  <si>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</si>
  <si>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</si>
  <si>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</si>
  <si>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</si>
  <si>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</si>
  <si>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</si>
  <si>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</si>
  <si>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</si>
  <si>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</si>
  <si>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</si>
  <si>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</si>
  <si>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</si>
  <si>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</si>
  <si>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</si>
  <si>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</si>
  <si>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</si>
  <si>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</si>
  <si>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</si>
  <si>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</si>
  <si>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</si>
  <si>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</si>
  <si>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</si>
  <si>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</si>
  <si>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</si>
  <si>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</si>
  <si>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</si>
  <si>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</si>
  <si>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</si>
  <si>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</si>
  <si>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</si>
  <si>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</si>
  <si>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</si>
  <si>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</si>
  <si>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</si>
  <si>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</si>
  <si>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</si>
  <si>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</si>
  <si>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</si>
  <si>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</si>
  <si>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</si>
  <si>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</si>
  <si>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</si>
  <si>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</si>
  <si>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</si>
  <si>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</si>
  <si>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</si>
  <si>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</si>
  <si>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</si>
  <si>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</si>
  <si>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</si>
  <si>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</si>
  <si>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</si>
  <si>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</si>
  <si>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</si>
  <si>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</si>
  <si>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</si>
  <si>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</si>
  <si>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</si>
  <si>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</si>
  <si>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</si>
  <si>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</si>
  <si>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</si>
  <si>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</si>
  <si>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</si>
  <si>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</si>
  <si>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</si>
  <si>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</si>
  <si>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</si>
  <si>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</si>
  <si>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</si>
  <si>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</si>
  <si>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</si>
  <si>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</si>
  <si>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</si>
  <si>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</si>
  <si>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</si>
  <si>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</si>
  <si>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</si>
  <si>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</si>
  <si>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</si>
  <si>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</si>
  <si>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</si>
  <si>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</si>
  <si>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</si>
  <si>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</si>
  <si>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</si>
  <si>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</si>
  <si>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</si>
  <si>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</si>
  <si>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</si>
  <si>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</si>
  <si>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</si>
  <si>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</si>
  <si>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</si>
  <si>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</si>
  <si>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</si>
  <si>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</si>
  <si>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</si>
  <si>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</si>
  <si>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</si>
  <si>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</si>
  <si>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</si>
  <si>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</si>
  <si>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</si>
  <si>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</si>
  <si>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</si>
  <si>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</si>
  <si>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</si>
  <si>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</si>
  <si>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</si>
  <si>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</si>
  <si>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</si>
  <si>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</si>
  <si>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</si>
  <si>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</si>
  <si>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</si>
  <si>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</si>
  <si>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</si>
  <si>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</si>
  <si>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</si>
  <si>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</si>
  <si>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</si>
  <si>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</si>
  <si>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</si>
  <si>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</si>
  <si>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</si>
  <si>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</si>
  <si>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</si>
  <si>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</si>
  <si>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</si>
  <si>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</si>
  <si>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</si>
  <si>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</si>
  <si>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</si>
  <si>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</si>
  <si>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</si>
  <si>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</si>
  <si>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</si>
  <si>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</si>
  <si>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</si>
  <si>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</si>
  <si>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</si>
  <si>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</si>
  <si>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</si>
  <si>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</si>
  <si>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</si>
  <si>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</si>
  <si>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</si>
  <si>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</si>
  <si>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</si>
  <si>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</si>
  <si>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</si>
  <si>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</si>
  <si>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</si>
  <si>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</si>
  <si>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</si>
  <si>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</si>
  <si>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</si>
  <si>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</si>
  <si>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</si>
  <si>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</si>
  <si>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</si>
  <si>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</si>
  <si>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</si>
  <si>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</si>
  <si>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</si>
  <si>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</si>
  <si>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</si>
  <si>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</si>
  <si>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</si>
  <si>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</si>
  <si>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</si>
  <si>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</si>
  <si>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</si>
  <si>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</si>
  <si>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</si>
  <si>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</si>
  <si>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</si>
  <si>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</si>
  <si>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</si>
  <si>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</si>
  <si>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</si>
  <si>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</si>
  <si>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</si>
  <si>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</si>
  <si>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</si>
  <si>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</si>
  <si>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</si>
  <si>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</si>
  <si>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</si>
  <si>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</si>
  <si>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</si>
  <si>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</si>
  <si>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</si>
  <si>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</si>
  <si>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</si>
  <si>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</si>
  <si>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</si>
  <si>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</si>
  <si>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</si>
  <si>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</si>
  <si>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</si>
  <si>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</si>
  <si>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</si>
  <si>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</si>
  <si>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</si>
  <si>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</si>
  <si>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</si>
  <si>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</si>
  <si>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</si>
  <si>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</si>
  <si>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</si>
  <si>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</si>
  <si>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</si>
  <si>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</si>
  <si>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</si>
  <si>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</si>
  <si>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</si>
  <si>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</si>
  <si>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</si>
  <si>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</si>
  <si>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</si>
  <si>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</si>
  <si>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</si>
  <si>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</si>
  <si>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</si>
  <si>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</si>
  <si>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</si>
  <si>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</si>
  <si>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</si>
  <si>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</si>
  <si>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</si>
  <si>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</si>
  <si>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</si>
  <si>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</si>
  <si>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</si>
  <si>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</si>
  <si>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</si>
  <si>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</si>
  <si>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</si>
  <si>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</si>
  <si>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</si>
  <si>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</si>
  <si>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</si>
  <si>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</si>
  <si>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</si>
  <si>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</si>
  <si>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</si>
  <si>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</si>
  <si>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</si>
  <si>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</si>
  <si>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</si>
  <si>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</si>
  <si>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</si>
  <si>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</si>
  <si>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</si>
  <si>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</si>
  <si>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</si>
  <si>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</si>
  <si>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</si>
  <si>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</si>
  <si>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</si>
  <si>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</si>
  <si>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</si>
  <si>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</si>
  <si>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</si>
  <si>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</si>
  <si>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</si>
  <si>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</si>
  <si>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</si>
  <si>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</si>
  <si>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</si>
  <si>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</si>
  <si>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</si>
  <si>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</si>
  <si>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</si>
  <si>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</si>
  <si>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</si>
  <si>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</si>
  <si>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</si>
  <si>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</si>
  <si>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</si>
  <si>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</si>
  <si>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</si>
  <si>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</si>
  <si>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</si>
  <si>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</si>
  <si>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</si>
  <si>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</si>
  <si>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</si>
  <si>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</si>
  <si>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</si>
  <si>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</si>
  <si>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</si>
  <si>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</si>
  <si>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</si>
  <si>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</si>
  <si>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</si>
  <si>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</si>
  <si>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</si>
  <si>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</si>
  <si>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</si>
  <si>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</si>
  <si>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</si>
  <si>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</si>
  <si>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</si>
  <si>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</si>
  <si>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</si>
  <si>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</si>
  <si>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</si>
  <si>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</si>
  <si>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</si>
  <si>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</si>
  <si>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</si>
  <si>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</si>
  <si>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</si>
  <si>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</si>
  <si>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</si>
  <si>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</si>
  <si>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</si>
  <si>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</si>
  <si>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</si>
  <si>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</si>
  <si>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</si>
  <si>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</si>
  <si>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</si>
  <si>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</si>
  <si>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</si>
  <si>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</si>
  <si>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</si>
  <si>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</si>
  <si>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</si>
  <si>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</si>
  <si>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</si>
  <si>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</si>
  <si>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</si>
  <si>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</si>
  <si>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</si>
  <si>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</si>
  <si>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</si>
  <si>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</si>
  <si>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</si>
  <si>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</si>
  <si>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</si>
  <si>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</si>
  <si>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</si>
  <si>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</si>
  <si>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</si>
  <si>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</si>
  <si>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</si>
  <si>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</si>
  <si>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</si>
  <si>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</si>
  <si>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</si>
  <si>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</si>
  <si>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</si>
  <si>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</si>
  <si>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</si>
  <si>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</si>
  <si>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</si>
  <si>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</si>
  <si>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</si>
  <si>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</si>
  <si>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</si>
  <si>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</si>
  <si>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</si>
  <si>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</si>
  <si>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</si>
  <si>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</si>
  <si>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</si>
  <si>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</si>
  <si>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</si>
  <si>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</si>
  <si>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</si>
  <si>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</si>
  <si>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</si>
  <si>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</si>
  <si>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</si>
  <si>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</si>
  <si>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</si>
  <si>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</si>
  <si>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</si>
  <si>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</si>
  <si>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</si>
  <si>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</si>
  <si>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</si>
  <si>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</si>
  <si>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</si>
  <si>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</si>
  <si>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</si>
  <si>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</si>
  <si>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</si>
  <si>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</si>
  <si>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</si>
  <si>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</si>
  <si>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</si>
  <si>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</si>
  <si>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</si>
  <si>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</si>
  <si>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</si>
  <si>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</si>
  <si>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</si>
  <si>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</si>
  <si>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</si>
  <si>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</si>
  <si>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</si>
  <si>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</si>
  <si>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</si>
  <si>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</si>
  <si>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</si>
  <si>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</si>
  <si>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</si>
  <si>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</si>
  <si>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</si>
  <si>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</si>
  <si>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</si>
  <si>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</si>
  <si>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</si>
  <si>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</si>
  <si>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</si>
  <si>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</si>
  <si>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</si>
  <si>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</si>
  <si>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</si>
  <si>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</si>
  <si>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</si>
  <si>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</si>
  <si>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</si>
  <si>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</si>
  <si>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</si>
  <si>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</si>
  <si>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</si>
  <si>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</si>
  <si>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</si>
  <si>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</si>
  <si>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</si>
  <si>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</si>
  <si>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</si>
  <si>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</si>
  <si>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</si>
  <si>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</si>
  <si>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</si>
  <si>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</si>
  <si>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</si>
  <si>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</si>
  <si>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</si>
  <si>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</si>
  <si>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</si>
  <si>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</si>
  <si>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</si>
  <si>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</si>
  <si>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</si>
  <si>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</si>
  <si>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</si>
  <si>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</si>
  <si>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</si>
  <si>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</si>
  <si>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</si>
  <si>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</si>
  <si>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</si>
  <si>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</si>
  <si>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</si>
  <si>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</si>
  <si>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</si>
  <si>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</si>
  <si>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</si>
  <si>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</si>
  <si>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</si>
  <si>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</si>
  <si>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</si>
  <si>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</si>
  <si>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</si>
  <si>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</si>
  <si>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</si>
  <si>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</si>
  <si>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</si>
  <si>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</si>
  <si>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</si>
  <si>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</si>
  <si>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</si>
  <si>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</si>
  <si>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</si>
  <si>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</si>
  <si>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</si>
  <si>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</si>
  <si>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</si>
  <si>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</si>
  <si>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</si>
  <si>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</si>
  <si>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</si>
  <si>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</si>
  <si>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</si>
  <si>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</si>
  <si>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</si>
  <si>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</si>
  <si>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</si>
  <si>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</si>
  <si>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</si>
  <si>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</si>
  <si>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</si>
  <si>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</si>
  <si>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</si>
  <si>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</si>
  <si>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</si>
  <si>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</si>
  <si>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</si>
  <si>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</si>
  <si>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</si>
  <si>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</si>
  <si>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</si>
  <si>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</si>
  <si>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</si>
  <si>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</si>
  <si>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</si>
  <si>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</si>
  <si>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</si>
  <si>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</si>
  <si>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</si>
  <si>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</si>
  <si>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</si>
  <si>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</si>
  <si>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</si>
  <si>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</si>
  <si>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</si>
  <si>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</si>
  <si>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</si>
  <si>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</si>
  <si>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</si>
  <si>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</si>
  <si>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</si>
  <si>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</si>
  <si>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</si>
  <si>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</si>
  <si>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</si>
  <si>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</si>
  <si>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</si>
  <si>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</si>
  <si>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</si>
  <si>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</si>
  <si>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</si>
  <si>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</si>
  <si>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</si>
  <si>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</si>
  <si>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</si>
  <si>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</si>
  <si>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</si>
  <si>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</si>
  <si>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</si>
  <si>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</si>
  <si>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</si>
  <si>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</si>
  <si>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</si>
  <si>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</si>
  <si>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</si>
  <si>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</si>
  <si>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</si>
  <si>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</si>
  <si>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</si>
  <si>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</si>
  <si>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</si>
  <si>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</si>
  <si>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</si>
  <si>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</si>
  <si>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</si>
  <si>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</si>
  <si>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</si>
  <si>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</si>
  <si>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</si>
  <si>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</si>
  <si>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</si>
  <si>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</si>
  <si>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</si>
  <si>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</si>
  <si>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</si>
  <si>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</si>
  <si>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</si>
  <si>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</si>
  <si>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</si>
  <si>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</si>
  <si>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</si>
  <si>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</si>
  <si>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</si>
  <si>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</si>
  <si>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</si>
  <si>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</si>
  <si>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</si>
  <si>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</si>
  <si>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</si>
  <si>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</si>
  <si>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</si>
  <si>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</si>
  <si>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</si>
  <si>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</si>
  <si>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</si>
  <si>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</si>
  <si>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</si>
  <si>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</si>
  <si>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</si>
  <si>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</si>
  <si>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</si>
  <si>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</si>
  <si>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</si>
  <si>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</si>
  <si>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</si>
  <si>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</si>
  <si>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</si>
  <si>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</si>
  <si>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</si>
  <si>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</si>
  <si>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</si>
  <si>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</si>
  <si>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</si>
  <si>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</si>
  <si>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</si>
  <si>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</si>
  <si>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</si>
  <si>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</si>
  <si>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</si>
  <si>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</si>
  <si>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</si>
  <si>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</si>
  <si>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</si>
  <si>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</si>
  <si>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</si>
  <si>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</si>
  <si>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</si>
  <si>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</si>
  <si>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</si>
  <si>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</si>
  <si>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</si>
  <si>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</si>
  <si>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</si>
  <si>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</si>
  <si>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</si>
  <si>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</si>
  <si>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</si>
  <si>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</si>
  <si>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</si>
  <si>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</si>
  <si>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</si>
  <si>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</si>
  <si>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</si>
  <si>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</si>
  <si>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</si>
  <si>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</si>
  <si>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</si>
  <si>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</si>
  <si>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</si>
  <si>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</si>
  <si>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</si>
  <si>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</si>
  <si>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</si>
  <si>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</si>
  <si>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</si>
  <si>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</si>
  <si>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</si>
  <si>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</si>
  <si>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</si>
  <si>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</si>
  <si>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</si>
  <si>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</si>
  <si>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</si>
  <si>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</si>
  <si>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</si>
  <si>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</si>
  <si>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</si>
  <si>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</si>
  <si>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</si>
  <si>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</si>
  <si>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</si>
  <si>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</si>
  <si>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</si>
  <si>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</si>
  <si>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</si>
  <si>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</si>
  <si>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</si>
  <si>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</si>
  <si>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</si>
  <si>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</si>
  <si>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</si>
  <si>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</si>
  <si>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</si>
  <si>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</si>
  <si>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</si>
  <si>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</si>
  <si>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</si>
  <si>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</si>
  <si>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</si>
  <si>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</si>
  <si>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</si>
  <si>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</si>
  <si>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</si>
  <si>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</si>
  <si>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</si>
  <si>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</si>
  <si>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</si>
  <si>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</si>
  <si>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</si>
  <si>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</si>
  <si>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</si>
  <si>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</si>
  <si>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</si>
  <si>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</si>
  <si>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</si>
  <si>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</si>
  <si>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</si>
  <si>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</si>
  <si>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</si>
  <si>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</si>
  <si>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</si>
  <si>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</si>
  <si>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</si>
  <si>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</si>
  <si>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</si>
  <si>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</si>
  <si>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</si>
  <si>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</si>
  <si>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</si>
  <si>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</si>
  <si>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</si>
  <si>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</si>
  <si>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</si>
  <si>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</si>
  <si>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</si>
  <si>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</si>
  <si>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</si>
  <si>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</si>
  <si>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</si>
  <si>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</si>
  <si>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</si>
  <si>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</si>
  <si>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</si>
  <si>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</si>
  <si>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</si>
  <si>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</si>
  <si>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</si>
  <si>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</si>
  <si>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</si>
  <si>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</si>
  <si>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</si>
  <si>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</si>
  <si>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</si>
  <si>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</si>
  <si>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</si>
  <si>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</si>
  <si>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</si>
  <si>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</si>
  <si>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</si>
  <si>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</si>
  <si>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</si>
  <si>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</si>
  <si>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</si>
  <si>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</si>
  <si>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</si>
  <si>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</si>
  <si>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</si>
  <si>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</si>
  <si>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</si>
  <si>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</si>
  <si>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</si>
  <si>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</si>
  <si>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</si>
  <si>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</si>
  <si>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</si>
  <si>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</si>
  <si>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</si>
  <si>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</si>
  <si>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</si>
  <si>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</si>
  <si>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</si>
  <si>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</si>
  <si>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</si>
  <si>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</si>
  <si>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</si>
  <si>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</si>
  <si>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</si>
  <si>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</si>
  <si>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</si>
  <si>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</si>
  <si>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</si>
  <si>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</si>
  <si>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</si>
  <si>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</si>
  <si>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</si>
  <si>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</si>
  <si>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</si>
  <si>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</si>
  <si>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</si>
  <si>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</si>
  <si>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</si>
  <si>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</si>
  <si>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</si>
  <si>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</si>
  <si>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</si>
  <si>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</si>
  <si>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</si>
  <si>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</si>
  <si>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</si>
  <si>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</si>
  <si>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</si>
  <si>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</si>
  <si>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</si>
  <si>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</si>
  <si>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</si>
  <si>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</si>
  <si>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</si>
  <si>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</si>
  <si>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</si>
  <si>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</si>
  <si>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</si>
  <si>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</si>
  <si>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</si>
  <si>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</si>
  <si>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</si>
  <si>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</si>
  <si>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</si>
  <si>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</si>
  <si>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</si>
  <si>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</si>
  <si>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</si>
  <si>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</si>
  <si>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</si>
  <si>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</si>
  <si>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</si>
  <si>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</si>
  <si>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</si>
  <si>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</si>
  <si>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</si>
  <si>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</si>
  <si>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</si>
  <si>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</si>
  <si>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</si>
  <si>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</si>
  <si>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</si>
  <si>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</si>
  <si>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</si>
  <si>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</si>
  <si>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</si>
  <si>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</si>
  <si>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</si>
  <si>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</si>
  <si>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</si>
  <si>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</si>
  <si>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</si>
  <si>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</si>
  <si>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</si>
  <si>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</si>
  <si>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</si>
  <si>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</si>
  <si>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</si>
  <si>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</si>
  <si>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</si>
  <si>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</si>
  <si>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</si>
  <si>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</si>
  <si>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</si>
  <si>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</si>
  <si>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</si>
  <si>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</si>
  <si>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</si>
  <si>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</si>
  <si>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</si>
  <si>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</si>
  <si>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</si>
  <si>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</si>
  <si>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</si>
  <si>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</si>
  <si>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</si>
  <si>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</si>
  <si>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</si>
  <si>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</si>
  <si>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</si>
  <si>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</si>
  <si>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</si>
  <si>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</si>
  <si>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</si>
  <si>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</si>
  <si>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</si>
  <si>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</si>
  <si>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</si>
  <si>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</si>
  <si>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</si>
  <si>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</si>
  <si>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</si>
  <si>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</si>
  <si>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</si>
  <si>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</si>
  <si>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</si>
  <si>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</si>
  <si>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</si>
  <si>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</si>
  <si>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</si>
  <si>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</si>
  <si>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</si>
  <si>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</si>
  <si>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</si>
  <si>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</si>
  <si>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</si>
  <si>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</si>
  <si>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</si>
  <si>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</si>
  <si>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</si>
  <si>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</si>
  <si>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</si>
  <si>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</si>
  <si>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</si>
  <si>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</si>
  <si>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</si>
  <si>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</si>
  <si>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</si>
  <si>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</si>
  <si>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</si>
  <si>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</si>
  <si>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</si>
  <si>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</si>
  <si>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</si>
  <si>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</si>
  <si>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</si>
  <si>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</si>
  <si>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</si>
  <si>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</si>
  <si>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</si>
  <si>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</si>
  <si>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</si>
  <si>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</si>
  <si>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</si>
  <si>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</si>
  <si>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</si>
  <si>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</si>
  <si>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</si>
  <si>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</si>
  <si>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</si>
  <si>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</si>
  <si>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</si>
  <si>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</si>
  <si>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</si>
  <si>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</si>
  <si>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</si>
  <si>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</si>
  <si>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</si>
  <si>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</si>
  <si>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</si>
  <si>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</si>
  <si>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</si>
  <si>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</si>
  <si>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</si>
  <si>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</si>
  <si>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</si>
  <si>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</si>
  <si>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</si>
  <si>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</si>
  <si>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</si>
  <si>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</si>
  <si>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</si>
  <si>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</si>
  <si>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</si>
  <si>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</si>
  <si>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</si>
  <si>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</si>
  <si>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</si>
  <si>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</si>
  <si>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</si>
  <si>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</si>
  <si>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</si>
  <si>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</si>
  <si>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</si>
  <si>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</si>
  <si>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</si>
  <si>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</si>
  <si>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</si>
  <si>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</si>
  <si>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</si>
  <si>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</si>
  <si>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</si>
  <si>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</si>
  <si>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</si>
  <si>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</si>
  <si>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</si>
  <si>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</si>
  <si>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</si>
  <si>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</si>
  <si>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</si>
  <si>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</si>
  <si>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</si>
  <si>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</si>
  <si>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</si>
  <si>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</si>
  <si>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</si>
  <si>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</si>
  <si>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</si>
  <si>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</si>
  <si>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</si>
  <si>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</si>
  <si>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</si>
  <si>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</si>
  <si>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</si>
  <si>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</si>
  <si>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</si>
  <si>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</si>
  <si>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</si>
  <si>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</si>
  <si>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</si>
  <si>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</si>
  <si>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</si>
  <si>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</si>
  <si>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</si>
  <si>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</si>
  <si>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</si>
  <si>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</si>
  <si>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</si>
  <si>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</si>
  <si>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</si>
  <si>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</si>
  <si>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</si>
  <si>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</si>
  <si>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</si>
  <si>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</si>
  <si>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</si>
  <si>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</si>
  <si>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</si>
  <si>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</si>
  <si>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</si>
  <si>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</si>
  <si>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</si>
  <si>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</si>
  <si>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</si>
  <si>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</si>
  <si>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</si>
  <si>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</si>
  <si>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</si>
  <si>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</si>
  <si>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</si>
  <si>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</si>
  <si>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</si>
  <si>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</si>
  <si>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</si>
  <si>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</si>
  <si>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</si>
  <si>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</si>
  <si>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</si>
  <si>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</si>
  <si>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</si>
  <si>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</si>
  <si>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</si>
  <si>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</si>
  <si>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</si>
  <si>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</si>
  <si>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</si>
  <si>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</si>
  <si>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</si>
  <si>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</si>
  <si>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</si>
  <si>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</si>
  <si>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</si>
  <si>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</si>
  <si>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</si>
  <si>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</si>
  <si>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</si>
  <si>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</si>
  <si>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</si>
  <si>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</si>
  <si>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</si>
  <si>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</si>
  <si>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</si>
  <si>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</si>
  <si>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</si>
  <si>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</si>
  <si>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</si>
  <si>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</si>
  <si>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</si>
  <si>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</si>
  <si>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</si>
  <si>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</si>
  <si>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</si>
  <si>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</si>
  <si>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</si>
  <si>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</si>
  <si>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</si>
  <si>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</si>
  <si>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</si>
  <si>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</si>
  <si>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</si>
  <si>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</si>
  <si>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</si>
  <si>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</si>
  <si>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</si>
  <si>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</si>
  <si>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</si>
  <si>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</si>
  <si>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</si>
  <si>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</si>
  <si>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</si>
  <si>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</si>
  <si>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</si>
  <si>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</si>
  <si>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</si>
  <si>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</si>
  <si>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</si>
  <si>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</si>
  <si>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</si>
  <si>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</si>
  <si>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</si>
  <si>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</si>
  <si>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</si>
  <si>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</si>
  <si>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</si>
  <si>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</si>
  <si>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</si>
  <si>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</si>
  <si>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</si>
  <si>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</si>
  <si>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</si>
  <si>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</si>
  <si>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</si>
  <si>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</si>
  <si>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</si>
  <si>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</si>
  <si>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</si>
  <si>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</si>
  <si>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</si>
  <si>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</si>
  <si>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</si>
  <si>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</si>
  <si>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</si>
  <si>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</si>
  <si>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</si>
  <si>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</si>
  <si>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</si>
  <si>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</si>
  <si>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</si>
  <si>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</si>
  <si>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</si>
  <si>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</si>
  <si>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</si>
  <si>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</si>
  <si>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</si>
  <si>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</si>
  <si>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</si>
  <si>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</si>
  <si>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</si>
  <si>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</si>
  <si>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</si>
  <si>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</si>
  <si>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</si>
  <si>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</si>
  <si>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</si>
  <si>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</si>
  <si>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</si>
  <si>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</si>
  <si>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</si>
  <si>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</si>
  <si>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</si>
  <si>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</si>
  <si>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</si>
  <si>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</si>
  <si>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</si>
  <si>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</si>
  <si>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</si>
  <si>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</si>
  <si>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</si>
  <si>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</si>
  <si>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</si>
  <si>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</si>
  <si>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</si>
  <si>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</si>
  <si>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</si>
  <si>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</si>
  <si>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</si>
  <si>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</si>
  <si>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</si>
  <si>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</si>
  <si>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</si>
  <si>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</si>
  <si>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</si>
  <si>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</si>
  <si>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</si>
  <si>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</si>
  <si>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</si>
  <si>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</si>
  <si>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</si>
  <si>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</si>
  <si>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</si>
  <si>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</si>
  <si>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</si>
  <si>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</si>
  <si>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</si>
  <si>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</si>
  <si>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</si>
  <si>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</si>
  <si>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</si>
  <si>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</si>
  <si>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</si>
  <si>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</si>
  <si>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</si>
  <si>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</si>
  <si>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</si>
  <si>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</si>
  <si>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</si>
  <si>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</si>
  <si>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</si>
  <si>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</si>
  <si>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</si>
  <si>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</si>
  <si>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</si>
  <si>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</si>
  <si>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</si>
  <si>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</si>
  <si>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</si>
  <si>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</si>
  <si>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</si>
  <si>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</si>
  <si>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</si>
  <si>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</si>
  <si>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</si>
  <si>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</si>
  <si>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</si>
  <si>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</si>
  <si>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</si>
  <si>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</si>
  <si>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</si>
  <si>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</si>
  <si>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</si>
  <si>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</si>
  <si>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</si>
  <si>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</si>
  <si>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</si>
  <si>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</si>
  <si>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</si>
  <si>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</si>
  <si>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</si>
  <si>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</si>
  <si>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</si>
  <si>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</si>
  <si>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</si>
  <si>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</si>
  <si>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</si>
  <si>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</si>
  <si>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</si>
  <si>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</si>
  <si>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</si>
  <si>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</si>
  <si>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</si>
  <si>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</si>
  <si>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</si>
  <si>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</si>
  <si>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</si>
  <si>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</si>
  <si>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</si>
  <si>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</si>
  <si>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</si>
  <si>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</si>
  <si>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</si>
  <si>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</si>
  <si>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</si>
  <si>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</si>
  <si>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</si>
  <si>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</si>
  <si>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</si>
  <si>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</si>
  <si>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</si>
  <si>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</si>
  <si>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</si>
  <si>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</si>
  <si>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</si>
  <si>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</si>
  <si>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</si>
  <si>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</si>
  <si>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</si>
  <si>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</si>
  <si>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</si>
  <si>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</si>
  <si>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</si>
  <si>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</si>
  <si>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</si>
  <si>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</si>
  <si>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</si>
  <si>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</si>
  <si>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</si>
  <si>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</si>
  <si>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</si>
  <si>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</si>
  <si>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</si>
  <si>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</si>
  <si>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</si>
  <si>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</si>
  <si>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</si>
  <si>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</si>
  <si>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</si>
  <si>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</si>
  <si>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</si>
  <si>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</si>
  <si>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</si>
  <si>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</si>
  <si>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</si>
  <si>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</si>
  <si>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</si>
  <si>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</si>
  <si>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</si>
  <si>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</si>
  <si>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</si>
  <si>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</si>
  <si>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</si>
  <si>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</si>
  <si>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</si>
  <si>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</si>
  <si>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</si>
  <si>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</si>
  <si>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</si>
  <si>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</si>
  <si>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</si>
  <si>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</si>
  <si>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</si>
  <si>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</si>
  <si>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</si>
  <si>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</si>
  <si>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</si>
  <si>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</si>
  <si>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</si>
  <si>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</si>
  <si>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</si>
  <si>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</si>
  <si>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</si>
  <si>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</si>
  <si>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</si>
  <si>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</si>
  <si>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</si>
  <si>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</si>
  <si>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</si>
  <si>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</si>
  <si>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</si>
  <si>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</si>
  <si>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</si>
  <si>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</si>
  <si>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</si>
  <si>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</si>
  <si>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</si>
  <si>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</si>
  <si>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</si>
  <si>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</si>
  <si>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</si>
  <si>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</si>
  <si>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</si>
  <si>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</si>
  <si>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</si>
  <si>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</si>
  <si>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</si>
  <si>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</si>
  <si>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</si>
  <si>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</si>
  <si>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</si>
  <si>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</si>
  <si>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</si>
  <si>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</si>
  <si>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</si>
  <si>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</si>
  <si>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</si>
  <si>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</si>
  <si>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</si>
  <si>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</si>
  <si>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</si>
  <si>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</si>
  <si>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</si>
  <si>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</si>
  <si>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</si>
  <si>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</si>
  <si>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</si>
  <si>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</si>
  <si>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</si>
  <si>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</si>
  <si>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</si>
  <si>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</si>
  <si>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</si>
  <si>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</si>
  <si>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</si>
  <si>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</si>
  <si>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</si>
  <si>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</si>
  <si>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</si>
  <si>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</si>
  <si>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</si>
  <si>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</si>
  <si>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</si>
  <si>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</si>
  <si>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</si>
  <si>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</si>
  <si>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</si>
  <si>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</si>
  <si>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</si>
  <si>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</si>
  <si>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</si>
  <si>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</si>
  <si>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</si>
  <si>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</si>
  <si>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</si>
  <si>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</si>
  <si>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</si>
  <si>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</si>
  <si>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</si>
  <si>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</si>
  <si>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</si>
  <si>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</si>
  <si>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</si>
  <si>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</si>
  <si>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</si>
  <si>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</si>
  <si>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</si>
  <si>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</si>
  <si>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</si>
  <si>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</si>
  <si>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</si>
  <si>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</si>
  <si>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</si>
  <si>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</si>
  <si>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</si>
  <si>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</si>
  <si>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</si>
  <si>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</si>
  <si>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</si>
  <si>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</si>
  <si>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</si>
  <si>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</si>
  <si>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</si>
  <si>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</si>
  <si>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</si>
  <si>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</si>
  <si>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</si>
  <si>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</si>
  <si>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</si>
  <si>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</si>
  <si>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</si>
  <si>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</si>
  <si>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</si>
  <si>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</si>
  <si>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</si>
  <si>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</si>
  <si>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</si>
  <si>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</si>
  <si>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</si>
  <si>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</si>
  <si>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</si>
  <si>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</si>
  <si>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</si>
  <si>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</si>
  <si>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</si>
  <si>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</si>
  <si>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</si>
  <si>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</si>
  <si>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</si>
  <si>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</si>
  <si>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</si>
  <si>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</si>
  <si>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</si>
  <si>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</si>
  <si>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</si>
  <si>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</si>
  <si>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</si>
  <si>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</si>
  <si>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</si>
  <si>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</si>
  <si>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</si>
  <si>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</si>
  <si>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</si>
  <si>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</si>
  <si>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</si>
  <si>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</si>
  <si>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</si>
  <si>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</si>
  <si>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</si>
  <si>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</si>
  <si>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</si>
  <si>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</si>
  <si>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</si>
  <si>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</si>
  <si>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</si>
  <si>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</si>
  <si>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</si>
  <si>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</si>
  <si>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</si>
  <si>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</si>
  <si>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</si>
  <si>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</si>
  <si>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</si>
  <si>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</si>
  <si>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</si>
  <si>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</si>
  <si>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</si>
  <si>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</si>
  <si>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</si>
  <si>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</si>
  <si>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</si>
  <si>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</si>
  <si>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</si>
  <si>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</si>
  <si>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</si>
  <si>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</si>
  <si>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</si>
  <si>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</si>
  <si>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</si>
  <si>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</si>
  <si>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</si>
  <si>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</si>
  <si>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</si>
  <si>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</si>
  <si>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</si>
  <si>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</si>
  <si>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</si>
  <si>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</si>
  <si>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</si>
  <si>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</si>
  <si>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</si>
  <si>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</si>
  <si>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</si>
  <si>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</si>
  <si>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</si>
  <si>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</si>
  <si>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</si>
  <si>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</si>
  <si>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</si>
  <si>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</si>
  <si>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</si>
  <si>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</si>
  <si>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</si>
  <si>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</si>
  <si>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</si>
  <si>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</si>
  <si>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</si>
  <si>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</si>
  <si>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</si>
  <si>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</si>
  <si>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</si>
  <si>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</si>
  <si>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</si>
  <si>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</si>
  <si>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</si>
  <si>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</si>
  <si>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</si>
  <si>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</si>
  <si>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</si>
  <si>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</si>
  <si>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</si>
  <si>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</si>
  <si>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</si>
  <si>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</si>
  <si>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</si>
  <si>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</si>
  <si>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</si>
  <si>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</si>
  <si>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</si>
  <si>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</si>
  <si>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</si>
  <si>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</si>
  <si>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</si>
  <si>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</si>
  <si>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</si>
  <si>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</si>
  <si>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</si>
  <si>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</si>
  <si>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</si>
  <si>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</si>
  <si>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</si>
  <si>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</si>
  <si>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</si>
  <si>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</si>
  <si>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</si>
  <si>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</si>
  <si>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</si>
  <si>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</si>
  <si>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</si>
  <si>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</si>
  <si>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</si>
  <si>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</si>
  <si>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</si>
  <si>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</si>
  <si>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</si>
  <si>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</si>
  <si>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</si>
  <si>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</si>
  <si>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</si>
  <si>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</si>
  <si>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</si>
  <si>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</si>
  <si>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</si>
  <si>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</si>
  <si>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</si>
  <si>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</si>
  <si>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</si>
  <si>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</si>
  <si>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</si>
  <si>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</si>
  <si>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</si>
  <si>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</si>
  <si>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</si>
  <si>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</si>
  <si>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</si>
  <si>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</si>
  <si>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</si>
  <si>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</si>
  <si>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</si>
  <si>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</si>
  <si>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</si>
  <si>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</si>
  <si>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</si>
  <si>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</si>
  <si>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</si>
  <si>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</si>
  <si>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</si>
  <si>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</si>
  <si>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</si>
  <si>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</si>
  <si>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</si>
  <si>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</si>
  <si>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</si>
  <si>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</si>
  <si>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</si>
  <si>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</si>
  <si>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</si>
  <si>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</si>
  <si>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</si>
  <si>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</si>
  <si>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</si>
  <si>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</si>
  <si>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</si>
  <si>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</si>
  <si>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</si>
  <si>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</si>
  <si>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</si>
  <si>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</si>
  <si>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</si>
  <si>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</si>
  <si>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</si>
  <si>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</si>
  <si>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</si>
  <si>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</si>
  <si>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</si>
  <si>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</si>
  <si>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</si>
  <si>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</si>
  <si>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</si>
  <si>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</si>
  <si>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</si>
  <si>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</si>
  <si>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</si>
  <si>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</si>
  <si>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</si>
  <si>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</si>
  <si>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</si>
  <si>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</si>
  <si>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</si>
  <si>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</si>
  <si>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</si>
  <si>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</si>
  <si>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</si>
  <si>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</si>
  <si>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</si>
  <si>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</si>
  <si>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</si>
  <si>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</si>
  <si>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</si>
  <si>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</si>
  <si>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</si>
  <si>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</si>
  <si>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</si>
  <si>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</si>
  <si>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</si>
  <si>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</si>
  <si>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</si>
  <si>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</si>
  <si>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</si>
  <si>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</si>
  <si>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</si>
  <si>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</si>
  <si>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</si>
  <si>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</si>
  <si>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</si>
  <si>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</si>
  <si>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</si>
  <si>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</si>
  <si>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</si>
  <si>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</si>
  <si>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</si>
  <si>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</si>
  <si>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</si>
  <si>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</si>
  <si>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</si>
  <si>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</si>
  <si>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</si>
  <si>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</si>
  <si>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</si>
  <si>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</si>
  <si>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</si>
  <si>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</si>
  <si>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</si>
  <si>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</si>
  <si>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</si>
  <si>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</si>
  <si>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</si>
  <si>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</si>
  <si>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</si>
  <si>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</si>
  <si>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</si>
  <si>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</si>
  <si>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</si>
  <si>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</si>
  <si>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</si>
  <si>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</si>
  <si>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</si>
  <si>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</si>
  <si>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</si>
  <si>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</si>
  <si>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</si>
  <si>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</si>
  <si>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</si>
  <si>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</si>
  <si>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</si>
  <si>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</si>
  <si>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</si>
  <si>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</si>
  <si>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</si>
  <si>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</si>
  <si>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</si>
  <si>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</si>
  <si>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</si>
  <si>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</si>
  <si>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</si>
  <si>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</si>
  <si>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</si>
  <si>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</si>
  <si>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</si>
  <si>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</si>
  <si>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</si>
  <si>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</si>
  <si>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</si>
  <si>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</si>
  <si>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</si>
  <si>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</si>
  <si>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</si>
  <si>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</si>
  <si>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</si>
  <si>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</si>
  <si>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</si>
  <si>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</si>
  <si>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</si>
  <si>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</si>
  <si>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</si>
  <si>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</si>
  <si>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</si>
  <si>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</si>
  <si>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</si>
  <si>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</si>
  <si>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</si>
  <si>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</si>
  <si>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</si>
  <si>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</si>
  <si>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</si>
  <si>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</si>
  <si>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</si>
  <si>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</si>
  <si>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</si>
  <si>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</si>
  <si>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</si>
  <si>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</si>
  <si>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</si>
  <si>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</si>
  <si>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</si>
  <si>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</si>
  <si>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</si>
  <si>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</si>
  <si>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</si>
  <si>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</si>
  <si>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</si>
  <si>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</si>
  <si>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</si>
  <si>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</si>
  <si>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</si>
  <si>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</si>
  <si>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</si>
  <si>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</si>
  <si>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</si>
  <si>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</si>
  <si>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</si>
  <si>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</si>
  <si>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</si>
  <si>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</si>
  <si>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</si>
  <si>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</si>
  <si>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</si>
  <si>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</si>
  <si>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</si>
  <si>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</si>
  <si>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</si>
  <si>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</si>
  <si>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</si>
  <si>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</si>
  <si>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</si>
  <si>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</si>
  <si>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</si>
  <si>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</si>
  <si>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</si>
  <si>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</si>
  <si>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</si>
  <si>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</si>
  <si>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</si>
  <si>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</si>
  <si>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</si>
  <si>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</si>
  <si>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</si>
  <si>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</si>
  <si>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</si>
  <si>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</si>
  <si>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</si>
  <si>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</si>
  <si>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</si>
  <si>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</si>
  <si>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</si>
  <si>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</si>
  <si>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</si>
  <si>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</si>
  <si>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</si>
  <si>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</si>
  <si>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</si>
  <si>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</si>
  <si>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</si>
  <si>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</si>
  <si>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</si>
  <si>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</si>
  <si>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</si>
  <si>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</si>
  <si>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</si>
  <si>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</si>
  <si>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</si>
  <si>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</si>
  <si>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</si>
  <si>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</si>
  <si>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</si>
  <si>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</si>
  <si>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</si>
  <si>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</si>
  <si>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</si>
  <si>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</si>
  <si>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</si>
  <si>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</si>
  <si>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</si>
  <si>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</si>
  <si>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</si>
  <si>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</si>
  <si>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</si>
  <si>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</si>
  <si>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</si>
  <si>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</si>
  <si>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</si>
  <si>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</si>
  <si>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</si>
  <si>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</si>
  <si>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</si>
  <si>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</si>
  <si>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</si>
  <si>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</si>
  <si>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</si>
  <si>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</si>
  <si>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</si>
  <si>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</si>
  <si>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</si>
  <si>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</si>
  <si>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</si>
  <si>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</si>
  <si>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</si>
  <si>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</si>
  <si>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</si>
  <si>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</si>
  <si>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</si>
  <si>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</si>
  <si>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</si>
  <si>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</si>
  <si>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</si>
  <si>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</si>
  <si>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</si>
  <si>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</si>
  <si>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</si>
  <si>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</si>
  <si>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</si>
  <si>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</si>
  <si>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</si>
  <si>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</si>
  <si>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</si>
  <si>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</si>
  <si>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</si>
  <si>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</si>
  <si>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</si>
  <si>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</si>
  <si>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</si>
  <si>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</si>
  <si>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</si>
  <si>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</si>
  <si>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</si>
  <si>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</si>
  <si>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</si>
  <si>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</si>
  <si>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</si>
  <si>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</si>
  <si>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</si>
  <si>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</si>
  <si>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</si>
  <si>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</si>
  <si>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</si>
  <si>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</si>
  <si>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</si>
  <si>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</si>
  <si>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</si>
  <si>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</si>
  <si>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</si>
  <si>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</si>
  <si>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</si>
  <si>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</si>
  <si>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</si>
  <si>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</si>
  <si>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</si>
  <si>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</si>
  <si>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</si>
  <si>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</si>
  <si>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</si>
  <si>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</si>
  <si>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</si>
  <si>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</si>
  <si>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</si>
  <si>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</si>
  <si>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</si>
  <si>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</si>
  <si>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</si>
  <si>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</si>
  <si>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</si>
  <si>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</si>
  <si>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</si>
  <si>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</si>
  <si>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</si>
  <si>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</si>
  <si>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</si>
  <si>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</si>
  <si>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</si>
  <si>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</si>
  <si>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</si>
  <si>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</si>
  <si>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</si>
  <si>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</si>
  <si>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</si>
  <si>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</si>
  <si>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</si>
  <si>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</si>
  <si>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</si>
  <si>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</si>
  <si>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</si>
  <si>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</si>
  <si>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</si>
  <si>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</si>
  <si>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</si>
  <si>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</si>
  <si>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</si>
  <si>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</si>
  <si>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</si>
  <si>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</si>
  <si>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</si>
  <si>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</si>
  <si>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</si>
  <si>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</si>
  <si>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</si>
  <si>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</si>
  <si>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</si>
  <si>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</si>
  <si>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</si>
  <si>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</si>
  <si>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</si>
  <si>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</si>
  <si>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</si>
  <si>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</si>
  <si>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</si>
  <si>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</si>
  <si>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</si>
  <si>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</si>
  <si>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</si>
  <si>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</si>
  <si>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</si>
  <si>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</si>
  <si>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</si>
  <si>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</si>
  <si>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</si>
  <si>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</si>
  <si>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</si>
  <si>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</si>
  <si>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</si>
  <si>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</si>
  <si>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</si>
  <si>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</si>
  <si>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</si>
  <si>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</si>
  <si>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</si>
  <si>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</si>
  <si>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</si>
  <si>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</si>
  <si>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</si>
  <si>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</si>
  <si>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</si>
  <si>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</si>
  <si>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</si>
  <si>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</si>
  <si>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</si>
  <si>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</si>
  <si>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</si>
  <si>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</si>
  <si>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</si>
  <si>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</si>
  <si>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</si>
  <si>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</si>
  <si>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</si>
  <si>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</si>
  <si>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</si>
  <si>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</si>
  <si>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</si>
  <si>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</si>
  <si>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</si>
  <si>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</si>
  <si>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</si>
  <si>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</si>
  <si>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</si>
  <si>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</si>
  <si>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</si>
  <si>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</si>
  <si>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</si>
  <si>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</si>
  <si>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</si>
  <si>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</si>
  <si>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</si>
  <si>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</si>
  <si>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</si>
  <si>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</si>
  <si>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</si>
  <si>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</si>
  <si>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</si>
  <si>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</si>
  <si>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</si>
  <si>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</si>
  <si>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</si>
  <si>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</si>
  <si>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</si>
  <si>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</si>
  <si>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</si>
  <si>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</si>
  <si>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</si>
  <si>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</si>
  <si>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</si>
  <si>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</si>
  <si>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</si>
  <si>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</si>
  <si>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</si>
  <si>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</si>
  <si>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</si>
  <si>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</si>
  <si>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</si>
  <si>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</si>
  <si>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</si>
  <si>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</si>
  <si>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</si>
  <si>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</si>
  <si>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</si>
  <si>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</si>
  <si>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</si>
  <si>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</si>
  <si>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</si>
  <si>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</si>
  <si>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</si>
  <si>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</si>
  <si>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</si>
  <si>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</si>
  <si>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</si>
  <si>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</si>
  <si>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</si>
  <si>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</si>
  <si>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</si>
  <si>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</si>
  <si>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</si>
  <si>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</si>
  <si>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</si>
  <si>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</si>
  <si>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</si>
  <si>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</si>
  <si>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</si>
  <si>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</si>
  <si>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</si>
  <si>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</si>
  <si>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</si>
  <si>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</si>
  <si>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</si>
  <si>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</si>
  <si>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</si>
  <si>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</si>
  <si>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</si>
  <si>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</si>
  <si>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</si>
  <si>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</si>
  <si>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</si>
  <si>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</si>
  <si>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</si>
  <si>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</si>
  <si>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</si>
  <si>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</si>
  <si>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</si>
  <si>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</si>
  <si>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</si>
  <si>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</si>
  <si>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</si>
  <si>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</si>
  <si>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</si>
  <si>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</si>
  <si>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</si>
  <si>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</si>
  <si>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</si>
  <si>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</si>
  <si>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</si>
  <si>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</si>
  <si>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</si>
  <si>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</si>
  <si>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</si>
  <si>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</si>
  <si>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</si>
  <si>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</si>
  <si>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</si>
  <si>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</si>
  <si>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</si>
  <si>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</si>
  <si>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</si>
  <si>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</si>
  <si>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</si>
  <si>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</si>
  <si>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</si>
  <si>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</si>
  <si>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</si>
  <si>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</si>
  <si>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</si>
  <si>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</si>
  <si>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</si>
  <si>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</si>
  <si>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</si>
  <si>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</si>
  <si>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</si>
  <si>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</si>
  <si>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</si>
  <si>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</si>
  <si>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</si>
  <si>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</si>
  <si>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</si>
  <si>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</si>
  <si>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</si>
  <si>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</si>
  <si>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</si>
  <si>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</si>
  <si>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</si>
  <si>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</si>
  <si>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</si>
  <si>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</si>
  <si>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</si>
  <si>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</si>
  <si>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</si>
  <si>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</si>
  <si>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</si>
  <si>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</si>
  <si>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</si>
  <si>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</si>
  <si>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</si>
  <si>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</si>
  <si>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</si>
  <si>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</si>
  <si>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</si>
  <si>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</si>
  <si>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</si>
  <si>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</si>
  <si>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</si>
  <si>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</si>
  <si>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</si>
  <si>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</si>
  <si>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</si>
  <si>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</si>
  <si>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</si>
  <si>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</si>
  <si>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</si>
  <si>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</si>
  <si>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</si>
  <si>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</si>
  <si>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</si>
  <si>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</si>
  <si>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</si>
  <si>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</si>
  <si>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</si>
  <si>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</si>
  <si>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</si>
  <si>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</si>
  <si>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</si>
  <si>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</si>
  <si>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</si>
  <si>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</si>
  <si>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</si>
  <si>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</si>
  <si>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</si>
  <si>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</si>
  <si>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</si>
  <si>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</si>
  <si>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</si>
  <si>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</si>
  <si>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</si>
  <si>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</si>
  <si>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</si>
  <si>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</si>
  <si>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</si>
  <si>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</si>
  <si>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</si>
  <si>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</si>
  <si>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</si>
  <si>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</si>
  <si>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</si>
  <si>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</si>
  <si>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</si>
  <si>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</si>
  <si>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</si>
  <si>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</si>
  <si>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</si>
  <si>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</si>
  <si>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</si>
  <si>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</si>
  <si>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</si>
  <si>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</si>
  <si>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</si>
  <si>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</si>
  <si>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</si>
  <si>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</si>
  <si>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</si>
  <si>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</si>
  <si>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</si>
  <si>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</si>
  <si>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</si>
  <si>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</si>
  <si>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</si>
  <si>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</si>
  <si>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</si>
  <si>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</si>
  <si>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</si>
  <si>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</si>
  <si>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</si>
  <si>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</si>
  <si>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</si>
  <si>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</si>
  <si>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</si>
  <si>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</si>
  <si>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</si>
  <si>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</si>
  <si>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</si>
  <si>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</si>
  <si>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</si>
  <si>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</si>
  <si>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</si>
  <si>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</si>
  <si>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</si>
  <si>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</si>
  <si>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</si>
  <si>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</si>
  <si>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</si>
  <si>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</si>
  <si>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</si>
  <si>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</si>
  <si>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</si>
  <si>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</si>
  <si>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</si>
  <si>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</si>
  <si>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</si>
  <si>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</si>
  <si>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</si>
  <si>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</si>
  <si>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</si>
  <si>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</si>
  <si>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</si>
  <si>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</si>
  <si>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</si>
  <si>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</si>
  <si>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</si>
  <si>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</si>
  <si>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</si>
  <si>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</si>
  <si>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</si>
  <si>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</si>
  <si>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</si>
  <si>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</si>
  <si>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</si>
  <si>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</si>
  <si>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</si>
  <si>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</si>
  <si>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</si>
  <si>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</si>
  <si>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</si>
  <si>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</si>
  <si>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</si>
  <si>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</si>
  <si>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</si>
  <si>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</si>
  <si>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</si>
  <si>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</si>
  <si>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</si>
  <si>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</si>
  <si>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</si>
  <si>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</si>
  <si>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</si>
  <si>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</si>
  <si>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</si>
  <si>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</si>
  <si>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</si>
  <si>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</si>
  <si>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</si>
  <si>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</si>
  <si>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</si>
  <si>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</si>
  <si>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</si>
  <si>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</si>
  <si>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</si>
  <si>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</si>
  <si>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</si>
  <si>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</si>
  <si>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</si>
  <si>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</si>
  <si>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</si>
  <si>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</si>
  <si>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</si>
  <si>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</si>
  <si>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</si>
  <si>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</si>
  <si>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</si>
  <si>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</si>
  <si>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</si>
  <si>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</si>
  <si>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</si>
  <si>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</si>
  <si>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</si>
  <si>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</si>
  <si>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</si>
  <si>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</si>
  <si>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</si>
  <si>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</si>
  <si>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</si>
  <si>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</si>
  <si>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</si>
  <si>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</si>
  <si>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</si>
  <si>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</si>
  <si>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</si>
  <si>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</si>
  <si>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</si>
  <si>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</si>
  <si>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</si>
  <si>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</si>
  <si>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</si>
  <si>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</si>
  <si>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</si>
  <si>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</si>
  <si>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</si>
  <si>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</si>
  <si>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</si>
  <si>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</si>
  <si>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</si>
  <si>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</si>
  <si>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</si>
  <si>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</si>
  <si>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</si>
  <si>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</si>
  <si>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</si>
  <si>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</si>
  <si>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</si>
  <si>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</si>
  <si>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</si>
  <si>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</si>
  <si>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</si>
  <si>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</si>
  <si>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</si>
  <si>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</si>
  <si>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</si>
  <si>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</si>
  <si>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</si>
  <si>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</si>
  <si>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</si>
  <si>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</si>
  <si>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</si>
  <si>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</si>
  <si>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</si>
  <si>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</si>
  <si>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</si>
  <si>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</si>
  <si>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</si>
  <si>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</si>
  <si>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</si>
  <si>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</si>
  <si>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</si>
  <si>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</si>
  <si>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</si>
  <si>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</si>
  <si>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</si>
  <si>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</si>
  <si>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</si>
  <si>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</si>
  <si>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</si>
  <si>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</si>
  <si>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</si>
  <si>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</si>
  <si>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</si>
  <si>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</si>
  <si>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</si>
  <si>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</si>
  <si>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</si>
  <si>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</si>
  <si>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</si>
  <si>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</si>
  <si>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</si>
  <si>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</si>
  <si>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</si>
  <si>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</si>
  <si>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</si>
  <si>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</si>
  <si>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</si>
  <si>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</si>
  <si>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</si>
  <si>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</si>
  <si>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</si>
  <si>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</si>
  <si>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</si>
  <si>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</si>
  <si>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</si>
  <si>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</si>
  <si>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</si>
  <si>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</si>
  <si>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</si>
  <si>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</si>
  <si>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</si>
  <si>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</si>
  <si>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</si>
  <si>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</si>
  <si>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</si>
  <si>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</si>
  <si>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</si>
  <si>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</si>
  <si>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</si>
  <si>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</si>
  <si>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</si>
  <si>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</si>
  <si>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</si>
  <si>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</si>
  <si>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</si>
  <si>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</si>
  <si>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</si>
  <si>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</si>
  <si>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</si>
  <si>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</si>
  <si>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</si>
  <si>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</si>
  <si>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</si>
  <si>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</si>
  <si>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</si>
  <si>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</si>
  <si>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</si>
  <si>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</si>
  <si>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</si>
  <si>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</si>
  <si>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</si>
  <si>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</si>
  <si>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</si>
  <si>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</si>
  <si>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</si>
  <si>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</si>
  <si>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</si>
  <si>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</si>
  <si>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</si>
  <si>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</si>
  <si>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</si>
  <si>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</si>
  <si>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</si>
  <si>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</si>
  <si>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</si>
  <si>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</si>
  <si>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</si>
  <si>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</si>
  <si>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</si>
  <si>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</si>
  <si>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</si>
  <si>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</si>
  <si>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</si>
  <si>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</si>
  <si>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</si>
  <si>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</si>
  <si>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</si>
  <si>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</si>
  <si>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</si>
  <si>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</si>
  <si>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</si>
  <si>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</si>
  <si>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</si>
  <si>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</si>
  <si>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</si>
  <si>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</si>
  <si>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</si>
  <si>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</si>
  <si>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</si>
  <si>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</si>
  <si>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</si>
  <si>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</si>
  <si>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</si>
  <si>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</si>
  <si>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</si>
  <si>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</si>
  <si>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</si>
  <si>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</si>
  <si>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</si>
  <si>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</si>
  <si>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</si>
  <si>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</si>
  <si>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</si>
  <si>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</si>
  <si>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</si>
  <si>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</si>
  <si>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</si>
  <si>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</si>
  <si>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</si>
  <si>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</si>
  <si>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</si>
  <si>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</si>
  <si>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</si>
  <si>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</si>
  <si>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</si>
  <si>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</si>
  <si>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</si>
  <si>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</si>
  <si>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</si>
  <si>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</si>
  <si>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</si>
  <si>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</si>
  <si>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</si>
  <si>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</si>
  <si>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</si>
  <si>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</si>
  <si>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</si>
  <si>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</si>
  <si>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</si>
  <si>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</si>
  <si>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</si>
  <si>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</si>
  <si>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</si>
  <si>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</si>
  <si>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</si>
  <si>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</si>
  <si>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</si>
  <si>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</si>
  <si>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</si>
  <si>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</si>
  <si>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</si>
  <si>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</si>
  <si>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</si>
  <si>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</si>
  <si>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</si>
  <si>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</si>
  <si>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</si>
  <si>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</si>
  <si>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</si>
  <si>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</si>
  <si>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</si>
  <si>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</si>
  <si>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</si>
  <si>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</si>
  <si>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</si>
  <si>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</si>
  <si>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</si>
  <si>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</si>
  <si>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</si>
  <si>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</si>
  <si>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</si>
  <si>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</si>
  <si>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</si>
  <si>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</si>
  <si>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</si>
  <si>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</si>
  <si>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</si>
  <si>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</si>
  <si>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</si>
  <si>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</si>
  <si>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</si>
  <si>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</si>
  <si>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</si>
  <si>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</si>
  <si>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</si>
  <si>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</si>
  <si>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</si>
  <si>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</si>
  <si>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</si>
  <si>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</si>
  <si>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</si>
  <si>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</si>
  <si>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</si>
  <si>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</si>
  <si>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</si>
  <si>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</si>
  <si>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</si>
  <si>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</si>
  <si>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</si>
  <si>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</si>
  <si>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</si>
  <si>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</si>
  <si>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</si>
  <si>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</si>
  <si>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</si>
  <si>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</si>
  <si>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</si>
  <si>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</si>
  <si>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</si>
  <si>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</si>
  <si>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</si>
  <si>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</si>
  <si>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</si>
  <si>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</si>
  <si>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</si>
  <si>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</si>
  <si>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</si>
  <si>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</si>
  <si>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</si>
  <si>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</si>
  <si>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</si>
  <si>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</si>
  <si>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</si>
  <si>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</si>
  <si>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</si>
  <si>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</si>
  <si>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</si>
  <si>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</si>
  <si>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</si>
  <si>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</si>
  <si>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</si>
  <si>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</si>
  <si>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</si>
  <si>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</si>
  <si>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</si>
  <si>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</si>
  <si>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</si>
  <si>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</si>
  <si>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</si>
  <si>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</si>
  <si>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</si>
  <si>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</si>
  <si>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</si>
  <si>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</si>
  <si>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</si>
  <si>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</si>
  <si>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</si>
  <si>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</si>
  <si>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</si>
  <si>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</si>
  <si>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</si>
  <si>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</si>
  <si>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</si>
  <si>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</si>
  <si>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</si>
  <si>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</si>
  <si>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</si>
  <si>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</si>
  <si>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</si>
  <si>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</si>
  <si>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</si>
  <si>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</si>
  <si>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</si>
  <si>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</si>
  <si>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</si>
  <si>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</si>
  <si>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</si>
  <si>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</si>
  <si>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</si>
  <si>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</si>
  <si>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</si>
  <si>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</si>
  <si>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</si>
  <si>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</si>
  <si>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</si>
  <si>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</si>
  <si>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</si>
  <si>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</si>
  <si>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</si>
  <si>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</si>
  <si>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</si>
  <si>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</si>
  <si>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</si>
  <si>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</si>
  <si>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</si>
  <si>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</si>
  <si>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</si>
  <si>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</si>
  <si>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</si>
  <si>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</si>
  <si>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</si>
  <si>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</si>
  <si>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</si>
  <si>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</si>
  <si>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</si>
  <si>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</si>
  <si>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</si>
  <si>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</si>
  <si>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</si>
  <si>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</si>
  <si>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</si>
  <si>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</si>
  <si>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</si>
  <si>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</si>
  <si>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</si>
  <si>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</si>
  <si>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</si>
  <si>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</si>
  <si>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</si>
  <si>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</si>
  <si>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</si>
  <si>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</si>
  <si>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</si>
  <si>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</si>
  <si>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</si>
  <si>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</si>
  <si>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</si>
  <si>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</si>
  <si>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</si>
  <si>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</si>
  <si>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</si>
  <si>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</si>
  <si>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</si>
  <si>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</si>
  <si>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</si>
  <si>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</si>
  <si>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</si>
  <si>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</si>
  <si>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</si>
  <si>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</si>
  <si>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</si>
  <si>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</si>
  <si>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</si>
  <si>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</si>
  <si>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</si>
  <si>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</si>
  <si>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</si>
  <si>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</si>
  <si>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</si>
  <si>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</si>
  <si>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</si>
  <si>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</si>
  <si>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</si>
  <si>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</si>
  <si>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</si>
  <si>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</si>
  <si>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</si>
  <si>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</si>
  <si>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</si>
  <si>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</si>
  <si>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</si>
  <si>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</si>
  <si>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</si>
  <si>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</si>
  <si>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</si>
  <si>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</si>
  <si>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</si>
  <si>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</si>
  <si>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</si>
  <si>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</si>
  <si>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</si>
  <si>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</si>
  <si>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</si>
  <si>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</si>
  <si>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</si>
  <si>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</si>
  <si>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</si>
  <si>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</si>
  <si>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</si>
  <si>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</si>
  <si>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</si>
  <si>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</si>
  <si>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</si>
  <si>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</si>
  <si>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</si>
  <si>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</si>
  <si>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</si>
  <si>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</si>
  <si>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</si>
  <si>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</si>
  <si>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</si>
  <si>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</si>
  <si>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</si>
  <si>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</si>
  <si>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</si>
  <si>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</si>
  <si>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</si>
  <si>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</si>
  <si>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</si>
  <si>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</si>
  <si>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</si>
  <si>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</si>
  <si>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</si>
  <si>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</si>
  <si>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</si>
  <si>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</si>
  <si>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</si>
  <si>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</si>
  <si>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</si>
  <si>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</si>
  <si>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</si>
  <si>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</si>
  <si>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</si>
  <si>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</si>
  <si>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</si>
  <si>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</si>
  <si>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</si>
  <si>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</si>
  <si>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</si>
  <si>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</si>
  <si>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</si>
  <si>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</si>
  <si>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</si>
  <si>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</si>
  <si>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</si>
  <si>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</si>
  <si>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</si>
  <si>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</si>
  <si>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</si>
  <si>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</si>
  <si>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</si>
  <si>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</si>
  <si>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</si>
  <si>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</si>
  <si>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</si>
  <si>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</si>
  <si>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</si>
  <si>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</si>
  <si>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</si>
  <si>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</si>
  <si>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</si>
  <si>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</si>
  <si>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</si>
  <si>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</si>
  <si>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</si>
  <si>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</si>
  <si>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</si>
  <si>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</si>
  <si>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</si>
  <si>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</si>
  <si>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</si>
  <si>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</si>
  <si>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</si>
  <si>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</si>
  <si>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</si>
  <si>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</si>
  <si>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</si>
  <si>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</si>
  <si>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</si>
  <si>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</si>
  <si>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</si>
  <si>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</si>
  <si>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</si>
  <si>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</si>
  <si>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</si>
  <si>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</si>
  <si>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</si>
  <si>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</si>
  <si>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</si>
  <si>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</si>
  <si>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</si>
  <si>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</si>
  <si>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</si>
  <si>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</si>
  <si>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</si>
  <si>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</si>
  <si>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</si>
  <si>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</si>
  <si>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</si>
  <si>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</si>
  <si>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</si>
  <si>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</si>
  <si>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</si>
  <si>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</si>
  <si>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</si>
  <si>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</si>
  <si>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</si>
  <si>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</si>
  <si>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</si>
  <si>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</si>
  <si>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</si>
  <si>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</si>
  <si>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</si>
  <si>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</si>
  <si>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</si>
  <si>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</si>
  <si>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</si>
  <si>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</si>
  <si>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</si>
  <si>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</si>
  <si>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</si>
  <si>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</si>
  <si>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</si>
  <si>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</si>
  <si>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</si>
  <si>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</si>
  <si>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</si>
  <si>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</si>
  <si>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</si>
  <si>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</si>
  <si>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</si>
  <si>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</si>
  <si>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</si>
  <si>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</si>
  <si>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</si>
  <si>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</si>
  <si>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</si>
  <si>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</si>
  <si>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</si>
  <si>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</si>
  <si>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</si>
  <si>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</si>
  <si>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</si>
  <si>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</si>
  <si>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</si>
  <si>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</si>
  <si>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</si>
  <si>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</si>
  <si>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</si>
  <si>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</si>
  <si>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</si>
  <si>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</si>
  <si>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</si>
  <si>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</si>
  <si>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</si>
  <si>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</si>
  <si>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</si>
  <si>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</si>
  <si>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</si>
  <si>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</si>
  <si>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</si>
  <si>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</si>
  <si>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</si>
  <si>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</si>
  <si>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</si>
  <si>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</si>
  <si>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</si>
  <si>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</si>
  <si>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</si>
  <si>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</si>
  <si>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</si>
  <si>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</si>
  <si>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</si>
  <si>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</si>
  <si>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</si>
  <si>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</si>
  <si>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</si>
  <si>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</si>
  <si>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</si>
  <si>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</si>
  <si>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</si>
  <si>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</si>
  <si>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</si>
  <si>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</si>
  <si>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</si>
  <si>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</si>
  <si>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</si>
  <si>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</si>
  <si>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</si>
  <si>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</si>
  <si>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</si>
  <si>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</si>
  <si>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</si>
  <si>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</si>
  <si>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</si>
  <si>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</si>
  <si>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</si>
  <si>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</si>
  <si>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</si>
  <si>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</si>
  <si>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</si>
  <si>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</si>
  <si>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</si>
  <si>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</si>
  <si>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</si>
  <si>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</si>
  <si>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</si>
  <si>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</si>
  <si>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</si>
  <si>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</si>
  <si>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</si>
  <si>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</si>
  <si>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</si>
  <si>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</si>
  <si>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</si>
  <si>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</si>
  <si>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</si>
  <si>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</si>
  <si>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</si>
  <si>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</si>
  <si>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</si>
  <si>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</si>
  <si>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</si>
  <si>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</si>
  <si>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</si>
  <si>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</si>
  <si>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</si>
  <si>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</si>
  <si>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</si>
  <si>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</si>
  <si>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</si>
  <si>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</si>
  <si>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</si>
  <si>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</si>
  <si>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</si>
  <si>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</si>
  <si>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</si>
  <si>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</si>
  <si>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</si>
  <si>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</si>
  <si>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</si>
  <si>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</si>
  <si>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</si>
  <si>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</si>
  <si>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</si>
  <si>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</si>
  <si>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</si>
  <si>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</si>
  <si>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</si>
  <si>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</si>
  <si>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</si>
  <si>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</si>
  <si>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</si>
  <si>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</si>
  <si>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</si>
  <si>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</si>
  <si>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</si>
  <si>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</si>
  <si>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</si>
  <si>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</si>
  <si>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</si>
  <si>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</si>
  <si>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</si>
  <si>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</si>
  <si>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</si>
  <si>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</si>
  <si>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</si>
  <si>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</si>
  <si>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</si>
  <si>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</si>
  <si>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</si>
  <si>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</si>
  <si>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</si>
  <si>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</si>
  <si>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</si>
  <si>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</si>
  <si>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</si>
  <si>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</si>
  <si>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</si>
  <si>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</si>
  <si>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</si>
  <si>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</si>
  <si>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</si>
  <si>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</si>
  <si>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</si>
  <si>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</si>
  <si>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</si>
  <si>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</si>
  <si>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</si>
  <si>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</si>
  <si>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</si>
  <si>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</si>
  <si>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</si>
  <si>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</si>
  <si>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</si>
  <si>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</si>
  <si>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</si>
  <si>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</si>
  <si>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</si>
  <si>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</si>
  <si>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</si>
  <si>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</si>
  <si>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</si>
  <si>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</si>
  <si>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</si>
  <si>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</si>
  <si>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</si>
  <si>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</si>
  <si>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</si>
  <si>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</si>
  <si>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</si>
  <si>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</si>
  <si>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</si>
  <si>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</si>
  <si>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</si>
  <si>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</si>
  <si>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</si>
  <si>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</si>
  <si>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</si>
  <si>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</si>
  <si>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</si>
  <si>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</si>
  <si>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</si>
  <si>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</si>
  <si>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</si>
  <si>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</si>
  <si>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</si>
  <si>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</si>
  <si>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</si>
  <si>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</si>
  <si>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</si>
  <si>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</si>
  <si>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</si>
  <si>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</si>
  <si>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</si>
  <si>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</si>
  <si>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</si>
  <si>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</si>
  <si>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</si>
  <si>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</si>
  <si>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</si>
  <si>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</si>
  <si>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</si>
  <si>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</si>
  <si>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</si>
  <si>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</si>
  <si>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</si>
  <si>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</si>
  <si>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</si>
  <si>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</si>
  <si>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</si>
  <si>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</si>
  <si>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</si>
  <si>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</si>
  <si>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</si>
  <si>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</si>
  <si>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</si>
  <si>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</si>
  <si>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</si>
  <si>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</si>
  <si>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</si>
  <si>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</si>
  <si>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</si>
  <si>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</si>
  <si>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</si>
  <si>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</si>
  <si>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</si>
  <si>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</si>
  <si>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</si>
  <si>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</si>
  <si>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</si>
  <si>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</si>
  <si>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</si>
  <si>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</si>
  <si>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</si>
  <si>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</si>
  <si>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</si>
  <si>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</si>
  <si>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</si>
  <si>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</si>
  <si>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</si>
  <si>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</si>
  <si>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</si>
  <si>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</si>
  <si>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</si>
  <si>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</si>
  <si>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</si>
  <si>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</si>
  <si>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</si>
  <si>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</si>
  <si>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</si>
  <si>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</si>
  <si>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</si>
  <si>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</si>
  <si>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</si>
  <si>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</si>
  <si>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</si>
  <si>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</si>
  <si>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</si>
  <si>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</si>
  <si>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</si>
  <si>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</si>
  <si>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</si>
  <si>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</si>
  <si>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</si>
  <si>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</si>
  <si>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</si>
  <si>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</si>
  <si>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</si>
  <si>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</si>
  <si>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</si>
  <si>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</si>
  <si>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</si>
  <si>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</si>
  <si>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</si>
  <si>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</si>
  <si>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</si>
  <si>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</si>
  <si>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</si>
  <si>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</si>
  <si>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</si>
  <si>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</si>
  <si>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</si>
  <si>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</si>
  <si>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</si>
  <si>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</si>
  <si>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</si>
  <si>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</si>
  <si>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</si>
  <si>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</si>
  <si>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</si>
  <si>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</si>
  <si>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</si>
  <si>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</si>
  <si>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</si>
  <si>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</si>
  <si>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</si>
  <si>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</si>
  <si>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</si>
  <si>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</si>
  <si>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</si>
  <si>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</si>
  <si>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</si>
  <si>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</si>
  <si>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</si>
  <si>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</si>
  <si>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</si>
  <si>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</si>
  <si>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</si>
  <si>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</si>
  <si>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</si>
  <si>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</si>
  <si>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</si>
  <si>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</si>
  <si>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</si>
  <si>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</si>
  <si>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</si>
  <si>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</si>
  <si>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</si>
  <si>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</si>
  <si>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</si>
  <si>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</si>
  <si>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</si>
  <si>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</si>
  <si>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</si>
  <si>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</si>
  <si>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</si>
  <si>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</si>
  <si>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</si>
  <si>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</si>
  <si>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</si>
  <si>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</si>
  <si>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</si>
  <si>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</si>
  <si>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</si>
  <si>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</si>
  <si>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</si>
  <si>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</si>
  <si>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</si>
  <si>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</si>
  <si>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</si>
  <si>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</si>
  <si>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</si>
  <si>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</si>
  <si>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</si>
  <si>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</si>
  <si>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</si>
  <si>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</si>
  <si>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</si>
  <si>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</si>
  <si>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</si>
  <si>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</si>
  <si>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</si>
  <si>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</si>
  <si>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</si>
  <si>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</si>
  <si>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</si>
  <si>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</si>
  <si>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</si>
  <si>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</si>
  <si>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</si>
  <si>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</si>
  <si>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</si>
  <si>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</si>
  <si>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</si>
  <si>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</si>
  <si>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</si>
  <si>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</si>
  <si>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</si>
  <si>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</si>
  <si>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</si>
  <si>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</si>
  <si>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</si>
  <si>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</si>
  <si>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</si>
  <si>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</si>
  <si>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</si>
  <si>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</si>
  <si>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</si>
  <si>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</si>
  <si>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</si>
  <si>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</si>
  <si>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</si>
  <si>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</si>
  <si>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</si>
  <si>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</si>
  <si>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</si>
  <si>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</si>
  <si>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</si>
  <si>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</si>
  <si>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</si>
  <si>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</si>
  <si>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</si>
  <si>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</si>
  <si>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</si>
  <si>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</si>
  <si>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</si>
  <si>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</si>
  <si>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</si>
  <si>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</si>
  <si>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</si>
  <si>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</si>
  <si>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</si>
  <si>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</si>
  <si>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</si>
  <si>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</si>
  <si>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</si>
  <si>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</si>
  <si>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</si>
  <si>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</si>
  <si>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</si>
  <si>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</si>
  <si>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</si>
  <si>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</si>
  <si>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</si>
  <si>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</si>
  <si>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</si>
  <si>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</si>
  <si>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</si>
  <si>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</si>
  <si>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</si>
  <si>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</si>
  <si>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</si>
  <si>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</si>
  <si>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</si>
  <si>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</si>
  <si>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</si>
  <si>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</si>
  <si>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</si>
  <si>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</si>
  <si>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</si>
  <si>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</si>
  <si>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</si>
  <si>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</si>
  <si>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</si>
  <si>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</si>
  <si>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</si>
  <si>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</si>
  <si>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</si>
  <si>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</si>
  <si>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</si>
  <si>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</si>
  <si>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</si>
  <si>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</si>
  <si>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</si>
  <si>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</si>
  <si>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</si>
  <si>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</si>
  <si>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</si>
  <si>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</si>
  <si>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</si>
  <si>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</si>
  <si>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</si>
  <si>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</si>
  <si>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</si>
  <si>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</si>
  <si>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</si>
  <si>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</si>
  <si>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</si>
  <si>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</si>
  <si>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</si>
  <si>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</si>
  <si>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</si>
  <si>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</si>
  <si>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</si>
  <si>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</si>
  <si>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</si>
  <si>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</si>
  <si>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</si>
  <si>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</si>
  <si>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</si>
  <si>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</si>
  <si>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</si>
  <si>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</si>
  <si>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</si>
  <si>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</si>
  <si>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</si>
  <si>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</si>
  <si>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</si>
  <si>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</si>
  <si>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</si>
  <si>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</si>
  <si>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</si>
  <si>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</si>
  <si>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</si>
  <si>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</si>
  <si>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</si>
  <si>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</si>
  <si>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</si>
  <si>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</si>
  <si>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</si>
  <si>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</si>
  <si>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</si>
  <si>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</si>
  <si>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</si>
  <si>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</si>
  <si>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</si>
  <si>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</si>
  <si>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</si>
  <si>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</si>
  <si>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</si>
  <si>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</si>
  <si>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</si>
  <si>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</si>
  <si>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</si>
  <si>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</si>
  <si>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</si>
  <si>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</si>
  <si>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</si>
  <si>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</si>
  <si>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</si>
  <si>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</si>
  <si>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</si>
  <si>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</si>
  <si>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</si>
  <si>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</si>
  <si>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</si>
  <si>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</si>
  <si>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</si>
  <si>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</si>
  <si>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</si>
  <si>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</si>
  <si>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</si>
  <si>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</si>
  <si>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</si>
  <si>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</si>
  <si>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</si>
  <si>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</si>
  <si>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</si>
  <si>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</si>
  <si>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</si>
  <si>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</si>
  <si>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</si>
  <si>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</si>
  <si>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</si>
  <si>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</si>
  <si>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</si>
  <si>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</si>
  <si>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</si>
  <si>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</si>
  <si>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</si>
  <si>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</si>
  <si>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</si>
  <si>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</si>
  <si>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</si>
  <si>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</si>
  <si>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</si>
  <si>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</si>
  <si>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</si>
  <si>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</si>
  <si>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</si>
  <si>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</si>
  <si>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</si>
  <si>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</si>
  <si>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</si>
  <si>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</si>
  <si>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</si>
  <si>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</si>
  <si>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</si>
  <si>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</si>
  <si>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</si>
  <si>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</si>
  <si>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</si>
  <si>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</si>
  <si>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</si>
  <si>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</si>
  <si>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</si>
  <si>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</si>
  <si>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</si>
  <si>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</si>
  <si>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</si>
  <si>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</si>
  <si>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</si>
  <si>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</si>
  <si>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</si>
  <si>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</si>
  <si>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</si>
  <si>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</si>
  <si>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</si>
  <si>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</si>
  <si>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</si>
  <si>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</si>
  <si>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</si>
  <si>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</si>
  <si>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</si>
  <si>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</si>
  <si>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</si>
  <si>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</si>
  <si>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</si>
  <si>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</si>
  <si>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</si>
  <si>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</si>
  <si>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</si>
  <si>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</si>
  <si>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</si>
  <si>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</si>
  <si>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</si>
  <si>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</si>
  <si>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</si>
  <si>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</si>
  <si>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</si>
  <si>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</si>
  <si>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</si>
  <si>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</si>
  <si>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</si>
  <si>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</si>
  <si>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</si>
  <si>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</si>
  <si>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</si>
  <si>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</si>
  <si>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</si>
  <si>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</si>
  <si>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</si>
  <si>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</si>
  <si>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</si>
  <si>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</si>
  <si>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</si>
  <si>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</si>
  <si>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</si>
  <si>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</si>
  <si>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</si>
  <si>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</si>
  <si>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</si>
  <si>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</si>
  <si>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</si>
  <si>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</si>
  <si>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</si>
  <si>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</si>
  <si>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</si>
  <si>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</si>
  <si>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</si>
  <si>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</si>
  <si>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</si>
  <si>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</si>
  <si>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</si>
  <si>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</si>
  <si>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</si>
  <si>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</si>
  <si>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</si>
  <si>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</si>
  <si>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</si>
  <si>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</si>
  <si>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</si>
  <si>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</si>
  <si>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</si>
  <si>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</si>
  <si>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</si>
  <si>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</si>
  <si>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</si>
  <si>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</si>
  <si>
    <t>米</t>
    <phoneticPr fontId="228" type="noConversion"/>
  </si>
  <si>
    <t>设备名称</t>
  </si>
  <si>
    <t>厂商</t>
  </si>
  <si>
    <t>型号</t>
  </si>
  <si>
    <t>现值（万元）</t>
  </si>
  <si>
    <t>车床</t>
  </si>
  <si>
    <t>沈阳一机厂</t>
  </si>
  <si>
    <t>CA6140/1500</t>
  </si>
  <si>
    <t>搖臂鑽</t>
  </si>
  <si>
    <r>
      <t>北京</t>
    </r>
    <r>
      <rPr>
        <sz val="14"/>
        <color theme="1"/>
        <rFont val="Arial"/>
        <family val="2"/>
      </rPr>
      <t xml:space="preserve"> </t>
    </r>
    <r>
      <rPr>
        <sz val="14"/>
        <color theme="1"/>
        <rFont val="宋体"/>
        <family val="3"/>
        <charset val="134"/>
      </rPr>
      <t>第三机床厂</t>
    </r>
  </si>
  <si>
    <t>Z3040</t>
  </si>
  <si>
    <t>搖臂鑽床</t>
  </si>
  <si>
    <t>/</t>
  </si>
  <si>
    <t>Z3050</t>
  </si>
  <si>
    <t>钻铣床</t>
  </si>
  <si>
    <t>江西重型机械厂</t>
  </si>
  <si>
    <t>Z832</t>
  </si>
  <si>
    <t>牛头刨床</t>
  </si>
  <si>
    <t>青岛建筑机械厂</t>
  </si>
  <si>
    <t>BC600</t>
  </si>
  <si>
    <t>摩擦锯</t>
  </si>
  <si>
    <t>丰台桥梁厂</t>
  </si>
  <si>
    <t>非标</t>
  </si>
  <si>
    <t>压力机</t>
  </si>
  <si>
    <t>马鞍山中捷锻压机床厂</t>
  </si>
  <si>
    <t>JB23-16</t>
  </si>
  <si>
    <t>等離子切割机</t>
  </si>
  <si>
    <t>北京电焊股份有限公司</t>
  </si>
  <si>
    <t>LE60E</t>
  </si>
  <si>
    <t>LE61E</t>
  </si>
  <si>
    <t>LE62E</t>
  </si>
  <si>
    <t>LG200E</t>
  </si>
  <si>
    <r>
      <t>CNC1260</t>
    </r>
    <r>
      <rPr>
        <sz val="14"/>
        <color theme="1"/>
        <rFont val="宋体"/>
        <family val="3"/>
        <charset val="134"/>
      </rPr>
      <t>电脑弹簧机</t>
    </r>
  </si>
  <si>
    <t>浙江金狮弹簧机厂</t>
  </si>
  <si>
    <t>CNC1260</t>
  </si>
  <si>
    <t>数控弯箍机</t>
  </si>
  <si>
    <t>刑台市鹏昊机械制造有限公司</t>
  </si>
  <si>
    <t>KT-2</t>
  </si>
  <si>
    <t>多功能数控弯箍机</t>
  </si>
  <si>
    <t>墩头机</t>
  </si>
  <si>
    <t>北京泰通机械在</t>
  </si>
  <si>
    <r>
      <t>76</t>
    </r>
    <r>
      <rPr>
        <sz val="14"/>
        <color theme="1"/>
        <rFont val="宋体"/>
        <family val="3"/>
        <charset val="134"/>
      </rPr>
      <t>型</t>
    </r>
  </si>
  <si>
    <t>空压机</t>
  </si>
  <si>
    <r>
      <t xml:space="preserve"> </t>
    </r>
    <r>
      <rPr>
        <sz val="14"/>
        <color theme="1"/>
        <rFont val="宋体"/>
        <family val="3"/>
        <charset val="134"/>
      </rPr>
      <t>北京小型压缩机厂</t>
    </r>
    <r>
      <rPr>
        <sz val="14"/>
        <color theme="1"/>
        <rFont val="Arial"/>
        <family val="2"/>
      </rPr>
      <t xml:space="preserve"> </t>
    </r>
  </si>
  <si>
    <t>W-1.2/10</t>
  </si>
  <si>
    <r>
      <t>弯曲机</t>
    </r>
    <r>
      <rPr>
        <sz val="14"/>
        <color theme="1"/>
        <rFont val="Arial"/>
        <family val="2"/>
      </rPr>
      <t>GW40</t>
    </r>
  </si>
  <si>
    <r>
      <t xml:space="preserve"> </t>
    </r>
    <r>
      <rPr>
        <sz val="14"/>
        <color theme="1"/>
        <rFont val="宋体"/>
        <family val="3"/>
        <charset val="134"/>
      </rPr>
      <t>北京京昌源茂机械公司</t>
    </r>
    <r>
      <rPr>
        <sz val="14"/>
        <color theme="1"/>
        <rFont val="Arial"/>
        <family val="2"/>
      </rPr>
      <t xml:space="preserve"> </t>
    </r>
  </si>
  <si>
    <t xml:space="preserve"> GW40 </t>
  </si>
  <si>
    <t>钢筋直切断机</t>
  </si>
  <si>
    <t>东北重型机械厂</t>
  </si>
  <si>
    <t>GT4/14</t>
  </si>
  <si>
    <r>
      <t xml:space="preserve"> </t>
    </r>
    <r>
      <rPr>
        <sz val="14"/>
        <color theme="1"/>
        <rFont val="宋体"/>
        <family val="3"/>
        <charset val="134"/>
      </rPr>
      <t>液压轨枕放张机</t>
    </r>
  </si>
  <si>
    <t>杭州雷思机电公司</t>
  </si>
  <si>
    <t>MP-60-E</t>
  </si>
  <si>
    <t>洗石设备</t>
  </si>
  <si>
    <t>路明兴</t>
  </si>
  <si>
    <t>秦皇岛燕山大学机械厂</t>
  </si>
  <si>
    <t>GT4/12</t>
  </si>
  <si>
    <t>搅拌楼设备</t>
  </si>
  <si>
    <t>济南建友</t>
  </si>
  <si>
    <t>卷簧机机头总成</t>
  </si>
  <si>
    <t>洛阳显恒数控机床有限公司</t>
  </si>
  <si>
    <t>TL201</t>
  </si>
  <si>
    <t>电葫芦</t>
  </si>
  <si>
    <t>北京起重设备厂</t>
  </si>
  <si>
    <t>CD1T×6M</t>
  </si>
  <si>
    <r>
      <t>柴油发电机</t>
    </r>
    <r>
      <rPr>
        <sz val="14"/>
        <color theme="1"/>
        <rFont val="Arial"/>
        <family val="2"/>
      </rPr>
      <t xml:space="preserve"> </t>
    </r>
  </si>
  <si>
    <t>8000W</t>
  </si>
  <si>
    <t>点焊机</t>
  </si>
  <si>
    <t>DN-25-1</t>
  </si>
  <si>
    <t>张拉控制柜</t>
  </si>
  <si>
    <t>株州科星</t>
  </si>
  <si>
    <t>ZLZC-1</t>
  </si>
  <si>
    <t>汽车衡</t>
  </si>
  <si>
    <t>北京市实达称重系统有限公司</t>
  </si>
  <si>
    <t>脱模机</t>
  </si>
  <si>
    <t>双梁门吊及铁轨</t>
  </si>
  <si>
    <t>郑州装卸机械厂</t>
  </si>
  <si>
    <t>10T×22</t>
  </si>
  <si>
    <t>双梁桥式起重机</t>
  </si>
  <si>
    <t>河南中原起重机厂</t>
  </si>
  <si>
    <t>QDA6 10T-16.5M</t>
  </si>
  <si>
    <t>单梁桥式起重机</t>
  </si>
  <si>
    <t>5T11m</t>
  </si>
  <si>
    <t>双主梁桁架门式起重机</t>
  </si>
  <si>
    <r>
      <t>河南</t>
    </r>
    <r>
      <rPr>
        <sz val="14"/>
        <color theme="1"/>
        <rFont val="Arial"/>
        <family val="2"/>
      </rPr>
      <t xml:space="preserve"> </t>
    </r>
    <r>
      <rPr>
        <sz val="14"/>
        <color theme="1"/>
        <rFont val="宋体"/>
        <family val="3"/>
        <charset val="134"/>
      </rPr>
      <t>宏远</t>
    </r>
  </si>
  <si>
    <t>10T</t>
  </si>
  <si>
    <t>葫芦门式起重机</t>
  </si>
  <si>
    <t>MH2T×4.7M</t>
  </si>
  <si>
    <t>简易龙门吊</t>
  </si>
  <si>
    <t>卷扬机</t>
  </si>
  <si>
    <t>北京房山</t>
  </si>
  <si>
    <t>JK1</t>
  </si>
  <si>
    <t>出渣皮带机</t>
  </si>
  <si>
    <t>码垛机</t>
  </si>
  <si>
    <t>吊盖扳机</t>
  </si>
  <si>
    <t>自动吊架</t>
  </si>
  <si>
    <t>油泵站设备</t>
  </si>
  <si>
    <t>蒸养自控系统</t>
  </si>
  <si>
    <t>KX-59010-1520</t>
  </si>
  <si>
    <t>筒仓除尘器</t>
  </si>
  <si>
    <t>河北当涂</t>
  </si>
  <si>
    <t>料顶仓除尘器</t>
  </si>
  <si>
    <t>河北巨英</t>
  </si>
  <si>
    <t>水泥仓</t>
  </si>
  <si>
    <t>SNC200#</t>
  </si>
  <si>
    <t>标准养护室全自动控温控湿设备</t>
  </si>
  <si>
    <t>北京路达恒信建筑机械仪器公司</t>
  </si>
  <si>
    <t>FHBS-40</t>
  </si>
  <si>
    <t>养护设备</t>
  </si>
  <si>
    <t>上海自动化九厂</t>
  </si>
  <si>
    <t>CJ-1</t>
  </si>
  <si>
    <t>养护设备改造</t>
  </si>
  <si>
    <t>自建</t>
  </si>
  <si>
    <t>养护控制系统（工控机）</t>
  </si>
  <si>
    <t>柳州市科星自动化研究所</t>
  </si>
  <si>
    <t>KX-G</t>
  </si>
  <si>
    <t>混凝土养护温度控制系统</t>
  </si>
  <si>
    <t>出水小车组</t>
  </si>
  <si>
    <t>出水灰渣斗</t>
  </si>
  <si>
    <t>摆式辊道</t>
  </si>
  <si>
    <t>其他动力设备</t>
  </si>
  <si>
    <r>
      <t>纵向轨道（</t>
    </r>
    <r>
      <rPr>
        <sz val="14"/>
        <color theme="1"/>
        <rFont val="Arial"/>
        <family val="2"/>
      </rPr>
      <t>9</t>
    </r>
    <r>
      <rPr>
        <sz val="14"/>
        <color theme="1"/>
        <rFont val="宋体"/>
        <family val="3"/>
        <charset val="134"/>
      </rPr>
      <t>号</t>
    </r>
  </si>
  <si>
    <r>
      <t>纵向轨道（</t>
    </r>
    <r>
      <rPr>
        <sz val="14"/>
        <color theme="1"/>
        <rFont val="Arial"/>
        <family val="2"/>
      </rPr>
      <t>10</t>
    </r>
    <r>
      <rPr>
        <sz val="14"/>
        <color theme="1"/>
        <rFont val="宋体"/>
        <family val="3"/>
        <charset val="134"/>
      </rPr>
      <t>号）</t>
    </r>
  </si>
  <si>
    <r>
      <t>纵向轨道（</t>
    </r>
    <r>
      <rPr>
        <sz val="14"/>
        <color theme="1"/>
        <rFont val="Arial"/>
        <family val="2"/>
      </rPr>
      <t>11</t>
    </r>
    <r>
      <rPr>
        <sz val="14"/>
        <color theme="1"/>
        <rFont val="宋体"/>
        <family val="3"/>
        <charset val="134"/>
      </rPr>
      <t>号设备</t>
    </r>
    <r>
      <rPr>
        <sz val="14"/>
        <color theme="1"/>
        <rFont val="Arial"/>
        <family val="2"/>
      </rPr>
      <t xml:space="preserve"> 2</t>
    </r>
    <r>
      <rPr>
        <sz val="14"/>
        <color theme="1"/>
        <rFont val="宋体"/>
        <family val="3"/>
        <charset val="134"/>
      </rPr>
      <t>组）</t>
    </r>
  </si>
  <si>
    <r>
      <t>纵向轨道（</t>
    </r>
    <r>
      <rPr>
        <sz val="14"/>
        <color theme="1"/>
        <rFont val="Arial"/>
        <family val="2"/>
      </rPr>
      <t>3</t>
    </r>
    <r>
      <rPr>
        <sz val="14"/>
        <color theme="1"/>
        <rFont val="宋体"/>
        <family val="3"/>
        <charset val="134"/>
      </rPr>
      <t>号）</t>
    </r>
  </si>
  <si>
    <r>
      <t>纵向轨道（</t>
    </r>
    <r>
      <rPr>
        <sz val="14"/>
        <color theme="1"/>
        <rFont val="Arial"/>
        <family val="2"/>
      </rPr>
      <t>2</t>
    </r>
    <r>
      <rPr>
        <sz val="14"/>
        <color theme="1"/>
        <rFont val="宋体"/>
        <family val="3"/>
        <charset val="134"/>
      </rPr>
      <t>号设备</t>
    </r>
    <r>
      <rPr>
        <sz val="14"/>
        <color theme="1"/>
        <rFont val="Arial"/>
        <family val="2"/>
      </rPr>
      <t>1</t>
    </r>
    <r>
      <rPr>
        <sz val="14"/>
        <color theme="1"/>
        <rFont val="宋体"/>
        <family val="3"/>
        <charset val="134"/>
      </rPr>
      <t>组）</t>
    </r>
  </si>
  <si>
    <r>
      <t>纵向轨道（</t>
    </r>
    <r>
      <rPr>
        <sz val="14"/>
        <color theme="1"/>
        <rFont val="Arial"/>
        <family val="2"/>
      </rPr>
      <t>4</t>
    </r>
    <r>
      <rPr>
        <sz val="14"/>
        <color theme="1"/>
        <rFont val="宋体"/>
        <family val="3"/>
        <charset val="134"/>
      </rPr>
      <t>号设备）</t>
    </r>
  </si>
  <si>
    <t>拉丝横移辊道</t>
  </si>
  <si>
    <t>成品输送辊道</t>
  </si>
  <si>
    <t>弹性辊道</t>
  </si>
  <si>
    <t>弹性辊道（脱轨）</t>
  </si>
  <si>
    <r>
      <t>纵向辊道（</t>
    </r>
    <r>
      <rPr>
        <sz val="14"/>
        <color theme="1"/>
        <rFont val="Arial"/>
        <family val="2"/>
      </rPr>
      <t>5</t>
    </r>
    <r>
      <rPr>
        <sz val="14"/>
        <color theme="1"/>
        <rFont val="宋体"/>
        <family val="3"/>
        <charset val="134"/>
      </rPr>
      <t>号）</t>
    </r>
  </si>
  <si>
    <r>
      <t>纵向辊道（</t>
    </r>
    <r>
      <rPr>
        <sz val="14"/>
        <color theme="1"/>
        <rFont val="Arial"/>
        <family val="2"/>
      </rPr>
      <t>6</t>
    </r>
    <r>
      <rPr>
        <sz val="14"/>
        <color theme="1"/>
        <rFont val="宋体"/>
        <family val="3"/>
        <charset val="134"/>
      </rPr>
      <t>号）</t>
    </r>
    <r>
      <rPr>
        <sz val="14"/>
        <color theme="1"/>
        <rFont val="Arial"/>
        <family val="2"/>
      </rPr>
      <t>1</t>
    </r>
    <r>
      <rPr>
        <sz val="14"/>
        <color theme="1"/>
        <rFont val="宋体"/>
        <family val="3"/>
        <charset val="134"/>
      </rPr>
      <t>组</t>
    </r>
  </si>
  <si>
    <r>
      <t>纵向辊道（</t>
    </r>
    <r>
      <rPr>
        <sz val="14"/>
        <color theme="1"/>
        <rFont val="Arial"/>
        <family val="2"/>
      </rPr>
      <t>7</t>
    </r>
    <r>
      <rPr>
        <sz val="14"/>
        <color theme="1"/>
        <rFont val="宋体"/>
        <family val="3"/>
        <charset val="134"/>
      </rPr>
      <t>号）</t>
    </r>
    <r>
      <rPr>
        <sz val="14"/>
        <color theme="1"/>
        <rFont val="Arial"/>
        <family val="2"/>
      </rPr>
      <t>2</t>
    </r>
    <r>
      <rPr>
        <sz val="14"/>
        <color theme="1"/>
        <rFont val="宋体"/>
        <family val="3"/>
        <charset val="134"/>
      </rPr>
      <t>组</t>
    </r>
  </si>
  <si>
    <t>纵向辊道</t>
  </si>
  <si>
    <t>震动台</t>
  </si>
  <si>
    <t>深入式搅拌机</t>
  </si>
  <si>
    <t>江阴市新桥石化机械厂</t>
  </si>
  <si>
    <t>LY-0.75</t>
  </si>
  <si>
    <t>立式搅拌机</t>
  </si>
  <si>
    <t>电器设备</t>
  </si>
  <si>
    <t>北京第二开关厂</t>
  </si>
  <si>
    <t>PGL2</t>
  </si>
  <si>
    <t>数显扭曲测量仪</t>
  </si>
  <si>
    <t>河北献县领航轨枕检验仪器厂</t>
  </si>
  <si>
    <t>HNQ</t>
  </si>
  <si>
    <t>含汽量测定仪直读式</t>
  </si>
  <si>
    <t>无锡建业</t>
  </si>
  <si>
    <r>
      <t>0.17</t>
    </r>
    <r>
      <rPr>
        <sz val="14"/>
        <color theme="1"/>
        <rFont val="宋体"/>
        <family val="3"/>
        <charset val="134"/>
      </rPr>
      <t>升</t>
    </r>
  </si>
  <si>
    <t>校准平台</t>
  </si>
  <si>
    <t>HPT200*1800mm</t>
  </si>
  <si>
    <r>
      <t>恒温水槽</t>
    </r>
    <r>
      <rPr>
        <sz val="14"/>
        <color theme="1"/>
        <rFont val="Arial"/>
        <family val="2"/>
      </rPr>
      <t>250×200×150mm</t>
    </r>
  </si>
  <si>
    <t>上海越平</t>
  </si>
  <si>
    <t>DC-3006</t>
  </si>
  <si>
    <t>测力仪</t>
  </si>
  <si>
    <t>天水红山试验机有限公司</t>
  </si>
  <si>
    <t>HS-500KN</t>
  </si>
  <si>
    <r>
      <t>无线电测量仪器</t>
    </r>
    <r>
      <rPr>
        <sz val="14"/>
        <color theme="1"/>
        <rFont val="Arial"/>
        <family val="2"/>
      </rPr>
      <t>-</t>
    </r>
    <r>
      <rPr>
        <sz val="14"/>
        <color theme="1"/>
        <rFont val="宋体"/>
        <family val="3"/>
        <charset val="134"/>
      </rPr>
      <t>侧力传感器</t>
    </r>
  </si>
  <si>
    <t>100KN</t>
  </si>
  <si>
    <r>
      <t>电子分析天平</t>
    </r>
    <r>
      <rPr>
        <sz val="14"/>
        <color theme="1"/>
        <rFont val="Arial"/>
        <family val="2"/>
      </rPr>
      <t xml:space="preserve"> </t>
    </r>
    <r>
      <rPr>
        <sz val="14"/>
        <color theme="1"/>
        <rFont val="宋体"/>
        <family val="3"/>
        <charset val="134"/>
      </rPr>
      <t>精度</t>
    </r>
    <r>
      <rPr>
        <sz val="14"/>
        <color theme="1"/>
        <rFont val="Arial"/>
        <family val="2"/>
      </rPr>
      <t>0.1m</t>
    </r>
  </si>
  <si>
    <t>上海佑科</t>
  </si>
  <si>
    <r>
      <t>称量</t>
    </r>
    <r>
      <rPr>
        <sz val="14"/>
        <color theme="1"/>
        <rFont val="Arial"/>
        <family val="2"/>
      </rPr>
      <t>200</t>
    </r>
  </si>
  <si>
    <t>天平</t>
  </si>
  <si>
    <t>常熟市双杰测试仪器厂</t>
  </si>
  <si>
    <r>
      <t>200kg</t>
    </r>
    <r>
      <rPr>
        <sz val="14"/>
        <color theme="1"/>
        <rFont val="宋体"/>
        <family val="3"/>
        <charset val="134"/>
      </rPr>
      <t>感量</t>
    </r>
    <r>
      <rPr>
        <sz val="14"/>
        <color theme="1"/>
        <rFont val="Arial"/>
        <family val="2"/>
      </rPr>
      <t>0.1m</t>
    </r>
  </si>
  <si>
    <t>火焰光度计</t>
  </si>
  <si>
    <t>上海仪电分析</t>
  </si>
  <si>
    <t>6400A</t>
  </si>
  <si>
    <t>钢筋弯折实验机</t>
  </si>
  <si>
    <t>宁夏青山实验机厂</t>
  </si>
  <si>
    <t>WJJ-10C</t>
  </si>
  <si>
    <t>压力式实验机</t>
  </si>
  <si>
    <t>济南实验机厂</t>
  </si>
  <si>
    <t>2000KN</t>
  </si>
  <si>
    <t>万能实验机</t>
  </si>
  <si>
    <t>WAW-300B</t>
  </si>
  <si>
    <t>压力实验机</t>
  </si>
  <si>
    <t>北京东侧实验仪器厂</t>
  </si>
  <si>
    <t>YAW-3000</t>
  </si>
  <si>
    <t>北京路业科宇实验仪器有限公司</t>
  </si>
  <si>
    <t>DYE300B</t>
  </si>
  <si>
    <t>静载实验机</t>
  </si>
  <si>
    <t>天水试验厂</t>
  </si>
  <si>
    <t>500KN</t>
  </si>
  <si>
    <r>
      <t>静载实验机</t>
    </r>
    <r>
      <rPr>
        <sz val="14"/>
        <color theme="1"/>
        <rFont val="Arial"/>
        <family val="2"/>
      </rPr>
      <t>-</t>
    </r>
    <r>
      <rPr>
        <sz val="14"/>
        <color theme="1"/>
        <rFont val="宋体"/>
        <family val="3"/>
        <charset val="134"/>
      </rPr>
      <t>增冷却机</t>
    </r>
  </si>
  <si>
    <t>试验用搅拌机</t>
  </si>
  <si>
    <t>天津市路达建筑仪器</t>
  </si>
  <si>
    <t>HJW-60</t>
  </si>
  <si>
    <t>水泥静桨搅拌机</t>
  </si>
  <si>
    <r>
      <t>无锡建筑材料仪器</t>
    </r>
    <r>
      <rPr>
        <sz val="14"/>
        <color theme="1"/>
        <rFont val="Arial"/>
        <family val="2"/>
      </rPr>
      <t xml:space="preserve"> </t>
    </r>
    <r>
      <rPr>
        <sz val="14"/>
        <color theme="1"/>
        <rFont val="宋体"/>
        <family val="3"/>
        <charset val="134"/>
      </rPr>
      <t>机械厂</t>
    </r>
  </si>
  <si>
    <t>NJ-160A</t>
  </si>
  <si>
    <t>水泥胶砂搅拌机</t>
  </si>
  <si>
    <t>JJ-5</t>
  </si>
  <si>
    <t>水泥胶砂振动机</t>
  </si>
  <si>
    <t>沈阳北方测试仪器厂</t>
  </si>
  <si>
    <r>
      <t>JZT-85A</t>
    </r>
    <r>
      <rPr>
        <sz val="14"/>
        <color theme="1"/>
        <rFont val="宋体"/>
        <family val="3"/>
        <charset val="134"/>
      </rPr>
      <t>型</t>
    </r>
  </si>
  <si>
    <t>混凝土搅拌机强制式单卧轴</t>
  </si>
  <si>
    <t>废水治理设备</t>
  </si>
  <si>
    <t>北京风雨龙环保节能科技有限公司</t>
  </si>
  <si>
    <t>LS-15T</t>
  </si>
  <si>
    <t>污水治理设备</t>
  </si>
  <si>
    <t>北京远景胜达环保科技有限公司</t>
  </si>
  <si>
    <r>
      <t>车间粉尘治理除尘器</t>
    </r>
    <r>
      <rPr>
        <sz val="14"/>
        <color theme="1"/>
        <rFont val="Arial"/>
        <family val="2"/>
      </rPr>
      <t>2</t>
    </r>
    <r>
      <rPr>
        <sz val="14"/>
        <color theme="1"/>
        <rFont val="宋体"/>
        <family val="3"/>
        <charset val="134"/>
      </rPr>
      <t>套</t>
    </r>
  </si>
  <si>
    <t>北京市鄱藍环保设备厂</t>
  </si>
  <si>
    <t>组合</t>
  </si>
  <si>
    <r>
      <t>环保治理设备</t>
    </r>
    <r>
      <rPr>
        <sz val="14"/>
        <color theme="1"/>
        <rFont val="Arial"/>
        <family val="2"/>
      </rPr>
      <t>-</t>
    </r>
    <r>
      <rPr>
        <sz val="14"/>
        <color theme="1"/>
        <rFont val="宋体"/>
        <family val="3"/>
        <charset val="134"/>
      </rPr>
      <t>焊接除尘器</t>
    </r>
    <r>
      <rPr>
        <sz val="14"/>
        <color theme="1"/>
        <rFont val="Arial"/>
        <family val="2"/>
      </rPr>
      <t>1</t>
    </r>
    <r>
      <rPr>
        <sz val="14"/>
        <color theme="1"/>
        <rFont val="宋体"/>
        <family val="3"/>
        <charset val="134"/>
      </rPr>
      <t>套</t>
    </r>
  </si>
  <si>
    <t>北京远景康达体育传媒有限公司</t>
  </si>
  <si>
    <t>燃气锅炉</t>
  </si>
  <si>
    <t>安阳方块锅炉有限公司</t>
  </si>
  <si>
    <t>WN/1.0</t>
  </si>
  <si>
    <t>WNS2-1.25YQ</t>
  </si>
  <si>
    <t>组合式箱式变电站</t>
  </si>
  <si>
    <t>北京东方中电</t>
  </si>
  <si>
    <t>ZXB-II</t>
  </si>
  <si>
    <r>
      <t>下灰车</t>
    </r>
    <r>
      <rPr>
        <sz val="14"/>
        <color theme="1"/>
        <rFont val="Arial"/>
        <family val="2"/>
      </rPr>
      <t>(</t>
    </r>
    <r>
      <rPr>
        <sz val="14"/>
        <color theme="1"/>
        <rFont val="宋体"/>
        <family val="3"/>
        <charset val="134"/>
      </rPr>
      <t>下料机</t>
    </r>
    <r>
      <rPr>
        <sz val="14"/>
        <color theme="1"/>
        <rFont val="Arial"/>
        <family val="2"/>
      </rPr>
      <t>)</t>
    </r>
  </si>
  <si>
    <t>山东曲阜巨力铁路机械厂</t>
  </si>
  <si>
    <t>减水剂设备</t>
  </si>
  <si>
    <t>储水箱</t>
  </si>
  <si>
    <t>巨力铁路</t>
  </si>
  <si>
    <t>单相自吸水泵</t>
  </si>
  <si>
    <r>
      <t xml:space="preserve"> </t>
    </r>
    <r>
      <rPr>
        <sz val="14"/>
        <color theme="1"/>
        <rFont val="宋体"/>
        <family val="3"/>
        <charset val="134"/>
      </rPr>
      <t>上海钱福电器</t>
    </r>
    <r>
      <rPr>
        <sz val="14"/>
        <color theme="1"/>
        <rFont val="Arial"/>
        <family val="2"/>
      </rPr>
      <t xml:space="preserve"> </t>
    </r>
  </si>
  <si>
    <t>耐腐蚀自吸泵</t>
  </si>
  <si>
    <r>
      <t xml:space="preserve"> </t>
    </r>
    <r>
      <rPr>
        <sz val="14"/>
        <color theme="1"/>
        <rFont val="宋体"/>
        <family val="3"/>
        <charset val="134"/>
      </rPr>
      <t>宜兴宙斯泵业</t>
    </r>
    <r>
      <rPr>
        <sz val="14"/>
        <color theme="1"/>
        <rFont val="Arial"/>
        <family val="2"/>
      </rPr>
      <t xml:space="preserve"> </t>
    </r>
  </si>
  <si>
    <t>32FSZ-K-11</t>
  </si>
  <si>
    <t>吊件机</t>
  </si>
  <si>
    <t>自赁</t>
  </si>
  <si>
    <t>工作台</t>
  </si>
  <si>
    <r>
      <t>13</t>
    </r>
    <r>
      <rPr>
        <sz val="14"/>
        <color theme="1"/>
        <rFont val="宋体"/>
        <family val="3"/>
        <charset val="134"/>
      </rPr>
      <t>米</t>
    </r>
  </si>
  <si>
    <t>液压翻模机</t>
  </si>
  <si>
    <t>料斗</t>
  </si>
  <si>
    <t>焊机</t>
  </si>
  <si>
    <t>北京东升电焊机厂</t>
  </si>
  <si>
    <t>BX1-500-5F</t>
  </si>
  <si>
    <t>螺旋千斤顶</t>
  </si>
  <si>
    <t>上海沪南千斤顶制造</t>
  </si>
  <si>
    <r>
      <t>450</t>
    </r>
    <r>
      <rPr>
        <sz val="14"/>
        <color theme="1"/>
        <rFont val="宋体"/>
        <family val="3"/>
        <charset val="134"/>
      </rPr>
      <t>千克</t>
    </r>
  </si>
  <si>
    <t>注油泵</t>
  </si>
  <si>
    <t>手提电焊机</t>
  </si>
  <si>
    <r>
      <t xml:space="preserve"> </t>
    </r>
    <r>
      <rPr>
        <sz val="14"/>
        <color theme="1"/>
        <rFont val="宋体"/>
        <family val="3"/>
        <charset val="134"/>
      </rPr>
      <t>胶莱焊机厂</t>
    </r>
    <r>
      <rPr>
        <sz val="14"/>
        <color theme="1"/>
        <rFont val="Arial"/>
        <family val="2"/>
      </rPr>
      <t xml:space="preserve"> </t>
    </r>
  </si>
  <si>
    <t>SW-4-01</t>
  </si>
  <si>
    <t>沙轮机</t>
  </si>
  <si>
    <t>200×20×32</t>
  </si>
  <si>
    <t>台式钻床</t>
  </si>
  <si>
    <t>Z4112A</t>
  </si>
  <si>
    <r>
      <t xml:space="preserve"> </t>
    </r>
    <r>
      <rPr>
        <sz val="14"/>
        <color theme="1"/>
        <rFont val="宋体"/>
        <family val="3"/>
        <charset val="134"/>
      </rPr>
      <t>杭州双龙机械厂</t>
    </r>
    <r>
      <rPr>
        <sz val="14"/>
        <color theme="1"/>
        <rFont val="Arial"/>
        <family val="2"/>
      </rPr>
      <t xml:space="preserve"> </t>
    </r>
  </si>
  <si>
    <t>Z4116</t>
  </si>
  <si>
    <t>台钳</t>
  </si>
  <si>
    <t>AK-6429</t>
  </si>
  <si>
    <t>电动油泵</t>
  </si>
  <si>
    <t>ZBZX2/49(500)</t>
  </si>
  <si>
    <t>发泡茶炉</t>
  </si>
  <si>
    <t>山东兴都商用厨具厂</t>
  </si>
  <si>
    <t>DZK285</t>
  </si>
  <si>
    <t>焊烟净化器</t>
  </si>
  <si>
    <t>锚杆拉拨仪</t>
  </si>
  <si>
    <t>北京海创高科</t>
  </si>
  <si>
    <r>
      <t>传感器</t>
    </r>
    <r>
      <rPr>
        <sz val="14"/>
        <color theme="1"/>
        <rFont val="Arial"/>
        <family val="2"/>
      </rPr>
      <t xml:space="preserve"> </t>
    </r>
  </si>
  <si>
    <t>深圳佳土科技</t>
  </si>
  <si>
    <t>NB315F</t>
  </si>
  <si>
    <t>多功能电焊机</t>
  </si>
  <si>
    <t>北京电焊机厂</t>
  </si>
  <si>
    <t>WSE315</t>
  </si>
  <si>
    <t>卧式搅拌机</t>
  </si>
  <si>
    <r>
      <t>1.5</t>
    </r>
    <r>
      <rPr>
        <vertAlign val="superscript"/>
        <sz val="14"/>
        <color theme="1"/>
        <rFont val="Arial"/>
        <family val="2"/>
      </rPr>
      <t>m</t>
    </r>
  </si>
  <si>
    <t>热水电炉</t>
  </si>
  <si>
    <t>JK-12K</t>
  </si>
  <si>
    <t>混凝土切割机</t>
  </si>
  <si>
    <t>河南长葛市震阳机械</t>
  </si>
  <si>
    <t>HLQ12-27</t>
  </si>
  <si>
    <t>型材切割棚</t>
  </si>
  <si>
    <t>北京多宾城建筑机械厂</t>
  </si>
  <si>
    <t>400A</t>
  </si>
  <si>
    <t>调直机</t>
  </si>
  <si>
    <t>电焊机</t>
  </si>
  <si>
    <r>
      <t>T</t>
    </r>
    <r>
      <rPr>
        <sz val="14"/>
        <color theme="1"/>
        <rFont val="宋体"/>
        <family val="3"/>
        <charset val="134"/>
      </rPr>
      <t>北京电焊机厂</t>
    </r>
  </si>
  <si>
    <t>LQ60E</t>
  </si>
  <si>
    <t>磨板除锈机</t>
  </si>
  <si>
    <t>河南黄河旅风机械厂</t>
  </si>
  <si>
    <t>5.5-Y132-S-2</t>
  </si>
  <si>
    <t>沙轮锯</t>
  </si>
  <si>
    <t>组合变电站</t>
  </si>
  <si>
    <r>
      <t>国电久胜</t>
    </r>
    <r>
      <rPr>
        <sz val="14"/>
        <color theme="1"/>
        <rFont val="Arial"/>
        <family val="2"/>
      </rPr>
      <t>(</t>
    </r>
    <r>
      <rPr>
        <sz val="14"/>
        <color theme="1"/>
        <rFont val="宋体"/>
        <family val="3"/>
        <charset val="134"/>
      </rPr>
      <t>北京</t>
    </r>
    <r>
      <rPr>
        <sz val="14"/>
        <color theme="1"/>
        <rFont val="Arial"/>
        <family val="2"/>
      </rPr>
      <t>)</t>
    </r>
    <r>
      <rPr>
        <sz val="14"/>
        <color theme="1"/>
        <rFont val="宋体"/>
        <family val="3"/>
        <charset val="134"/>
      </rPr>
      <t>电气设备厂</t>
    </r>
  </si>
  <si>
    <r>
      <t>2×B</t>
    </r>
    <r>
      <rPr>
        <sz val="14"/>
        <color theme="1"/>
        <rFont val="宋体"/>
        <family val="3"/>
        <charset val="134"/>
      </rPr>
      <t>Ⅱ</t>
    </r>
  </si>
  <si>
    <r>
      <t>3</t>
    </r>
    <r>
      <rPr>
        <sz val="14"/>
        <color theme="1"/>
        <rFont val="宋体"/>
        <family val="3"/>
        <charset val="134"/>
      </rPr>
      <t>吨</t>
    </r>
    <r>
      <rPr>
        <sz val="14"/>
        <color theme="1"/>
        <rFont val="Arial"/>
        <family val="2"/>
      </rPr>
      <t>(7</t>
    </r>
    <r>
      <rPr>
        <sz val="14"/>
        <color theme="1"/>
        <rFont val="宋体"/>
        <family val="3"/>
        <charset val="134"/>
      </rPr>
      <t>米</t>
    </r>
    <r>
      <rPr>
        <sz val="14"/>
        <color theme="1"/>
        <rFont val="Arial"/>
        <family val="2"/>
      </rPr>
      <t>)</t>
    </r>
  </si>
  <si>
    <r>
      <t>1</t>
    </r>
    <r>
      <rPr>
        <sz val="14"/>
        <color theme="1"/>
        <rFont val="宋体"/>
        <family val="3"/>
        <charset val="134"/>
      </rPr>
      <t>吨</t>
    </r>
    <r>
      <rPr>
        <sz val="14"/>
        <color theme="1"/>
        <rFont val="Arial"/>
        <family val="2"/>
      </rPr>
      <t>(5</t>
    </r>
    <r>
      <rPr>
        <sz val="14"/>
        <color theme="1"/>
        <rFont val="宋体"/>
        <family val="3"/>
        <charset val="134"/>
      </rPr>
      <t>米</t>
    </r>
    <r>
      <rPr>
        <sz val="14"/>
        <color theme="1"/>
        <rFont val="Arial"/>
        <family val="2"/>
      </rPr>
      <t>)</t>
    </r>
  </si>
  <si>
    <t>超声波加湿器</t>
  </si>
  <si>
    <t>水泥胶沙流动度测试仪</t>
  </si>
  <si>
    <t>NLD-3</t>
  </si>
  <si>
    <t>水泥稠度凝结测定仪</t>
  </si>
  <si>
    <t>上海路达实验仪器厂</t>
  </si>
  <si>
    <t>自动比表表面积测定仪</t>
  </si>
  <si>
    <t>上海越平科学仪器厂</t>
  </si>
  <si>
    <r>
      <t>FBF9</t>
    </r>
    <r>
      <rPr>
        <sz val="14"/>
        <color theme="1"/>
        <rFont val="宋体"/>
        <family val="3"/>
        <charset val="134"/>
      </rPr>
      <t>型</t>
    </r>
  </si>
  <si>
    <t>低温恒温箱</t>
  </si>
  <si>
    <t>常熟双杰科学仪器厂</t>
  </si>
  <si>
    <t>电子天平</t>
  </si>
  <si>
    <r>
      <t>JJ1000</t>
    </r>
    <r>
      <rPr>
        <sz val="14"/>
        <color theme="1"/>
        <rFont val="宋体"/>
        <family val="3"/>
        <charset val="134"/>
      </rPr>
      <t>型</t>
    </r>
  </si>
  <si>
    <t>沈阳龙腾电子公司</t>
  </si>
  <si>
    <t>LD210-2</t>
  </si>
  <si>
    <t>压缩机</t>
  </si>
  <si>
    <t>泉州华达</t>
  </si>
  <si>
    <t>JB0.14-8</t>
  </si>
  <si>
    <t>电热鼓风干燥箱</t>
  </si>
  <si>
    <t>上海树立仪器厂</t>
  </si>
  <si>
    <t>FX101-1</t>
  </si>
  <si>
    <t>高温炉</t>
  </si>
  <si>
    <t>北京中兴伟业</t>
  </si>
  <si>
    <t>300×200×120SX-4-10</t>
  </si>
  <si>
    <t>上海良平</t>
  </si>
  <si>
    <t>JY1001</t>
  </si>
  <si>
    <r>
      <t>JJ100</t>
    </r>
    <r>
      <rPr>
        <sz val="14"/>
        <color theme="1"/>
        <rFont val="宋体"/>
        <family val="3"/>
        <charset val="134"/>
      </rPr>
      <t>型</t>
    </r>
  </si>
  <si>
    <t>DSJ-5</t>
  </si>
  <si>
    <t>G@G</t>
  </si>
  <si>
    <t>TC10K-H</t>
  </si>
  <si>
    <t>数显恒温鼓风干燥箱</t>
  </si>
  <si>
    <t>北京路达恒信建筑仪器厂</t>
  </si>
  <si>
    <r>
      <t>101-3</t>
    </r>
    <r>
      <rPr>
        <sz val="14"/>
        <color theme="1"/>
        <rFont val="宋体"/>
        <family val="3"/>
        <charset val="134"/>
      </rPr>
      <t>型</t>
    </r>
  </si>
  <si>
    <t>混凝土搅拌合物含量测定仪</t>
  </si>
  <si>
    <t>无锡建筑仪器设备</t>
  </si>
  <si>
    <t>HC-7S</t>
  </si>
  <si>
    <t>震击式标准振筛机</t>
  </si>
  <si>
    <t>浙江上虞</t>
  </si>
  <si>
    <r>
      <t>ZBSX-92A</t>
    </r>
    <r>
      <rPr>
        <sz val="14"/>
        <color theme="1"/>
        <rFont val="宋体"/>
        <family val="3"/>
        <charset val="134"/>
      </rPr>
      <t>型</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</si>
</sst>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3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9"/>
      <color theme="1"/>
      <name val="宋体"/>
      <family val="3"/>
      <charset val="134"/>
      <scheme val="minor"/>
    </font>
    <font>
      <sz val="10.5"/>
      <color theme="1"/>
      <name val="宋体"/>
      <family val="3"/>
      <charset val="134"/>
    </font>
    <font>
      <sz val="10.5"/>
      <color theme="1"/>
      <name val="Arial"/>
      <family val="2"/>
    </font>
    <font>
      <sz val="14"/>
      <color theme="1"/>
      <name val="宋体"/>
      <family val="3"/>
      <charset val="134"/>
    </font>
    <font>
      <u/>
      <sz val="11"/>
      <color theme="10"/>
      <name val="宋体"/>
      <family val="3"/>
      <charset val="134"/>
      <scheme val="minor"/>
    </font>
    <font>
      <sz val="9"/>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33" fillId="0" borderId="0" applyNumberFormat="0" applyFill="0" applyBorder="0" applyAlignment="0" applyProtection="0">
      <alignment vertical="center"/>
    </xf>
  </cellStyleXfs>
  <cellXfs count="44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329" fillId="0" borderId="0" xfId="0" applyFont="1">
      <alignment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27" fillId="6" borderId="2" xfId="15" applyFont="1" applyFill="1" applyBorder="1" applyAlignment="1">
      <alignment horizontal="center" vertical="center"/>
    </xf>
    <xf numFmtId="0" fontId="0" fillId="0" borderId="0" xfId="0" applyNumberFormat="1">
      <alignment vertical="center"/>
    </xf>
    <xf numFmtId="0" fontId="330" fillId="0" borderId="82" xfId="0" applyFont="1" applyBorder="1" applyAlignment="1">
      <alignment horizontal="center" vertical="center" wrapText="1"/>
    </xf>
    <xf numFmtId="0" fontId="330" fillId="0" borderId="38" xfId="0" applyFont="1" applyBorder="1" applyAlignment="1">
      <alignment horizontal="center" vertical="center" wrapText="1"/>
    </xf>
    <xf numFmtId="0" fontId="331" fillId="0" borderId="80" xfId="0" applyFont="1" applyBorder="1" applyAlignment="1">
      <alignment horizontal="center" vertical="center" wrapText="1"/>
    </xf>
    <xf numFmtId="0" fontId="330" fillId="0" borderId="66" xfId="0" applyFont="1" applyBorder="1" applyAlignment="1">
      <alignment horizontal="center" vertical="center" wrapText="1"/>
    </xf>
    <xf numFmtId="0" fontId="331" fillId="0" borderId="66" xfId="0" applyFont="1" applyBorder="1" applyAlignment="1">
      <alignment horizontal="center" vertical="center" wrapText="1"/>
    </xf>
    <xf numFmtId="31" fontId="331" fillId="0" borderId="66" xfId="0" applyNumberFormat="1" applyFont="1" applyBorder="1" applyAlignment="1">
      <alignment horizontal="center" vertical="center" wrapText="1"/>
    </xf>
    <xf numFmtId="9" fontId="331" fillId="0" borderId="66" xfId="0" applyNumberFormat="1" applyFont="1" applyBorder="1" applyAlignment="1">
      <alignment horizontal="center" vertical="center" wrapText="1"/>
    </xf>
    <xf numFmtId="0" fontId="145" fillId="0" borderId="0" xfId="0" applyFont="1" applyFill="1" applyBorder="1">
      <alignment vertical="center"/>
    </xf>
    <xf numFmtId="9" fontId="95" fillId="9" borderId="5" xfId="2"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332" fillId="0" borderId="82" xfId="0" applyFont="1" applyBorder="1" applyAlignment="1">
      <alignment horizontal="center" vertical="center" wrapText="1"/>
    </xf>
    <xf numFmtId="0" fontId="332" fillId="0" borderId="38" xfId="0" applyFont="1" applyBorder="1" applyAlignment="1">
      <alignment horizontal="center" vertical="center" wrapText="1"/>
    </xf>
    <xf numFmtId="0" fontId="171" fillId="0" borderId="80" xfId="0" applyFont="1" applyBorder="1" applyAlignment="1">
      <alignment horizontal="center" vertical="center" wrapText="1"/>
    </xf>
    <xf numFmtId="0" fontId="332" fillId="0" borderId="66" xfId="0" applyFont="1" applyBorder="1" applyAlignment="1">
      <alignment horizontal="center" vertical="center" wrapText="1"/>
    </xf>
    <xf numFmtId="0" fontId="171" fillId="0" borderId="66" xfId="0" applyFont="1" applyBorder="1" applyAlignment="1">
      <alignment horizontal="center" vertical="center" wrapText="1"/>
    </xf>
    <xf numFmtId="0" fontId="171" fillId="0" borderId="66" xfId="0" applyFont="1" applyBorder="1" applyAlignment="1">
      <alignment vertical="center" wrapText="1"/>
    </xf>
    <xf numFmtId="0" fontId="333" fillId="0" borderId="66" xfId="30" applyBorder="1" applyAlignment="1">
      <alignment horizontal="center" vertical="center" wrapText="1"/>
    </xf>
    <xf numFmtId="0" fontId="332" fillId="0" borderId="80" xfId="0" applyFont="1" applyBorder="1" applyAlignment="1">
      <alignment horizontal="center" vertical="center" wrapText="1"/>
    </xf>
    <xf numFmtId="0" fontId="40" fillId="8" borderId="2" xfId="4" applyFont="1" applyFill="1" applyBorder="1" applyAlignment="1">
      <alignment horizontal="center" vertical="center" wrapText="1"/>
    </xf>
    <xf numFmtId="0" fontId="334" fillId="0" borderId="21" xfId="0" applyFont="1" applyBorder="1" applyAlignment="1">
      <alignment horizontal="center" vertical="center"/>
    </xf>
    <xf numFmtId="0" fontId="146" fillId="0" borderId="0" xfId="0" applyFont="1" applyFill="1" applyBorder="1" applyAlignme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330" fillId="0" borderId="36" xfId="0" applyFont="1" applyBorder="1" applyAlignment="1">
      <alignment horizontal="center" vertical="center" wrapText="1"/>
    </xf>
    <xf numFmtId="0" fontId="330" fillId="0" borderId="37" xfId="0" applyFont="1" applyBorder="1" applyAlignment="1">
      <alignment horizontal="center" vertical="center" wrapText="1"/>
    </xf>
    <xf numFmtId="0" fontId="330"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80" fillId="0" borderId="0" xfId="0" applyFont="1" applyFill="1" applyBorder="1" applyAlignment="1">
      <alignment horizontal="center"/>
    </xf>
    <xf numFmtId="0" fontId="40" fillId="0" borderId="2" xfId="4" applyFont="1" applyFill="1" applyBorder="1" applyAlignment="1">
      <alignment vertical="center" wrapText="1"/>
    </xf>
    <xf numFmtId="0" fontId="86" fillId="0" borderId="2" xfId="4"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40" fillId="0" borderId="5" xfId="4" applyFont="1" applyFill="1" applyBorder="1" applyAlignment="1">
      <alignment horizontal="center" vertical="center" wrapText="1"/>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127" fillId="0" borderId="0" xfId="4" applyFont="1" applyFill="1" applyBorder="1" applyAlignment="1">
      <alignment horizontal="left"/>
    </xf>
    <xf numFmtId="4" fontId="86" fillId="0" borderId="2" xfId="4" applyNumberFormat="1" applyFont="1" applyFill="1" applyBorder="1" applyAlignment="1">
      <alignment horizontal="center" vertical="center" wrapText="1"/>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12" fillId="0" borderId="0" xfId="19"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10"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198" fontId="127" fillId="0" borderId="2"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247" fillId="2" borderId="2" xfId="19"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0" fontId="280" fillId="28" borderId="0" xfId="19" applyFont="1" applyFill="1" applyAlignment="1">
      <alignment horizontal="center" vertical="center"/>
    </xf>
    <xf numFmtId="1" fontId="144" fillId="0" borderId="2" xfId="19" applyNumberFormat="1" applyFont="1" applyFill="1" applyBorder="1" applyAlignment="1" applyProtection="1">
      <alignment horizontal="center" vertical="center" wrapText="1"/>
      <protection locked="0" hidden="1"/>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199" fontId="144" fillId="2" borderId="2" xfId="19" applyNumberFormat="1" applyFont="1" applyFill="1" applyBorder="1" applyAlignment="1" applyProtection="1">
      <alignment horizontal="center" vertical="center"/>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35" xfId="19" applyFont="1" applyFill="1" applyBorder="1" applyAlignment="1" applyProtection="1">
      <alignment horizontal="center" vertical="center"/>
      <protection locked="0"/>
    </xf>
    <xf numFmtId="0" fontId="209" fillId="0" borderId="79" xfId="19" applyFont="1" applyFill="1" applyBorder="1" applyAlignment="1" applyProtection="1">
      <alignment horizontal="center" vertical="center"/>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2" fontId="0" fillId="8" borderId="2" xfId="0" applyNumberFormat="1" applyFill="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Font="1" applyBorder="1" applyAlignment="1">
      <alignment horizontal="center" vertical="center" wrapText="1"/>
    </xf>
    <xf numFmtId="0" fontId="32" fillId="0" borderId="2" xfId="6"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cellXfs>
  <cellStyles count="31">
    <cellStyle name="ColLevel_1" xfId="20"/>
    <cellStyle name="RowLevel_1" xfId="21"/>
    <cellStyle name="百分比 2" xfId="11"/>
    <cellStyle name="差_复件 康正输机模板" xfId="22"/>
    <cellStyle name="差_康正输机模板" xfId="23"/>
    <cellStyle name="差_栗元庄输机表-11.20" xfId="24"/>
    <cellStyle name="差_王晓东修改后模板" xfId="25"/>
    <cellStyle name="常规" xfId="0" builtinId="0"/>
    <cellStyle name="常规 10" xfId="18"/>
    <cellStyle name="常规 11" xfId="19"/>
    <cellStyle name="常规 16" xfId="1"/>
    <cellStyle name="常规 2" xfId="2"/>
    <cellStyle name="常规 2 2" xfId="3"/>
    <cellStyle name="常规 2 2 2" xfId="17"/>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30" builtinId="8"/>
    <cellStyle name="好_复件 康正输机模板" xfId="26"/>
    <cellStyle name="好_康正输机模板" xfId="27"/>
    <cellStyle name="好_栗元庄输机表-11.20" xfId="28"/>
    <cellStyle name="好_王晓东修改后模板" xfId="2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34</xdr:row>
      <xdr:rowOff>0</xdr:rowOff>
    </xdr:from>
    <xdr:to>
      <xdr:col>17</xdr:col>
      <xdr:colOff>246884</xdr:colOff>
      <xdr:row>59</xdr:row>
      <xdr:rowOff>94703</xdr:rowOff>
    </xdr:to>
    <xdr:pic>
      <xdr:nvPicPr>
        <xdr:cNvPr id="3" name="图片 2"/>
        <xdr:cNvPicPr>
          <a:picLocks noChangeAspect="1"/>
        </xdr:cNvPicPr>
      </xdr:nvPicPr>
      <xdr:blipFill>
        <a:blip xmlns:r="http://schemas.openxmlformats.org/officeDocument/2006/relationships" r:embed="rId2"/>
        <a:stretch>
          <a:fillRect/>
        </a:stretch>
      </xdr:blipFill>
      <xdr:spPr>
        <a:xfrm>
          <a:off x="7191375" y="6048375"/>
          <a:ext cx="6133334" cy="43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164;&#26009;&#28165;&#21333;&#21450;&#26679;&#34920;/&#27979;&#31639;&#65288;8-2&#65289;-&#20116;&#26143;&#21860;&#37202;&#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G@G"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756</v>
      </c>
    </row>
    <row r="47" spans="1:2">
      <c r="A47" s="2594" t="s">
        <v>2705</v>
      </c>
      <c r="B47" s="2595">
        <f ca="1">'预评函-2'!Q5</f>
        <v>756</v>
      </c>
    </row>
    <row r="48" spans="1:2">
      <c r="A48" s="2594" t="s">
        <v>2706</v>
      </c>
      <c r="B48" s="2595">
        <f ca="1">'预评函-2'!R5</f>
        <v>1973</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42" t="str">
        <f>IF(B10="北京市","北京市",C10)&amp;F10&amp;B16&amp;"国有建设用地使用权"&amp;B9&amp;"预评估"</f>
        <v>北京市划拨国有建设用地使用权市场价格预评估</v>
      </c>
      <c r="C1" s="3943"/>
      <c r="D1" s="3943"/>
      <c r="E1" s="3943"/>
      <c r="F1" s="3943"/>
      <c r="G1" s="3943"/>
      <c r="H1" s="3943"/>
      <c r="I1" s="3944"/>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48"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49"/>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45"/>
      <c r="C12" s="3946"/>
      <c r="D12" s="3947"/>
      <c r="E12" s="1620" t="s">
        <v>2050</v>
      </c>
      <c r="F12" s="3963" t="s">
        <v>2868</v>
      </c>
      <c r="G12" s="3964"/>
      <c r="H12" s="3964"/>
      <c r="I12" s="3965"/>
      <c r="J12" s="3073"/>
      <c r="K12" s="3056"/>
      <c r="L12" s="3052"/>
      <c r="M12" s="3052"/>
      <c r="N12" s="3053"/>
      <c r="O12" s="3054"/>
      <c r="P12" s="3053"/>
      <c r="Q12" s="3053"/>
      <c r="R12" s="3053"/>
      <c r="S12" s="3053"/>
      <c r="T12" s="3053"/>
      <c r="U12" s="3053"/>
    </row>
    <row r="13" spans="1:21">
      <c r="A13" s="1611" t="s">
        <v>2048</v>
      </c>
      <c r="B13" s="3945"/>
      <c r="C13" s="3946"/>
      <c r="D13" s="3947"/>
      <c r="E13" s="1620" t="s">
        <v>2050</v>
      </c>
      <c r="F13" s="3963" t="s">
        <v>2869</v>
      </c>
      <c r="G13" s="3964"/>
      <c r="H13" s="3964"/>
      <c r="I13" s="3965"/>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3960"/>
      <c r="E20" s="3961"/>
      <c r="F20" s="3961"/>
      <c r="G20" s="3961"/>
      <c r="H20" s="3961"/>
      <c r="I20" s="3962"/>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50" t="s">
        <v>1987</v>
      </c>
      <c r="F21" s="3951"/>
      <c r="G21" s="3951"/>
      <c r="H21" s="3951"/>
      <c r="I21" s="3952"/>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50" t="s">
        <v>2870</v>
      </c>
      <c r="F22" s="3951"/>
      <c r="G22" s="3951"/>
      <c r="H22" s="3951"/>
      <c r="I22" s="3952"/>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53" t="s">
        <v>1955</v>
      </c>
      <c r="C24" s="3954"/>
      <c r="D24" s="3955" t="s">
        <v>1956</v>
      </c>
      <c r="E24" s="3956"/>
      <c r="F24" s="1628" t="s">
        <v>1957</v>
      </c>
      <c r="G24" s="3073"/>
      <c r="H24" s="3073"/>
      <c r="I24" s="3077"/>
      <c r="J24" s="3073"/>
      <c r="K24" s="3941"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4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4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68" t="s">
        <v>1990</v>
      </c>
      <c r="B31" s="1680" t="s">
        <v>1991</v>
      </c>
      <c r="C31" s="3966" t="s">
        <v>3008</v>
      </c>
      <c r="D31" s="3967"/>
      <c r="E31" s="3073"/>
      <c r="F31" s="3073"/>
      <c r="G31" s="3073"/>
      <c r="H31" s="3073"/>
      <c r="I31" s="3077"/>
      <c r="J31" s="3073"/>
      <c r="K31" s="3059"/>
      <c r="L31" s="3053"/>
      <c r="M31" s="3053"/>
      <c r="N31" s="3053"/>
      <c r="O31" s="3053"/>
      <c r="P31" s="3053"/>
      <c r="Q31" s="3053"/>
      <c r="R31" s="3053"/>
      <c r="S31" s="3053"/>
      <c r="T31" s="3053"/>
      <c r="U31" s="3053"/>
    </row>
    <row r="32" spans="1:21">
      <c r="A32" s="3968"/>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68"/>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69"/>
      <c r="B34" s="1588" t="s">
        <v>1994</v>
      </c>
      <c r="C34" s="3970"/>
      <c r="D34" s="3971"/>
      <c r="E34" s="3073"/>
      <c r="F34" s="3073"/>
      <c r="G34" s="3073"/>
      <c r="H34" s="3073"/>
      <c r="I34" s="3077"/>
      <c r="J34" s="3073"/>
      <c r="K34" s="3059"/>
      <c r="L34" s="3053"/>
      <c r="M34" s="3053"/>
      <c r="N34" s="3053"/>
      <c r="O34" s="3053"/>
      <c r="P34" s="3053"/>
      <c r="Q34" s="3053"/>
      <c r="R34" s="3053"/>
      <c r="S34" s="3053"/>
      <c r="T34" s="3053"/>
      <c r="U34" s="3053"/>
    </row>
    <row r="35" spans="1:28">
      <c r="A35" s="3972" t="s">
        <v>839</v>
      </c>
      <c r="B35" s="1642"/>
      <c r="C35" s="1689" t="str">
        <f>IF(B35="场地平整","——","具体情况：")</f>
        <v>具体情况：</v>
      </c>
      <c r="D35" s="3974"/>
      <c r="E35" s="3975"/>
      <c r="F35" s="3975"/>
      <c r="G35" s="3975"/>
      <c r="H35" s="3975"/>
      <c r="I35" s="3976"/>
      <c r="J35" s="3073"/>
      <c r="K35" s="3060"/>
      <c r="L35" s="3052"/>
      <c r="M35" s="3052"/>
      <c r="N35" s="3053"/>
      <c r="O35" s="3054"/>
      <c r="P35" s="3053"/>
      <c r="Q35" s="3053"/>
      <c r="R35" s="3053"/>
      <c r="S35" s="3053"/>
      <c r="T35" s="3053"/>
      <c r="U35" s="3053"/>
    </row>
    <row r="36" spans="1:28">
      <c r="A36" s="3968"/>
      <c r="B36" s="3977" t="s">
        <v>2043</v>
      </c>
      <c r="C36" s="3978"/>
      <c r="D36" s="1705"/>
      <c r="E36" s="3979"/>
      <c r="F36" s="3979"/>
      <c r="G36" s="1611" t="str">
        <f>IF(B35="场地未平整","估价结果处理","")</f>
        <v/>
      </c>
      <c r="H36" s="3980"/>
      <c r="I36" s="3980"/>
      <c r="J36" s="3073"/>
      <c r="K36" s="3060"/>
      <c r="L36" s="3052"/>
      <c r="M36" s="3052"/>
      <c r="N36" s="3053"/>
      <c r="O36" s="3054"/>
      <c r="P36" s="3053"/>
      <c r="Q36" s="3053"/>
      <c r="R36" s="3053"/>
      <c r="S36" s="3053"/>
      <c r="T36" s="3053"/>
      <c r="U36" s="3053"/>
    </row>
    <row r="37" spans="1:28" ht="28.5">
      <c r="A37" s="3968"/>
      <c r="B37" s="3957"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68"/>
      <c r="B38" s="3958"/>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69"/>
      <c r="B39" s="3959"/>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40" t="s">
        <v>1974</v>
      </c>
      <c r="T40" s="1651" t="str">
        <f>NUMBERSTRING(7-K40,1)&amp;"通"</f>
        <v>七通</v>
      </c>
      <c r="U40" s="3053"/>
    </row>
    <row r="41" spans="1:28">
      <c r="A41" s="1590"/>
      <c r="B41" s="3973" t="s">
        <v>1712</v>
      </c>
      <c r="C41" s="3973"/>
      <c r="D41" s="3973"/>
      <c r="E41" s="3973"/>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40"/>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81" t="s">
        <v>0</v>
      </c>
      <c r="B1" s="3981" t="s">
        <v>4</v>
      </c>
      <c r="C1" s="3981" t="s">
        <v>5</v>
      </c>
      <c r="D1" s="3982" t="s">
        <v>40</v>
      </c>
      <c r="E1" s="3982" t="s">
        <v>41</v>
      </c>
      <c r="F1" s="3982"/>
      <c r="G1" s="3982"/>
      <c r="H1" s="3982"/>
      <c r="I1" s="3982"/>
      <c r="J1" s="3982"/>
      <c r="K1" s="3982"/>
      <c r="L1" s="3982"/>
      <c r="M1" s="3982"/>
    </row>
    <row r="2" spans="1:13" ht="27" customHeight="1">
      <c r="A2" s="3981"/>
      <c r="B2" s="3981"/>
      <c r="C2" s="3981"/>
      <c r="D2" s="3982"/>
      <c r="E2" s="3982" t="s">
        <v>24</v>
      </c>
      <c r="F2" s="3982" t="s">
        <v>25</v>
      </c>
      <c r="G2" s="3982"/>
      <c r="H2" s="3982"/>
      <c r="I2" s="3982"/>
      <c r="J2" s="3982" t="s">
        <v>26</v>
      </c>
      <c r="K2" s="3982"/>
      <c r="L2" s="3982"/>
      <c r="M2" s="3982"/>
    </row>
    <row r="3" spans="1:13" ht="28.5">
      <c r="A3" s="3981"/>
      <c r="B3" s="3981"/>
      <c r="C3" s="3981"/>
      <c r="D3" s="3982"/>
      <c r="E3" s="39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82" t="s">
        <v>42</v>
      </c>
      <c r="B9" s="3982"/>
      <c r="C9" s="39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992" t="s">
        <v>203</v>
      </c>
      <c r="B2" s="3992"/>
      <c r="C2" s="3992"/>
      <c r="D2" s="1888" t="s">
        <v>204</v>
      </c>
      <c r="E2" s="106" t="s">
        <v>205</v>
      </c>
      <c r="F2" s="3082"/>
      <c r="G2" s="1181"/>
      <c r="H2" s="1182"/>
      <c r="I2" s="1183" t="s">
        <v>849</v>
      </c>
      <c r="J2" s="3082"/>
      <c r="K2" s="3082"/>
      <c r="L2" s="3082"/>
      <c r="M2" s="3082"/>
      <c r="N2" s="3082"/>
      <c r="O2" s="3082"/>
      <c r="P2" s="3082"/>
    </row>
    <row r="3" spans="1:16" ht="15.75" thickBot="1">
      <c r="A3" s="3993" t="s">
        <v>206</v>
      </c>
      <c r="B3" s="3993"/>
      <c r="C3" s="3993"/>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3994"/>
      <c r="B4" s="3995"/>
      <c r="C4" s="3996"/>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997" t="s">
        <v>230</v>
      </c>
      <c r="C5" s="3997"/>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997" t="s">
        <v>208</v>
      </c>
      <c r="C6" s="3997"/>
      <c r="D6" s="111">
        <f>ROUND($D$3*E6/$E$3,2)</f>
        <v>26088.75</v>
      </c>
      <c r="E6" s="112">
        <f>E3-E5</f>
        <v>26088.75</v>
      </c>
      <c r="F6" s="3082"/>
      <c r="G6" s="1184"/>
      <c r="H6" s="273" t="s">
        <v>852</v>
      </c>
      <c r="I6" s="1889">
        <f>ROUND(F31/D31,2)</f>
        <v>1</v>
      </c>
      <c r="J6" s="3082"/>
      <c r="K6" s="3082"/>
      <c r="L6" s="3082"/>
      <c r="M6" s="3082"/>
      <c r="N6" s="3082"/>
      <c r="O6" s="3082"/>
      <c r="P6" s="3082"/>
    </row>
    <row r="7" spans="1:16" ht="15">
      <c r="A7" s="3989"/>
      <c r="B7" s="3990"/>
      <c r="C7" s="3991"/>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3983" t="s">
        <v>2548</v>
      </c>
      <c r="L16" s="3984"/>
      <c r="M16" s="3984"/>
      <c r="N16" s="3984"/>
      <c r="O16" s="3984"/>
      <c r="P16" s="3985"/>
    </row>
    <row r="17" spans="1:19" ht="15">
      <c r="A17" s="121" t="s">
        <v>216</v>
      </c>
      <c r="B17" s="122" t="s">
        <v>217</v>
      </c>
      <c r="C17" s="2177" t="s">
        <v>2301</v>
      </c>
      <c r="D17" s="108" t="s">
        <v>204</v>
      </c>
      <c r="E17" s="124" t="s">
        <v>205</v>
      </c>
      <c r="F17" s="125"/>
      <c r="G17" s="1319"/>
      <c r="H17" s="958" t="s">
        <v>218</v>
      </c>
      <c r="I17" s="959" t="s">
        <v>2300</v>
      </c>
      <c r="J17" s="1897"/>
      <c r="K17" s="3986" t="s">
        <v>2549</v>
      </c>
      <c r="L17" s="3987"/>
      <c r="M17" s="3988"/>
      <c r="N17" s="3986" t="s">
        <v>2550</v>
      </c>
      <c r="O17" s="3987"/>
      <c r="P17" s="3988"/>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M6" activePane="bottomRight" state="frozen"/>
      <selection pane="topRight" activeCell="D1" sqref="D1"/>
      <selection pane="bottomLeft" activeCell="A4" sqref="A4"/>
      <selection pane="bottomRight" activeCell="AG9" sqref="AG9:AG1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3897">
        <v>1800</v>
      </c>
      <c r="M6" s="175">
        <f t="shared" ref="M6:M14" si="0">ROUND(K6*L6/10000,0)</f>
        <v>4696</v>
      </c>
      <c r="N6" s="2740">
        <v>0</v>
      </c>
      <c r="O6" s="175">
        <f>IF($N$5="成新度","——",ROUND(M6*N6,0))</f>
        <v>0</v>
      </c>
      <c r="P6" s="176">
        <f>IF($N$5="成新度","——",M6-O6)</f>
        <v>4696</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3896">
        <v>0.75</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5.0000000000000001E-3</v>
      </c>
      <c r="AL6" s="188">
        <v>1E-3</v>
      </c>
      <c r="AM6" s="2752">
        <v>0.01</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1800</v>
      </c>
      <c r="M16" s="204">
        <f>SUM(M6:M14)</f>
        <v>4696</v>
      </c>
      <c r="N16" s="205">
        <f>ROUND(SUMPRODUCT(M6:M14,N6:N14)/M16,3)</f>
        <v>0</v>
      </c>
      <c r="O16" s="204">
        <f>SUM(O6:O14)</f>
        <v>0</v>
      </c>
      <c r="P16" s="204">
        <f>SUM(P6:P14)</f>
        <v>4696</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998" t="s">
        <v>1654</v>
      </c>
      <c r="B1" s="3999"/>
      <c r="C1" s="3999"/>
      <c r="D1" s="3999"/>
      <c r="E1" s="3999"/>
      <c r="F1" s="3999"/>
      <c r="G1" s="3999"/>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44" t="str">
        <f>项目基本情况!K2</f>
        <v>北京市划拨国有建设用地使用权</v>
      </c>
      <c r="B2" s="4045"/>
      <c r="C2" s="4046"/>
      <c r="D2" s="4046"/>
      <c r="E2" s="4046"/>
      <c r="F2" s="4046"/>
      <c r="G2" s="4045"/>
      <c r="H2" s="4045"/>
      <c r="I2" s="4047"/>
      <c r="J2" s="1912"/>
      <c r="K2" s="1911"/>
      <c r="L2" s="1911"/>
      <c r="M2" s="1911"/>
      <c r="N2" s="1911"/>
      <c r="O2" s="1911"/>
      <c r="P2" s="1911"/>
      <c r="Q2" s="1911"/>
      <c r="R2" s="1911"/>
      <c r="S2" s="1911"/>
      <c r="T2" s="1911"/>
      <c r="U2" s="1911"/>
      <c r="V2" s="1911"/>
    </row>
    <row r="3" spans="1:22" ht="14.25">
      <c r="A3" s="4055" t="s">
        <v>298</v>
      </c>
      <c r="B3" s="4056"/>
      <c r="C3" s="4056"/>
      <c r="D3" s="4056"/>
      <c r="E3" s="4056"/>
      <c r="F3" s="4056"/>
      <c r="G3" s="4056"/>
      <c r="H3" s="4056"/>
      <c r="I3" s="4056"/>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4019" t="s">
        <v>301</v>
      </c>
      <c r="F4" s="4061"/>
      <c r="G4" s="4061"/>
      <c r="H4" s="4061"/>
      <c r="I4" s="4020"/>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4048" t="s">
        <v>302</v>
      </c>
      <c r="B5" s="4049">
        <v>25</v>
      </c>
      <c r="C5" s="4057">
        <v>2</v>
      </c>
      <c r="D5" s="4060">
        <f>10-C5</f>
        <v>8</v>
      </c>
      <c r="E5" s="259" t="s">
        <v>303</v>
      </c>
      <c r="F5" s="260"/>
      <c r="G5" s="260"/>
      <c r="H5" s="260"/>
      <c r="I5" s="261"/>
      <c r="J5" s="1912"/>
      <c r="K5" s="1911"/>
      <c r="L5" s="1911"/>
      <c r="M5" s="1911"/>
      <c r="N5" s="1911"/>
      <c r="O5" s="1911"/>
      <c r="P5" s="1911"/>
      <c r="Q5" s="1911"/>
      <c r="R5" s="1911"/>
      <c r="S5" s="1911"/>
      <c r="T5" s="1911"/>
      <c r="U5" s="1911"/>
      <c r="V5" s="1911"/>
    </row>
    <row r="6" spans="1:22" ht="14.25">
      <c r="A6" s="4048"/>
      <c r="B6" s="4049"/>
      <c r="C6" s="4058"/>
      <c r="D6" s="4060"/>
      <c r="E6" s="259" t="s">
        <v>304</v>
      </c>
      <c r="F6" s="260"/>
      <c r="G6" s="260"/>
      <c r="H6" s="260"/>
      <c r="I6" s="261"/>
      <c r="J6" s="1912"/>
      <c r="K6" s="1911"/>
      <c r="L6" s="1911"/>
      <c r="M6" s="1911"/>
      <c r="N6" s="1911"/>
      <c r="O6" s="1911"/>
      <c r="P6" s="1911"/>
      <c r="Q6" s="1911"/>
      <c r="R6" s="1911"/>
      <c r="S6" s="1911"/>
      <c r="T6" s="1911"/>
      <c r="U6" s="1911"/>
      <c r="V6" s="1911"/>
    </row>
    <row r="7" spans="1:22" ht="14.25">
      <c r="A7" s="4048"/>
      <c r="B7" s="4049"/>
      <c r="C7" s="4059"/>
      <c r="D7" s="4060"/>
      <c r="E7" s="259" t="s">
        <v>305</v>
      </c>
      <c r="F7" s="260"/>
      <c r="G7" s="260"/>
      <c r="H7" s="260"/>
      <c r="I7" s="261"/>
      <c r="J7" s="1912"/>
      <c r="K7" s="1911"/>
      <c r="L7" s="1911"/>
      <c r="M7" s="1911"/>
      <c r="N7" s="1911"/>
      <c r="O7" s="1911"/>
      <c r="P7" s="1911"/>
      <c r="Q7" s="1911"/>
      <c r="R7" s="1911"/>
      <c r="S7" s="1911"/>
      <c r="T7" s="1911"/>
      <c r="U7" s="1911"/>
      <c r="V7" s="1911"/>
    </row>
    <row r="8" spans="1:22" ht="14.25">
      <c r="A8" s="4048" t="s">
        <v>306</v>
      </c>
      <c r="B8" s="4049">
        <v>15</v>
      </c>
      <c r="C8" s="4057"/>
      <c r="D8" s="4060"/>
      <c r="E8" s="259" t="s">
        <v>307</v>
      </c>
      <c r="F8" s="260"/>
      <c r="G8" s="260"/>
      <c r="H8" s="260"/>
      <c r="I8" s="261"/>
      <c r="J8" s="1912"/>
      <c r="K8" s="1911"/>
      <c r="L8" s="1911"/>
      <c r="M8" s="1911"/>
      <c r="N8" s="1911"/>
      <c r="O8" s="1911"/>
      <c r="P8" s="1911"/>
      <c r="Q8" s="1911"/>
      <c r="R8" s="1911"/>
      <c r="S8" s="1911"/>
      <c r="T8" s="1911"/>
      <c r="U8" s="1911"/>
      <c r="V8" s="1911"/>
    </row>
    <row r="9" spans="1:22" ht="14.25">
      <c r="A9" s="4048"/>
      <c r="B9" s="4049"/>
      <c r="C9" s="4059"/>
      <c r="D9" s="4060"/>
      <c r="E9" s="259" t="s">
        <v>308</v>
      </c>
      <c r="F9" s="260"/>
      <c r="G9" s="260"/>
      <c r="H9" s="260"/>
      <c r="I9" s="261"/>
      <c r="J9" s="1912"/>
      <c r="K9" s="1911"/>
      <c r="L9" s="1911"/>
      <c r="M9" s="1911"/>
      <c r="N9" s="1911"/>
      <c r="O9" s="1911"/>
      <c r="P9" s="1911"/>
      <c r="Q9" s="1911"/>
      <c r="R9" s="1911"/>
      <c r="S9" s="1911"/>
      <c r="T9" s="1911"/>
      <c r="U9" s="1911"/>
      <c r="V9" s="1911"/>
    </row>
    <row r="10" spans="1:22" ht="14.25">
      <c r="A10" s="4048" t="s">
        <v>309</v>
      </c>
      <c r="B10" s="4049">
        <v>15</v>
      </c>
      <c r="C10" s="4057"/>
      <c r="D10" s="4060"/>
      <c r="E10" s="259" t="s">
        <v>310</v>
      </c>
      <c r="F10" s="260"/>
      <c r="G10" s="260"/>
      <c r="H10" s="260"/>
      <c r="I10" s="261"/>
      <c r="J10" s="1912"/>
      <c r="K10" s="1911"/>
      <c r="L10" s="1911"/>
      <c r="M10" s="1911"/>
      <c r="N10" s="1911"/>
      <c r="O10" s="1911"/>
      <c r="P10" s="1911"/>
      <c r="Q10" s="1911"/>
      <c r="R10" s="1911"/>
      <c r="S10" s="1911"/>
      <c r="T10" s="1911"/>
      <c r="U10" s="1911"/>
      <c r="V10" s="1911"/>
    </row>
    <row r="11" spans="1:22" ht="14.25">
      <c r="A11" s="4048"/>
      <c r="B11" s="4049"/>
      <c r="C11" s="4059"/>
      <c r="D11" s="4060"/>
      <c r="E11" s="259" t="s">
        <v>311</v>
      </c>
      <c r="F11" s="260"/>
      <c r="G11" s="260"/>
      <c r="H11" s="260"/>
      <c r="I11" s="261"/>
      <c r="J11" s="1912"/>
      <c r="K11" s="1911"/>
      <c r="L11" s="1911"/>
      <c r="M11" s="1911"/>
      <c r="N11" s="1911"/>
      <c r="O11" s="1911"/>
      <c r="P11" s="1911"/>
      <c r="Q11" s="1911"/>
      <c r="R11" s="1911"/>
      <c r="S11" s="1911"/>
      <c r="T11" s="1911"/>
      <c r="U11" s="1911"/>
      <c r="V11" s="1911"/>
    </row>
    <row r="12" spans="1:22" ht="14.25">
      <c r="A12" s="4048" t="s">
        <v>312</v>
      </c>
      <c r="B12" s="4049">
        <v>15</v>
      </c>
      <c r="C12" s="4057"/>
      <c r="D12" s="4060"/>
      <c r="E12" s="259" t="s">
        <v>313</v>
      </c>
      <c r="F12" s="260"/>
      <c r="G12" s="260"/>
      <c r="H12" s="260"/>
      <c r="I12" s="261"/>
      <c r="J12" s="1912"/>
      <c r="K12" s="1911"/>
      <c r="L12" s="1911"/>
      <c r="M12" s="1911"/>
      <c r="N12" s="1911"/>
      <c r="O12" s="1911"/>
      <c r="P12" s="1911"/>
      <c r="Q12" s="1911"/>
      <c r="R12" s="1911"/>
      <c r="S12" s="1911"/>
      <c r="T12" s="1911"/>
      <c r="U12" s="1911"/>
      <c r="V12" s="1911"/>
    </row>
    <row r="13" spans="1:22" ht="14.25">
      <c r="A13" s="4048"/>
      <c r="B13" s="4049"/>
      <c r="C13" s="4059"/>
      <c r="D13" s="4060"/>
      <c r="E13" s="259" t="s">
        <v>314</v>
      </c>
      <c r="F13" s="260"/>
      <c r="G13" s="260"/>
      <c r="H13" s="260"/>
      <c r="I13" s="261"/>
      <c r="J13" s="1912"/>
      <c r="K13" s="1911"/>
      <c r="L13" s="1911"/>
      <c r="M13" s="1911"/>
      <c r="N13" s="1911"/>
      <c r="O13" s="1911"/>
      <c r="P13" s="1911"/>
      <c r="Q13" s="1911"/>
      <c r="R13" s="1911"/>
      <c r="S13" s="1911"/>
      <c r="T13" s="1911"/>
      <c r="U13" s="1911"/>
      <c r="V13" s="1911"/>
    </row>
    <row r="14" spans="1:22" ht="14.25">
      <c r="A14" s="4048" t="s">
        <v>315</v>
      </c>
      <c r="B14" s="4049">
        <v>30</v>
      </c>
      <c r="C14" s="4057"/>
      <c r="D14" s="4060"/>
      <c r="E14" s="259" t="s">
        <v>316</v>
      </c>
      <c r="F14" s="260"/>
      <c r="G14" s="260"/>
      <c r="H14" s="260"/>
      <c r="I14" s="261"/>
      <c r="J14" s="1912"/>
      <c r="K14" s="1911"/>
      <c r="L14" s="1911"/>
      <c r="M14" s="1911"/>
      <c r="N14" s="1911"/>
      <c r="O14" s="1911"/>
      <c r="P14" s="1911"/>
      <c r="Q14" s="1911"/>
      <c r="R14" s="1911"/>
      <c r="S14" s="1911"/>
      <c r="T14" s="1911"/>
      <c r="U14" s="1911"/>
      <c r="V14" s="1911"/>
    </row>
    <row r="15" spans="1:22" ht="14.25">
      <c r="A15" s="4048"/>
      <c r="B15" s="4049"/>
      <c r="C15" s="4058"/>
      <c r="D15" s="4060"/>
      <c r="E15" s="259" t="s">
        <v>317</v>
      </c>
      <c r="F15" s="260"/>
      <c r="G15" s="260"/>
      <c r="H15" s="260"/>
      <c r="I15" s="261"/>
      <c r="J15" s="1912"/>
      <c r="K15" s="1911"/>
      <c r="L15" s="1911"/>
      <c r="M15" s="1911"/>
      <c r="N15" s="1911"/>
      <c r="O15" s="1911"/>
      <c r="P15" s="1911"/>
      <c r="Q15" s="1911"/>
      <c r="R15" s="1911"/>
      <c r="S15" s="1911"/>
      <c r="T15" s="1911"/>
      <c r="U15" s="1911"/>
      <c r="V15" s="1911"/>
    </row>
    <row r="16" spans="1:22" ht="14.25">
      <c r="A16" s="4048"/>
      <c r="B16" s="4049"/>
      <c r="C16" s="4059"/>
      <c r="D16" s="406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62" t="s">
        <v>2961</v>
      </c>
      <c r="F18" s="4063"/>
      <c r="G18" s="4063"/>
      <c r="H18" s="4063"/>
      <c r="I18" s="4063"/>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2117</v>
      </c>
      <c r="E19" s="266" t="s">
        <v>323</v>
      </c>
      <c r="F19" s="267" t="s">
        <v>322</v>
      </c>
      <c r="G19" s="270">
        <f ca="1">ROUND(C19*$C$18+D19*$D$18,0)</f>
        <v>1973</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811</v>
      </c>
      <c r="E20" s="272"/>
      <c r="F20" s="273" t="s">
        <v>325</v>
      </c>
      <c r="G20" s="276">
        <f ca="1">ROUND(C20*$C$18+D20*$D$18,0)</f>
        <v>756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811</v>
      </c>
      <c r="E21" s="272"/>
      <c r="F21" s="278" t="s">
        <v>327</v>
      </c>
      <c r="G21" s="280">
        <f ca="1">ROUND(C21*$C$18+D21*$D$18,0)</f>
        <v>756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0.51647564469914031</v>
      </c>
      <c r="E22" s="282"/>
      <c r="F22" s="283"/>
      <c r="G22" s="284">
        <f ca="1">ROUND(G19/('数据-汇总表'!D3/666.67),0)</f>
        <v>50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402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4068"/>
      <c r="B25" s="1275" t="s">
        <v>331</v>
      </c>
      <c r="C25" s="288">
        <f>IF(B30=0,0,C30)</f>
        <v>0</v>
      </c>
      <c r="D25" s="289"/>
      <c r="E25" s="309"/>
      <c r="F25" s="309"/>
      <c r="G25" s="309"/>
      <c r="H25" s="309"/>
      <c r="I25" s="309"/>
      <c r="J25" s="1911"/>
      <c r="K25" s="1209" t="str">
        <f ca="1">项目基本情况!B16&amp;"国有建设用地使用权价格："&amp;O38&amp;"万元"</f>
        <v>划拨国有建设用地使用权价格：1973万元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大写金额：人民币壹仟玖佰柒拾叁万元整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单位面积地价：756元/平方米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楼面地价：756元/平方米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64" t="s">
        <v>2963</v>
      </c>
      <c r="B31" s="4064"/>
      <c r="C31" s="4064"/>
      <c r="D31" s="4064"/>
      <c r="E31" s="4064"/>
      <c r="F31" s="4064"/>
      <c r="G31" s="4064"/>
      <c r="H31" s="4064"/>
      <c r="I31" s="4064"/>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1973</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756</v>
      </c>
      <c r="D33" s="1334" t="s">
        <v>1682</v>
      </c>
      <c r="E33" s="4021"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756</v>
      </c>
      <c r="D34" s="1336" t="s">
        <v>1682</v>
      </c>
      <c r="E34" s="4022"/>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50</v>
      </c>
      <c r="D35" s="1339" t="s">
        <v>1684</v>
      </c>
      <c r="E35" s="4023"/>
      <c r="F35" s="299" t="s">
        <v>342</v>
      </c>
      <c r="G35" s="970"/>
      <c r="H35" s="969" t="s">
        <v>343</v>
      </c>
      <c r="I35" s="309"/>
      <c r="J35" s="1911"/>
      <c r="K35" s="4027" t="s">
        <v>350</v>
      </c>
      <c r="L35" s="4027" t="s">
        <v>351</v>
      </c>
      <c r="M35" s="1218" t="s">
        <v>352</v>
      </c>
      <c r="N35" s="4027" t="s">
        <v>353</v>
      </c>
      <c r="O35" s="4027" t="s">
        <v>354</v>
      </c>
      <c r="P35" s="1911"/>
      <c r="V35" s="1911"/>
    </row>
    <row r="36" spans="1:26" ht="16.5" customHeight="1">
      <c r="A36" s="301" t="s">
        <v>344</v>
      </c>
      <c r="B36" s="302" t="s">
        <v>333</v>
      </c>
      <c r="C36" s="303" t="s">
        <v>345</v>
      </c>
      <c r="D36" s="303" t="s">
        <v>346</v>
      </c>
      <c r="E36" s="304" t="s">
        <v>347</v>
      </c>
      <c r="F36" s="309"/>
      <c r="G36" s="309"/>
      <c r="H36" s="309"/>
      <c r="I36" s="309"/>
      <c r="J36" s="1913"/>
      <c r="K36" s="4028"/>
      <c r="L36" s="4028"/>
      <c r="M36" s="1220" t="s">
        <v>355</v>
      </c>
      <c r="N36" s="4028"/>
      <c r="O36" s="4028"/>
      <c r="P36" s="1911"/>
      <c r="V36" s="1911"/>
    </row>
    <row r="37" spans="1:26" ht="16.5" customHeight="1" thickBot="1">
      <c r="A37" s="1214" t="s">
        <v>348</v>
      </c>
      <c r="B37" s="305"/>
      <c r="C37" s="292"/>
      <c r="D37" s="292"/>
      <c r="E37" s="293"/>
      <c r="F37" s="309"/>
      <c r="G37" s="309"/>
      <c r="H37" s="309"/>
      <c r="I37" s="309"/>
      <c r="J37" s="1913"/>
      <c r="K37" s="4029"/>
      <c r="L37" s="4029"/>
      <c r="M37" s="1221"/>
      <c r="N37" s="4029"/>
      <c r="O37" s="4029"/>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756</v>
      </c>
      <c r="N38" s="1223">
        <f ca="1">C33</f>
        <v>756</v>
      </c>
      <c r="O38" s="1224">
        <f ca="1">C32</f>
        <v>1973</v>
      </c>
      <c r="P38" s="1911"/>
      <c r="V38" s="1911"/>
    </row>
    <row r="39" spans="1:26" ht="16.5" customHeight="1" thickBot="1">
      <c r="A39" s="1219"/>
      <c r="B39" s="306"/>
      <c r="C39" s="307"/>
      <c r="D39" s="307"/>
      <c r="E39" s="308"/>
      <c r="F39" s="309"/>
      <c r="G39" s="309"/>
      <c r="H39" s="309"/>
      <c r="I39" s="309"/>
      <c r="J39" s="1913"/>
      <c r="K39" s="4040" t="str">
        <f>MID(A44,3,LEN(A44)-2)</f>
        <v/>
      </c>
      <c r="L39" s="4041"/>
      <c r="M39" s="4041"/>
      <c r="N39" s="4042"/>
      <c r="O39" s="1341" t="str">
        <f>C44</f>
        <v>——</v>
      </c>
      <c r="P39" s="1911"/>
      <c r="V39" s="1911"/>
    </row>
    <row r="40" spans="1:26" ht="19.5" thickBot="1">
      <c r="A40" s="104" t="s">
        <v>864</v>
      </c>
      <c r="B40" s="309"/>
      <c r="C40" s="309"/>
      <c r="D40" s="309"/>
      <c r="E40" s="309"/>
      <c r="F40" s="309"/>
      <c r="G40" s="309"/>
      <c r="H40" s="309"/>
      <c r="I40" s="309"/>
      <c r="J40" s="1913"/>
      <c r="K40" s="4040" t="str">
        <f t="shared" ref="K40:K41" si="0">MID(A45,3,LEN(A45)-2)</f>
        <v/>
      </c>
      <c r="L40" s="4041"/>
      <c r="M40" s="4041"/>
      <c r="N40" s="4042"/>
      <c r="O40" s="1341" t="str">
        <f>C45</f>
        <v>——</v>
      </c>
      <c r="P40" s="1911"/>
      <c r="V40" s="1911"/>
    </row>
    <row r="41" spans="1:26" ht="16.5" thickBot="1">
      <c r="A41" s="310" t="s">
        <v>356</v>
      </c>
      <c r="B41" s="311"/>
      <c r="C41" s="312" t="s">
        <v>357</v>
      </c>
      <c r="D41" s="313" t="s">
        <v>358</v>
      </c>
      <c r="E41" s="313" t="s">
        <v>359</v>
      </c>
      <c r="F41" s="314" t="s">
        <v>360</v>
      </c>
      <c r="G41" s="309"/>
      <c r="H41" s="309"/>
      <c r="I41" s="309"/>
      <c r="J41" s="1913"/>
      <c r="K41" s="4040" t="str">
        <f t="shared" si="0"/>
        <v/>
      </c>
      <c r="L41" s="4041"/>
      <c r="M41" s="4041"/>
      <c r="N41" s="4042"/>
      <c r="O41" s="1341" t="str">
        <f>C46</f>
        <v>——</v>
      </c>
      <c r="P41" s="1911"/>
      <c r="V41" s="1911"/>
    </row>
    <row r="42" spans="1:26" ht="29.25">
      <c r="A42" s="4069" t="s">
        <v>2056</v>
      </c>
      <c r="B42" s="4070"/>
      <c r="C42" s="262">
        <f ca="1">C32</f>
        <v>1973</v>
      </c>
      <c r="D42" s="315">
        <f ca="1">C33</f>
        <v>756</v>
      </c>
      <c r="E42" s="315">
        <f ca="1">C34</f>
        <v>756</v>
      </c>
      <c r="F42" s="316">
        <f ca="1">C35</f>
        <v>50</v>
      </c>
      <c r="G42" s="309"/>
      <c r="H42" s="309"/>
      <c r="I42" s="317"/>
      <c r="J42" s="1913"/>
      <c r="K42" s="1225" t="s">
        <v>361</v>
      </c>
      <c r="L42" s="1930" t="s">
        <v>362</v>
      </c>
      <c r="M42" s="1226" t="s">
        <v>363</v>
      </c>
      <c r="N42" s="1931" t="s">
        <v>364</v>
      </c>
      <c r="O42" s="1932" t="s">
        <v>365</v>
      </c>
      <c r="P42" s="1911"/>
      <c r="V42" s="1911"/>
    </row>
    <row r="43" spans="1:26" ht="18">
      <c r="A43" s="4079" t="s">
        <v>2711</v>
      </c>
      <c r="B43" s="4080"/>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1973</v>
      </c>
      <c r="O43" s="1231">
        <f ca="1">IF(O42="最终结果/万元",C32,C33)</f>
        <v>1973</v>
      </c>
      <c r="P43" s="1911"/>
      <c r="V43" s="1911"/>
    </row>
    <row r="44" spans="1:26" ht="30.75" thickBot="1">
      <c r="A44" s="4069" t="str">
        <f>IF(OR(项目基本情况!E8="抵押价格",项目基本情况!E8="已注销及未注销"),"3.抵押价格","——")</f>
        <v>——</v>
      </c>
      <c r="B44" s="407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2117</v>
      </c>
      <c r="M44" s="1234">
        <f>D18</f>
        <v>0.8</v>
      </c>
      <c r="N44" s="1235"/>
      <c r="O44" s="1236"/>
      <c r="P44" s="1911"/>
      <c r="V44" s="1911"/>
    </row>
    <row r="45" spans="1:26" ht="15">
      <c r="A45" s="4074" t="str">
        <f>IF(项目基本情况!E8="已注销及未注销","4.抵押担保权已注销时的抵押价格",IF(项目基本情况!E8="已注销","3.抵押担保权已注销时的抵押价格","——"))</f>
        <v>——</v>
      </c>
      <c r="B45" s="407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4071" t="str">
        <f>IF(项目基本情况!E9="抵押净值",IF(A45="——","4.抵押净值","5.抵押净值"),"——")</f>
        <v>——</v>
      </c>
      <c r="B46" s="407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32" t="s">
        <v>374</v>
      </c>
      <c r="B63" s="4033"/>
      <c r="C63" s="4034"/>
      <c r="D63" s="339">
        <f ca="1">ROUND(C42*F63,0)</f>
        <v>1973</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076" t="s">
        <v>378</v>
      </c>
      <c r="B64" s="4077"/>
      <c r="C64" s="4077"/>
      <c r="D64" s="4077"/>
      <c r="E64" s="4077"/>
      <c r="F64" s="4077"/>
      <c r="G64" s="4078"/>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73" t="s">
        <v>386</v>
      </c>
      <c r="B66" s="4039"/>
      <c r="C66" s="403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4000" t="s">
        <v>385</v>
      </c>
      <c r="M66" s="4001"/>
      <c r="N66" s="2312"/>
      <c r="O66" s="2313"/>
      <c r="P66" s="2314"/>
      <c r="Q66" s="1911"/>
      <c r="R66" s="1911"/>
      <c r="S66" s="1911"/>
      <c r="T66" s="1911"/>
      <c r="U66" s="1911"/>
      <c r="V66" s="1911"/>
    </row>
    <row r="67" spans="1:22" ht="25.5" customHeight="1">
      <c r="A67" s="350" t="s">
        <v>389</v>
      </c>
      <c r="B67" s="4051" t="s">
        <v>390</v>
      </c>
      <c r="C67" s="4051"/>
      <c r="D67" s="351">
        <v>0</v>
      </c>
      <c r="E67" s="41" t="s">
        <v>391</v>
      </c>
      <c r="F67" s="62" t="s">
        <v>21</v>
      </c>
      <c r="G67" s="4035"/>
      <c r="H67" s="3006" t="s">
        <v>2964</v>
      </c>
      <c r="I67" s="3008"/>
      <c r="J67" s="1918"/>
      <c r="K67" s="1890">
        <v>2</v>
      </c>
      <c r="L67" s="4005" t="s">
        <v>388</v>
      </c>
      <c r="M67" s="4005"/>
      <c r="N67" s="1279">
        <f>'数据-取费表'!B2</f>
        <v>44268</v>
      </c>
      <c r="O67" s="1279"/>
      <c r="P67" s="1279"/>
      <c r="Q67" s="1911"/>
      <c r="R67" s="1911"/>
      <c r="S67" s="1911"/>
      <c r="T67" s="1911"/>
      <c r="U67" s="1911"/>
      <c r="V67" s="1911"/>
    </row>
    <row r="68" spans="1:22" ht="25.5" customHeight="1">
      <c r="A68" s="352"/>
      <c r="B68" s="4051" t="s">
        <v>393</v>
      </c>
      <c r="C68" s="4051"/>
      <c r="D68" s="353"/>
      <c r="E68" s="77"/>
      <c r="F68" s="354"/>
      <c r="G68" s="4036"/>
      <c r="H68" s="3007" t="s">
        <v>2965</v>
      </c>
      <c r="I68" s="3008"/>
      <c r="J68" s="1918"/>
      <c r="K68" s="1890">
        <v>3</v>
      </c>
      <c r="L68" s="4005" t="s">
        <v>392</v>
      </c>
      <c r="M68" s="4005"/>
      <c r="N68" s="1247">
        <f ca="1">C42</f>
        <v>1973</v>
      </c>
      <c r="O68" s="1247"/>
      <c r="P68" s="1247"/>
      <c r="Q68" s="1911"/>
      <c r="R68" s="1911"/>
      <c r="S68" s="1911"/>
      <c r="T68" s="1911"/>
      <c r="U68" s="1911"/>
      <c r="V68" s="1911"/>
    </row>
    <row r="69" spans="1:22" ht="23.45" customHeight="1">
      <c r="A69" s="355"/>
      <c r="B69" s="4051" t="s">
        <v>394</v>
      </c>
      <c r="C69" s="4051"/>
      <c r="D69" s="356"/>
      <c r="E69" s="73"/>
      <c r="F69" s="354"/>
      <c r="G69" s="4037"/>
      <c r="H69" s="3007" t="s">
        <v>2966</v>
      </c>
      <c r="I69" s="3008"/>
      <c r="J69" s="1918"/>
      <c r="K69" s="1248">
        <v>4</v>
      </c>
      <c r="L69" s="4006" t="s">
        <v>2863</v>
      </c>
      <c r="M69" s="4007"/>
      <c r="N69" s="1249" t="str">
        <f>C44</f>
        <v>——</v>
      </c>
      <c r="O69" s="1249"/>
      <c r="P69" s="1249"/>
      <c r="Q69" s="1911"/>
      <c r="R69" s="1911"/>
      <c r="S69" s="1911"/>
      <c r="T69" s="1911"/>
      <c r="U69" s="1911"/>
      <c r="V69" s="1911"/>
    </row>
    <row r="70" spans="1:22" ht="24" customHeight="1">
      <c r="A70" s="357" t="s">
        <v>395</v>
      </c>
      <c r="B70" s="4051" t="s">
        <v>396</v>
      </c>
      <c r="C70" s="4051"/>
      <c r="D70" s="356">
        <f ca="1">ROUND(D63*'数据-取费表'!B41/(1+'数据-取费表'!C42),0)</f>
        <v>103</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4050" t="s">
        <v>2995</v>
      </c>
      <c r="C71" s="4067"/>
      <c r="D71" s="356">
        <f ca="1">ROUND(D63*'数据-取费表'!B41/(1+'数据-取费表'!C42),0)</f>
        <v>103</v>
      </c>
      <c r="E71" s="17" t="s">
        <v>397</v>
      </c>
      <c r="F71" s="358">
        <f>'数据-取费表'!B41</f>
        <v>5.5000000000000007E-2</v>
      </c>
      <c r="G71" s="359"/>
      <c r="H71" s="309"/>
      <c r="I71" s="1246"/>
      <c r="J71" s="1918"/>
      <c r="K71" s="2764" t="s">
        <v>398</v>
      </c>
      <c r="L71" s="4008" t="s">
        <v>399</v>
      </c>
      <c r="M71" s="4008"/>
      <c r="N71" s="2764" t="s">
        <v>400</v>
      </c>
      <c r="O71" s="2764" t="s">
        <v>401</v>
      </c>
      <c r="P71" s="2764" t="s">
        <v>402</v>
      </c>
      <c r="Q71" s="1911"/>
      <c r="R71" s="1911"/>
      <c r="S71" s="1911"/>
      <c r="T71" s="1911"/>
      <c r="U71" s="1911"/>
      <c r="V71" s="1911"/>
    </row>
    <row r="72" spans="1:22" ht="12" customHeight="1">
      <c r="A72" s="357" t="s">
        <v>405</v>
      </c>
      <c r="B72" s="4050" t="s">
        <v>2996</v>
      </c>
      <c r="C72" s="4067"/>
      <c r="D72" s="356">
        <f ca="1">C86</f>
        <v>103</v>
      </c>
      <c r="E72" s="73" t="s">
        <v>406</v>
      </c>
      <c r="F72" s="358">
        <f>'数据-取费表'!B41</f>
        <v>5.5000000000000007E-2</v>
      </c>
      <c r="G72" s="359"/>
      <c r="H72" s="1252"/>
      <c r="I72" s="1246"/>
      <c r="J72" s="1918"/>
      <c r="K72" s="1890">
        <v>1</v>
      </c>
      <c r="L72" s="4004" t="s">
        <v>404</v>
      </c>
      <c r="M72" s="4004"/>
      <c r="N72" s="1250" t="b">
        <f>D66</f>
        <v>0</v>
      </c>
      <c r="O72" s="1773" t="str">
        <f>E66</f>
        <v>销售额×税（费）率</v>
      </c>
      <c r="P72" s="1251">
        <f>F66</f>
        <v>5.5000000000000007E-2</v>
      </c>
      <c r="Q72" s="1911"/>
      <c r="R72" s="1911"/>
      <c r="S72" s="1911"/>
      <c r="T72" s="1911"/>
      <c r="U72" s="1911"/>
      <c r="V72" s="1911"/>
    </row>
    <row r="73" spans="1:22" ht="24" customHeight="1">
      <c r="A73" s="4038" t="s">
        <v>408</v>
      </c>
      <c r="B73" s="4039"/>
      <c r="C73" s="4039"/>
      <c r="D73" s="360">
        <f ca="1">IF(H73="个人住宅",0,ROUND(D63*I73,0))</f>
        <v>1</v>
      </c>
      <c r="E73" s="17" t="s">
        <v>409</v>
      </c>
      <c r="F73" s="358" t="str">
        <f>IF(H73="正常",I73,"免征")</f>
        <v>免征</v>
      </c>
      <c r="G73" s="359"/>
      <c r="H73" s="189"/>
      <c r="I73" s="358">
        <f>'数据-取费表'!B49</f>
        <v>5.0000000000000001E-4</v>
      </c>
      <c r="J73" s="1918"/>
      <c r="K73" s="1890">
        <v>2</v>
      </c>
      <c r="L73" s="4004" t="s">
        <v>407</v>
      </c>
      <c r="M73" s="4004"/>
      <c r="N73" s="1250">
        <f t="shared" ref="N73:P74" ca="1" si="1">D73</f>
        <v>1</v>
      </c>
      <c r="O73" s="1773" t="str">
        <f t="shared" si="1"/>
        <v>销售额×税（费）率</v>
      </c>
      <c r="P73" s="1251" t="str">
        <f t="shared" si="1"/>
        <v>免征</v>
      </c>
      <c r="Q73" s="1911"/>
      <c r="R73" s="1911"/>
      <c r="S73" s="1911"/>
      <c r="T73" s="1911"/>
      <c r="U73" s="1911"/>
      <c r="V73" s="1911"/>
    </row>
    <row r="74" spans="1:22" ht="24.75">
      <c r="A74" s="4038" t="s">
        <v>411</v>
      </c>
      <c r="B74" s="4039"/>
      <c r="C74" s="4039"/>
      <c r="D74" s="360">
        <f ca="1">IF(H74="个人住宅",D75,D76)</f>
        <v>1119</v>
      </c>
      <c r="E74" s="17" t="s">
        <v>412</v>
      </c>
      <c r="F74" s="358" t="str">
        <f>IF(H74="正常",F76,"免征")</f>
        <v>免征</v>
      </c>
      <c r="G74" s="971" t="s">
        <v>413</v>
      </c>
      <c r="H74" s="361"/>
      <c r="I74" s="42"/>
      <c r="J74" s="1918"/>
      <c r="K74" s="1890">
        <v>3</v>
      </c>
      <c r="L74" s="4004" t="s">
        <v>410</v>
      </c>
      <c r="M74" s="4004"/>
      <c r="N74" s="1250">
        <f t="shared" ca="1" si="1"/>
        <v>1119</v>
      </c>
      <c r="O74" s="1773" t="str">
        <f t="shared" si="1"/>
        <v>增值额×税（费）率</v>
      </c>
      <c r="P74" s="1253" t="str">
        <f t="shared" si="1"/>
        <v>免征</v>
      </c>
      <c r="Q74" s="1911"/>
      <c r="R74" s="1911"/>
      <c r="S74" s="1911"/>
      <c r="T74" s="1911"/>
      <c r="U74" s="1911"/>
      <c r="V74" s="1911"/>
    </row>
    <row r="75" spans="1:22" ht="12.75">
      <c r="A75" s="357" t="s">
        <v>414</v>
      </c>
      <c r="B75" s="4019" t="s">
        <v>415</v>
      </c>
      <c r="C75" s="4020"/>
      <c r="D75" s="362">
        <v>0</v>
      </c>
      <c r="E75" s="41" t="s">
        <v>416</v>
      </c>
      <c r="F75" s="363"/>
      <c r="G75" s="359"/>
      <c r="H75" s="42"/>
      <c r="I75" s="42"/>
      <c r="J75" s="1918"/>
      <c r="K75" s="2758">
        <f>IF(H77="非个人房产","",4)</f>
        <v>4</v>
      </c>
      <c r="L75" s="4004" t="str">
        <f>IF(H77="非个人房产","——","个人所得税")</f>
        <v>个人所得税</v>
      </c>
      <c r="M75" s="4004"/>
      <c r="N75" s="1254">
        <f>D77</f>
        <v>0</v>
      </c>
      <c r="O75" s="1786" t="str">
        <f>E77</f>
        <v>差额计税</v>
      </c>
      <c r="P75" s="1255">
        <f>F77</f>
        <v>0.01</v>
      </c>
      <c r="Q75" s="1911"/>
      <c r="R75" s="1911"/>
      <c r="S75" s="1911"/>
      <c r="T75" s="1911"/>
      <c r="U75" s="1911"/>
      <c r="V75" s="1911"/>
    </row>
    <row r="76" spans="1:22" ht="24.75">
      <c r="A76" s="357" t="s">
        <v>395</v>
      </c>
      <c r="B76" s="4019" t="s">
        <v>418</v>
      </c>
      <c r="C76" s="4061"/>
      <c r="D76" s="360">
        <f ca="1">IF(H76="转让取得",C99,C115)</f>
        <v>1119</v>
      </c>
      <c r="E76" s="17" t="s">
        <v>419</v>
      </c>
      <c r="F76" s="53" t="s">
        <v>21</v>
      </c>
      <c r="G76" s="359"/>
      <c r="H76" s="361"/>
      <c r="I76" s="42"/>
      <c r="J76" s="1918"/>
      <c r="K76" s="2758" t="str">
        <f>IF(项目基本情况!K6="上海银行",IF(K75="",4,K75+1),"")</f>
        <v/>
      </c>
      <c r="L76" s="4015" t="str">
        <f>IF(项目基本情况!K6="上海银行","其他处置费用","")</f>
        <v/>
      </c>
      <c r="M76" s="4016"/>
      <c r="N76" s="1250" t="str">
        <f>IF(项目基本情况!K6="上海银行",N89,"")</f>
        <v/>
      </c>
      <c r="O76" s="4017" t="str">
        <f>IF(项目基本情况!K6="上海银行","包含处置中涉及的律师、诉讼、拍卖、评估等费用","")</f>
        <v/>
      </c>
      <c r="P76" s="4018"/>
      <c r="Q76" s="1911"/>
      <c r="R76" s="1911"/>
      <c r="S76" s="1911"/>
      <c r="T76" s="1911"/>
      <c r="U76" s="1911"/>
      <c r="V76" s="1911"/>
    </row>
    <row r="77" spans="1:22" ht="24.75" thickBot="1">
      <c r="A77" s="4030" t="s">
        <v>421</v>
      </c>
      <c r="B77" s="4031"/>
      <c r="C77" s="4031"/>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26">
        <f>IF(AND(K75="",K76=""),4,IF(项目基本情况!K6="上海银行",K76+1,K75+1))</f>
        <v>5</v>
      </c>
      <c r="L77" s="4004" t="s">
        <v>2864</v>
      </c>
      <c r="M77" s="2763" t="s">
        <v>417</v>
      </c>
      <c r="N77" s="1256"/>
      <c r="O77" s="1257">
        <f ca="1">SUMIF(N72:N76,"&lt;9e307")</f>
        <v>1120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26"/>
      <c r="L78" s="4004"/>
      <c r="M78" s="2763" t="s">
        <v>420</v>
      </c>
      <c r="N78" s="1256"/>
      <c r="O78" s="1257" t="str">
        <f ca="1">NUMBERSTRING(INT(O77*10000),2)&amp;"元整"</f>
        <v>壹仟壹佰贰拾万元整</v>
      </c>
      <c r="P78" s="1258"/>
      <c r="Q78" s="1911"/>
      <c r="R78" s="1911"/>
      <c r="S78" s="1911"/>
      <c r="T78" s="1911"/>
      <c r="U78" s="1911"/>
      <c r="V78" s="1911"/>
    </row>
    <row r="79" spans="1:22" ht="13.5" thickBot="1">
      <c r="A79" s="4081" t="s">
        <v>422</v>
      </c>
      <c r="B79" s="4081"/>
      <c r="C79" s="4081"/>
      <c r="D79" s="4081"/>
      <c r="E79" s="4081"/>
      <c r="F79" s="42"/>
      <c r="G79" s="42"/>
      <c r="H79" s="991"/>
      <c r="I79" s="309"/>
      <c r="J79" s="1918"/>
      <c r="K79" s="4002">
        <f>K77+1</f>
        <v>6</v>
      </c>
      <c r="L79" s="4004" t="s">
        <v>2865</v>
      </c>
      <c r="M79" s="2763" t="s">
        <v>417</v>
      </c>
      <c r="N79" s="1256"/>
      <c r="O79" s="1257" t="e">
        <f ca="1">N69-O77</f>
        <v>#VALUE!</v>
      </c>
      <c r="P79" s="1258"/>
      <c r="Q79" s="1911"/>
      <c r="R79" s="1911"/>
      <c r="S79" s="1911"/>
      <c r="T79" s="1911"/>
      <c r="U79" s="1911"/>
      <c r="V79" s="1911"/>
    </row>
    <row r="80" spans="1:22" ht="12.75">
      <c r="A80" s="4012" t="s">
        <v>423</v>
      </c>
      <c r="B80" s="4013"/>
      <c r="C80" s="982"/>
      <c r="D80" s="982" t="s">
        <v>424</v>
      </c>
      <c r="E80" s="364" t="s">
        <v>425</v>
      </c>
      <c r="F80" s="42"/>
      <c r="G80" s="42"/>
      <c r="H80" s="991"/>
      <c r="I80" s="309"/>
      <c r="J80" s="1911"/>
      <c r="K80" s="4003"/>
      <c r="L80" s="4004"/>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1879</v>
      </c>
      <c r="D81" s="367"/>
      <c r="E81" s="368"/>
      <c r="F81" s="42"/>
      <c r="G81" s="42"/>
      <c r="H81" s="991"/>
      <c r="I81" s="309"/>
      <c r="J81" s="1911"/>
      <c r="K81" s="2758">
        <f>K79+1</f>
        <v>7</v>
      </c>
      <c r="L81" s="4024" t="s">
        <v>2866</v>
      </c>
      <c r="M81" s="4025"/>
      <c r="N81" s="1260"/>
      <c r="O81" s="1261" t="e">
        <f ca="1">ROUND(O79*10000/'数据-汇总表'!E3,0)</f>
        <v>#VALUE!</v>
      </c>
      <c r="P81" s="1262"/>
      <c r="Q81" s="1911"/>
      <c r="R81" s="1911"/>
      <c r="S81" s="1911"/>
      <c r="T81" s="1911"/>
      <c r="U81" s="1911"/>
      <c r="V81" s="1911"/>
    </row>
    <row r="82" spans="1:26" ht="13.5" thickTop="1">
      <c r="A82" s="369" t="s">
        <v>1815</v>
      </c>
      <c r="B82" s="370" t="s">
        <v>427</v>
      </c>
      <c r="C82" s="371">
        <f ca="1">D63</f>
        <v>1973</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14"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14"/>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1879</v>
      </c>
      <c r="D85" s="372" t="s">
        <v>19</v>
      </c>
      <c r="E85" s="373"/>
      <c r="F85" s="42"/>
      <c r="G85" s="42"/>
      <c r="H85" s="991"/>
      <c r="I85" s="309"/>
      <c r="J85" s="1911"/>
      <c r="K85" s="4014"/>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103</v>
      </c>
      <c r="D86" s="383">
        <f>'数据-取费表'!B41</f>
        <v>5.5000000000000007E-2</v>
      </c>
      <c r="E86" s="384"/>
      <c r="F86" s="42"/>
      <c r="G86" s="42"/>
      <c r="H86" s="991"/>
      <c r="I86" s="309"/>
      <c r="J86" s="1911"/>
      <c r="K86" s="4014"/>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14"/>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53" t="s">
        <v>432</v>
      </c>
      <c r="B88" s="4054"/>
      <c r="C88" s="4054"/>
      <c r="D88" s="4054"/>
      <c r="E88" s="4054"/>
      <c r="F88" s="4054"/>
      <c r="G88" s="4054"/>
      <c r="H88" s="4054"/>
      <c r="I88" s="1269"/>
      <c r="J88" s="1919"/>
      <c r="K88" s="4014"/>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4012" t="s">
        <v>423</v>
      </c>
      <c r="B89" s="4013"/>
      <c r="C89" s="982"/>
      <c r="D89" s="982" t="s">
        <v>424</v>
      </c>
      <c r="E89" s="385" t="s">
        <v>433</v>
      </c>
      <c r="F89" s="386"/>
      <c r="G89" s="386"/>
      <c r="H89" s="387"/>
      <c r="I89" s="1270"/>
      <c r="J89" s="1921"/>
      <c r="K89" s="401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1879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4050" t="s">
        <v>441</v>
      </c>
      <c r="F94" s="4051"/>
      <c r="G94" s="4051"/>
      <c r="H94" s="405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9</v>
      </c>
      <c r="D96" s="400">
        <f>'数据-取费表'!B43</f>
        <v>5.000000000000001E-3</v>
      </c>
      <c r="E96" s="4009" t="s">
        <v>2413</v>
      </c>
      <c r="F96" s="4010"/>
      <c r="G96" s="4010"/>
      <c r="H96" s="401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1870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207.77777777777777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1119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53" t="s">
        <v>448</v>
      </c>
      <c r="B101" s="4054"/>
      <c r="C101" s="4054"/>
      <c r="D101" s="4054"/>
      <c r="E101" s="4054"/>
      <c r="F101" s="4054"/>
      <c r="G101" s="4054"/>
      <c r="H101" s="405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4012" t="s">
        <v>423</v>
      </c>
      <c r="B102" s="4013"/>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1879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4065" t="s">
        <v>2959</v>
      </c>
      <c r="H108" s="4066"/>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43" t="s">
        <v>456</v>
      </c>
      <c r="F109" s="4010"/>
      <c r="G109" s="4010"/>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43" t="s">
        <v>458</v>
      </c>
      <c r="F110" s="4010"/>
      <c r="G110" s="4010"/>
      <c r="H110" s="4011"/>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9</v>
      </c>
      <c r="D111" s="400">
        <f>'数据-取费表'!B43</f>
        <v>5.000000000000001E-3</v>
      </c>
      <c r="E111" s="4009" t="s">
        <v>2413</v>
      </c>
      <c r="F111" s="4010"/>
      <c r="G111" s="4010"/>
      <c r="H111" s="401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43" t="s">
        <v>2436</v>
      </c>
      <c r="F112" s="4010"/>
      <c r="G112" s="4010"/>
      <c r="H112" s="401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1870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207.77777777777777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1119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17"/>
  <sheetViews>
    <sheetView topLeftCell="F13" workbookViewId="0">
      <selection activeCell="L15" sqref="L15"/>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087" t="s">
        <v>2360</v>
      </c>
      <c r="B1" s="4088" t="s">
        <v>2019</v>
      </c>
      <c r="C1" s="3323" t="s">
        <v>3177</v>
      </c>
      <c r="D1" s="4088" t="s">
        <v>3178</v>
      </c>
      <c r="E1" s="4088" t="s">
        <v>3179</v>
      </c>
      <c r="F1" s="3323" t="s">
        <v>3180</v>
      </c>
      <c r="G1" s="4088" t="s">
        <v>3181</v>
      </c>
      <c r="H1" s="4088" t="s">
        <v>3182</v>
      </c>
      <c r="I1" s="4085" t="s">
        <v>3183</v>
      </c>
    </row>
    <row r="2" spans="1:12" ht="14.25" thickBot="1">
      <c r="A2" s="4087"/>
      <c r="B2" s="4088"/>
      <c r="C2" s="3324" t="s">
        <v>3184</v>
      </c>
      <c r="D2" s="4088"/>
      <c r="E2" s="4088"/>
      <c r="F2" s="3324" t="s">
        <v>3185</v>
      </c>
      <c r="G2" s="4088"/>
      <c r="H2" s="4088"/>
      <c r="I2" s="4085"/>
    </row>
    <row r="3" spans="1:12" ht="14.25" thickBot="1">
      <c r="A3" s="4087"/>
      <c r="B3" s="4088"/>
      <c r="C3" s="3325" t="s">
        <v>3186</v>
      </c>
      <c r="D3" s="4088"/>
      <c r="E3" s="4088"/>
      <c r="F3" s="3326"/>
      <c r="G3" s="4088"/>
      <c r="H3" s="4088"/>
      <c r="I3" s="4085"/>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086" t="s">
        <v>3197</v>
      </c>
      <c r="B9" s="4086"/>
      <c r="C9" s="4086"/>
      <c r="D9" s="4086"/>
      <c r="E9" s="4086"/>
      <c r="F9" s="4086"/>
      <c r="G9" s="4086"/>
      <c r="H9" s="4086"/>
      <c r="I9" s="3330">
        <v>0.29420000000000002</v>
      </c>
    </row>
    <row r="11" spans="1:12" ht="14.25" thickBot="1"/>
    <row r="12" spans="1:12" ht="51.75" thickBot="1">
      <c r="A12" s="3887" t="s">
        <v>2360</v>
      </c>
      <c r="B12" s="3888" t="s">
        <v>2019</v>
      </c>
      <c r="C12" s="3888" t="s">
        <v>4256</v>
      </c>
      <c r="D12" s="3888" t="s">
        <v>3178</v>
      </c>
      <c r="E12" s="3888" t="s">
        <v>2021</v>
      </c>
      <c r="F12" s="3888" t="s">
        <v>3179</v>
      </c>
      <c r="G12" s="3888" t="s">
        <v>4257</v>
      </c>
      <c r="H12" s="3888" t="s">
        <v>3181</v>
      </c>
      <c r="I12" s="3888" t="s">
        <v>3182</v>
      </c>
      <c r="J12" s="3888" t="s">
        <v>4258</v>
      </c>
      <c r="K12" s="3888" t="s">
        <v>4259</v>
      </c>
      <c r="L12" s="3888" t="s">
        <v>4260</v>
      </c>
    </row>
    <row r="13" spans="1:12" ht="78.75" thickBot="1">
      <c r="A13" s="3889">
        <v>1</v>
      </c>
      <c r="B13" s="3890" t="s">
        <v>4261</v>
      </c>
      <c r="C13" s="3891" t="s">
        <v>4262</v>
      </c>
      <c r="D13" s="3890" t="s">
        <v>972</v>
      </c>
      <c r="E13" s="3891">
        <v>1</v>
      </c>
      <c r="F13" s="3892">
        <v>43878</v>
      </c>
      <c r="G13" s="3891">
        <v>2817.03</v>
      </c>
      <c r="H13" s="3891">
        <v>2421</v>
      </c>
      <c r="I13" s="3891">
        <v>396.03</v>
      </c>
      <c r="J13" s="3891">
        <v>932</v>
      </c>
      <c r="K13" s="3891">
        <v>932</v>
      </c>
      <c r="L13" s="3893">
        <v>0.14000000000000001</v>
      </c>
    </row>
    <row r="14" spans="1:12" ht="66" thickBot="1">
      <c r="A14" s="3889">
        <v>2</v>
      </c>
      <c r="B14" s="3890" t="s">
        <v>4263</v>
      </c>
      <c r="C14" s="3891" t="s">
        <v>4264</v>
      </c>
      <c r="D14" s="3890" t="s">
        <v>972</v>
      </c>
      <c r="E14" s="3891">
        <v>1</v>
      </c>
      <c r="F14" s="3892">
        <v>43797</v>
      </c>
      <c r="G14" s="3891">
        <v>3408.24</v>
      </c>
      <c r="H14" s="3891">
        <v>2951.3</v>
      </c>
      <c r="I14" s="3891">
        <v>456.94</v>
      </c>
      <c r="J14" s="3891">
        <v>985</v>
      </c>
      <c r="K14" s="3891">
        <v>985</v>
      </c>
      <c r="L14" s="3893">
        <v>0.13</v>
      </c>
    </row>
    <row r="15" spans="1:12" ht="78" thickBot="1">
      <c r="A15" s="3889">
        <v>3</v>
      </c>
      <c r="B15" s="3890" t="s">
        <v>4265</v>
      </c>
      <c r="C15" s="3891" t="s">
        <v>4266</v>
      </c>
      <c r="D15" s="3890" t="s">
        <v>972</v>
      </c>
      <c r="E15" s="3891">
        <v>1</v>
      </c>
      <c r="F15" s="3892">
        <v>43468</v>
      </c>
      <c r="G15" s="3891">
        <v>1658.02</v>
      </c>
      <c r="H15" s="3891">
        <v>1477.76</v>
      </c>
      <c r="I15" s="3891">
        <v>180.26</v>
      </c>
      <c r="J15" s="3891">
        <v>957</v>
      </c>
      <c r="K15" s="3891">
        <v>957</v>
      </c>
      <c r="L15" s="3893">
        <v>0.11</v>
      </c>
    </row>
    <row r="16" spans="1:12" ht="78" thickBot="1">
      <c r="A16" s="3889">
        <v>4</v>
      </c>
      <c r="B16" s="3890" t="s">
        <v>4267</v>
      </c>
      <c r="C16" s="3891" t="s">
        <v>4266</v>
      </c>
      <c r="D16" s="3890" t="s">
        <v>972</v>
      </c>
      <c r="E16" s="3891">
        <v>1</v>
      </c>
      <c r="F16" s="3892">
        <v>43468</v>
      </c>
      <c r="G16" s="3891">
        <v>1659.76</v>
      </c>
      <c r="H16" s="3891">
        <v>1477.76</v>
      </c>
      <c r="I16" s="3891">
        <v>182</v>
      </c>
      <c r="J16" s="3891">
        <v>958</v>
      </c>
      <c r="K16" s="3891">
        <v>958</v>
      </c>
      <c r="L16" s="3893">
        <v>0.11</v>
      </c>
    </row>
    <row r="17" spans="1:12" ht="14.25" thickBot="1">
      <c r="A17" s="4082" t="s">
        <v>4268</v>
      </c>
      <c r="B17" s="4083"/>
      <c r="C17" s="4083"/>
      <c r="D17" s="4083"/>
      <c r="E17" s="4083"/>
      <c r="F17" s="4083"/>
      <c r="G17" s="4083"/>
      <c r="H17" s="4083"/>
      <c r="I17" s="4083"/>
      <c r="J17" s="4083"/>
      <c r="K17" s="4084"/>
      <c r="L17" s="3893">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topLeftCell="A10" zoomScale="80" zoomScaleNormal="60" zoomScaleSheetLayoutView="80" workbookViewId="0">
      <selection activeCell="G20" sqref="G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090"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091"/>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101" t="s">
        <v>2763</v>
      </c>
      <c r="X8" s="410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091"/>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10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091"/>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10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091"/>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10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09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10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09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10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09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09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090" t="s">
        <v>1829</v>
      </c>
      <c r="B16" s="1376" t="s">
        <v>941</v>
      </c>
      <c r="C16" s="1039">
        <f>ROUND(IF(F17="与级别开发程度一致",0,(G17-E17)/C17),0)</f>
        <v>0</v>
      </c>
      <c r="D16" s="4108" t="s">
        <v>945</v>
      </c>
      <c r="E16" s="4109"/>
      <c r="F16" s="4108" t="s">
        <v>942</v>
      </c>
      <c r="G16" s="4109"/>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09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097"/>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097"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098"/>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09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098"/>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09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099"/>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09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095" t="s">
        <v>1624</v>
      </c>
      <c r="B90" s="4095"/>
      <c r="C90" s="4095"/>
      <c r="D90" s="4095"/>
      <c r="E90" s="4095"/>
      <c r="F90" s="4095"/>
      <c r="G90" s="4095"/>
      <c r="H90" s="4095"/>
      <c r="I90" s="4095"/>
      <c r="J90" s="4095"/>
      <c r="K90" s="2305"/>
      <c r="L90" s="2305"/>
      <c r="M90" s="2305"/>
      <c r="N90" s="2305"/>
    </row>
    <row r="91" spans="1:40">
      <c r="A91" s="4096" t="s">
        <v>1434</v>
      </c>
      <c r="B91" s="4096" t="s">
        <v>1625</v>
      </c>
      <c r="C91" s="1123" t="s">
        <v>1626</v>
      </c>
      <c r="D91" s="1124"/>
      <c r="E91" s="1124"/>
      <c r="F91" s="1124"/>
      <c r="G91" s="1124"/>
      <c r="H91" s="1124"/>
      <c r="I91" s="1124"/>
      <c r="J91" s="1125"/>
      <c r="K91" s="1117"/>
      <c r="L91" s="1117"/>
      <c r="M91" s="1117"/>
      <c r="N91" s="1117"/>
    </row>
    <row r="92" spans="1:40">
      <c r="A92" s="4096"/>
      <c r="B92" s="409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10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10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10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10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10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10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104"/>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10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103"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10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10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10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10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10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10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104"/>
      <c r="B108" s="4106"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105"/>
      <c r="B109" s="410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089" t="s">
        <v>1630</v>
      </c>
      <c r="B110" s="4089"/>
      <c r="C110" s="4089"/>
      <c r="D110" s="4089"/>
      <c r="E110" s="4089"/>
      <c r="F110" s="4089"/>
      <c r="G110" s="4089"/>
      <c r="H110" s="4089"/>
      <c r="I110" s="4089"/>
      <c r="J110" s="408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F33" sqref="F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2117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811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811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9474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9474</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4696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522</v>
      </c>
      <c r="D16" s="2561">
        <f ca="1">IF(B1="",'数据-汇总表'!E3,INDIRECT("'数据-取费表'!K"&amp;$K$1)+INDIRECT("'数据-取费表'!S"&amp;$K$1))</f>
        <v>26088.75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5429</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119</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189</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68</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68</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496</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6823</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6823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313</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313</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2117</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909" t="str">
        <f>项目基本情况!B1</f>
        <v>北京市划拨国有建设用地使用权市场价格预评估</v>
      </c>
      <c r="C37" s="3909"/>
      <c r="D37" s="3909"/>
      <c r="E37" s="3909"/>
      <c r="F37" s="3909"/>
      <c r="G37" s="3909"/>
      <c r="H37" s="3909"/>
      <c r="I37" s="3909"/>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4696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141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522</v>
      </c>
      <c r="D16" s="445">
        <f ca="1">IF(B1="",'数据-汇总表'!E3,INDIRECT("'数据-取费表'!K"&amp;$K$1)+INDIRECT("'数据-取费表'!S"&amp;$K$1))</f>
        <v>26088.75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70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5429</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109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60</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60</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277</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277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6342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32" t="s">
        <v>516</v>
      </c>
      <c r="D6" s="4133"/>
      <c r="E6" s="4132" t="s">
        <v>517</v>
      </c>
      <c r="F6" s="4133"/>
      <c r="G6" s="4132" t="s">
        <v>518</v>
      </c>
      <c r="H6" s="4133"/>
      <c r="I6" s="4132" t="s">
        <v>519</v>
      </c>
      <c r="J6" s="4133"/>
      <c r="K6" s="508" t="s">
        <v>520</v>
      </c>
      <c r="L6" s="2015"/>
      <c r="M6" s="2014"/>
      <c r="N6" s="2014"/>
      <c r="O6" s="2016"/>
      <c r="P6" s="4134" t="s">
        <v>521</v>
      </c>
      <c r="Q6" s="4135"/>
      <c r="R6" s="4120" t="s">
        <v>517</v>
      </c>
      <c r="S6" s="4121"/>
      <c r="T6" s="4120" t="s">
        <v>518</v>
      </c>
      <c r="U6" s="4121"/>
      <c r="V6" s="4140" t="s">
        <v>519</v>
      </c>
      <c r="W6" s="4140"/>
      <c r="X6" s="1502"/>
      <c r="Y6" s="4120" t="s">
        <v>521</v>
      </c>
      <c r="Z6" s="4121"/>
      <c r="AA6" s="4115" t="s">
        <v>517</v>
      </c>
      <c r="AB6" s="4116" t="s">
        <v>518</v>
      </c>
      <c r="AC6" s="4115" t="s">
        <v>519</v>
      </c>
    </row>
    <row r="7" spans="1:30" ht="20.25">
      <c r="A7" s="509"/>
      <c r="B7" s="510"/>
      <c r="C7" s="4143" t="s">
        <v>2897</v>
      </c>
      <c r="D7" s="4144"/>
      <c r="E7" s="4143" t="s">
        <v>2898</v>
      </c>
      <c r="F7" s="4144"/>
      <c r="G7" s="4143" t="s">
        <v>2899</v>
      </c>
      <c r="H7" s="4144"/>
      <c r="I7" s="4143" t="s">
        <v>2900</v>
      </c>
      <c r="J7" s="4144"/>
      <c r="K7" s="508"/>
      <c r="L7" s="2015"/>
      <c r="M7" s="2014"/>
      <c r="N7" s="2014"/>
      <c r="O7" s="2016"/>
      <c r="P7" s="4136"/>
      <c r="Q7" s="4137"/>
      <c r="R7" s="4122"/>
      <c r="S7" s="4123"/>
      <c r="T7" s="4122"/>
      <c r="U7" s="4123"/>
      <c r="V7" s="4140"/>
      <c r="W7" s="4140"/>
      <c r="X7" s="1502"/>
      <c r="Y7" s="4122"/>
      <c r="Z7" s="4123"/>
      <c r="AA7" s="4116"/>
      <c r="AB7" s="4116"/>
      <c r="AC7" s="4116"/>
    </row>
    <row r="8" spans="1:30" ht="21" thickBot="1">
      <c r="A8" s="509"/>
      <c r="B8" s="510"/>
      <c r="C8" s="4145" t="s">
        <v>2901</v>
      </c>
      <c r="D8" s="4146"/>
      <c r="E8" s="4145" t="s">
        <v>2901</v>
      </c>
      <c r="F8" s="4146"/>
      <c r="G8" s="4141" t="s">
        <v>2901</v>
      </c>
      <c r="H8" s="4142"/>
      <c r="I8" s="4141" t="s">
        <v>2901</v>
      </c>
      <c r="J8" s="4142"/>
      <c r="K8" s="508" t="s">
        <v>522</v>
      </c>
      <c r="L8" s="2015"/>
      <c r="M8" s="2014"/>
      <c r="N8" s="2014"/>
      <c r="O8" s="2016"/>
      <c r="P8" s="4138"/>
      <c r="Q8" s="4139"/>
      <c r="R8" s="4122"/>
      <c r="S8" s="4123"/>
      <c r="T8" s="4124"/>
      <c r="U8" s="4125"/>
      <c r="V8" s="4140"/>
      <c r="W8" s="4140"/>
      <c r="X8" s="1502"/>
      <c r="Y8" s="4124"/>
      <c r="Z8" s="4125"/>
      <c r="AA8" s="4117"/>
      <c r="AB8" s="4117"/>
      <c r="AC8" s="4117"/>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18" t="s">
        <v>524</v>
      </c>
      <c r="Q9" s="4127"/>
      <c r="R9" s="1503" t="s">
        <v>8</v>
      </c>
      <c r="S9" s="1504">
        <f t="shared" ref="S9:S17" si="0">F9</f>
        <v>0</v>
      </c>
      <c r="T9" s="1503" t="s">
        <v>8</v>
      </c>
      <c r="U9" s="1504">
        <f t="shared" ref="U9:U17" si="1">H9</f>
        <v>0</v>
      </c>
      <c r="V9" s="1503" t="s">
        <v>8</v>
      </c>
      <c r="W9" s="1504">
        <f t="shared" ref="W9:W17" si="2">J9</f>
        <v>0</v>
      </c>
      <c r="X9" s="1505"/>
      <c r="Y9" s="4118" t="s">
        <v>524</v>
      </c>
      <c r="Z9" s="4119"/>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18" t="s">
        <v>527</v>
      </c>
      <c r="Q10" s="4119"/>
      <c r="R10" s="1503" t="s">
        <v>8</v>
      </c>
      <c r="S10" s="1504">
        <f t="shared" si="0"/>
        <v>0</v>
      </c>
      <c r="T10" s="1503" t="s">
        <v>8</v>
      </c>
      <c r="U10" s="1504">
        <f t="shared" si="1"/>
        <v>0</v>
      </c>
      <c r="V10" s="1503" t="s">
        <v>8</v>
      </c>
      <c r="W10" s="1504">
        <f t="shared" si="2"/>
        <v>0</v>
      </c>
      <c r="X10" s="1505"/>
      <c r="Y10" s="4118" t="s">
        <v>527</v>
      </c>
      <c r="Z10" s="4119"/>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26" t="s">
        <v>529</v>
      </c>
      <c r="Q11" s="1134" t="str">
        <f t="shared" ref="Q11:Q17" si="6">B11</f>
        <v>用途</v>
      </c>
      <c r="R11" s="1503" t="s">
        <v>8</v>
      </c>
      <c r="S11" s="1504">
        <f t="shared" si="0"/>
        <v>100</v>
      </c>
      <c r="T11" s="1503" t="s">
        <v>8</v>
      </c>
      <c r="U11" s="1504">
        <f t="shared" si="1"/>
        <v>100</v>
      </c>
      <c r="V11" s="1503" t="s">
        <v>8</v>
      </c>
      <c r="W11" s="1504">
        <f t="shared" si="2"/>
        <v>100</v>
      </c>
      <c r="X11" s="1505"/>
      <c r="Y11" s="4049"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26"/>
      <c r="Q12" s="1134" t="str">
        <f t="shared" si="6"/>
        <v>土地使用年限（年）</v>
      </c>
      <c r="R12" s="1503" t="s">
        <v>8</v>
      </c>
      <c r="S12" s="1504">
        <f t="shared" si="0"/>
        <v>100</v>
      </c>
      <c r="T12" s="1503" t="s">
        <v>8</v>
      </c>
      <c r="U12" s="1504">
        <f t="shared" si="1"/>
        <v>100</v>
      </c>
      <c r="V12" s="1503" t="s">
        <v>8</v>
      </c>
      <c r="W12" s="1504">
        <f t="shared" si="2"/>
        <v>100</v>
      </c>
      <c r="X12" s="1505"/>
      <c r="Y12" s="4049"/>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26"/>
      <c r="Q13" s="1134" t="str">
        <f t="shared" si="6"/>
        <v>容积率</v>
      </c>
      <c r="R13" s="1503" t="s">
        <v>8</v>
      </c>
      <c r="S13" s="1504" t="e">
        <f t="shared" si="0"/>
        <v>#N/A</v>
      </c>
      <c r="T13" s="1503" t="s">
        <v>8</v>
      </c>
      <c r="U13" s="1504" t="e">
        <f t="shared" si="1"/>
        <v>#N/A</v>
      </c>
      <c r="V13" s="1503" t="s">
        <v>8</v>
      </c>
      <c r="W13" s="1504" t="e">
        <f t="shared" si="2"/>
        <v>#N/A</v>
      </c>
      <c r="X13" s="1505"/>
      <c r="Y13" s="4049"/>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26"/>
      <c r="Q14" s="1134" t="str">
        <f t="shared" si="6"/>
        <v>配建</v>
      </c>
      <c r="R14" s="1503" t="s">
        <v>8</v>
      </c>
      <c r="S14" s="1504">
        <f t="shared" si="0"/>
        <v>100</v>
      </c>
      <c r="T14" s="1503" t="s">
        <v>8</v>
      </c>
      <c r="U14" s="1504">
        <f t="shared" si="1"/>
        <v>100</v>
      </c>
      <c r="V14" s="1503" t="s">
        <v>8</v>
      </c>
      <c r="W14" s="1504">
        <f t="shared" si="2"/>
        <v>100</v>
      </c>
      <c r="X14" s="1505"/>
      <c r="Y14" s="4049"/>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26"/>
      <c r="Q15" s="1134">
        <f t="shared" si="6"/>
        <v>111</v>
      </c>
      <c r="R15" s="1503" t="s">
        <v>8</v>
      </c>
      <c r="S15" s="1504">
        <f t="shared" si="0"/>
        <v>100</v>
      </c>
      <c r="T15" s="1503" t="s">
        <v>8</v>
      </c>
      <c r="U15" s="1504">
        <f t="shared" si="1"/>
        <v>100</v>
      </c>
      <c r="V15" s="1503" t="s">
        <v>8</v>
      </c>
      <c r="W15" s="1504">
        <f t="shared" si="2"/>
        <v>100</v>
      </c>
      <c r="X15" s="1505"/>
      <c r="Y15" s="4049"/>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26"/>
      <c r="Q16" s="1134">
        <f t="shared" si="6"/>
        <v>111</v>
      </c>
      <c r="R16" s="1503" t="s">
        <v>8</v>
      </c>
      <c r="S16" s="1504">
        <f t="shared" si="0"/>
        <v>100</v>
      </c>
      <c r="T16" s="1503" t="s">
        <v>8</v>
      </c>
      <c r="U16" s="1504">
        <f t="shared" si="1"/>
        <v>100</v>
      </c>
      <c r="V16" s="1503" t="s">
        <v>8</v>
      </c>
      <c r="W16" s="1504">
        <f t="shared" si="2"/>
        <v>100</v>
      </c>
      <c r="X16" s="1505"/>
      <c r="Y16" s="4049"/>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28" t="s">
        <v>534</v>
      </c>
      <c r="Q17" s="1507" t="str">
        <f t="shared" si="6"/>
        <v>居住社区成熟度</v>
      </c>
      <c r="R17" s="1508" t="s">
        <v>8</v>
      </c>
      <c r="S17" s="1509">
        <f t="shared" si="0"/>
        <v>100</v>
      </c>
      <c r="T17" s="1508" t="s">
        <v>8</v>
      </c>
      <c r="U17" s="1509">
        <f t="shared" si="1"/>
        <v>100</v>
      </c>
      <c r="V17" s="1508" t="s">
        <v>8</v>
      </c>
      <c r="W17" s="1509">
        <f t="shared" si="2"/>
        <v>100</v>
      </c>
      <c r="X17" s="1502"/>
      <c r="Y17" s="412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29"/>
      <c r="Q18" s="1507"/>
      <c r="R18" s="1508"/>
      <c r="S18" s="1509"/>
      <c r="T18" s="1508"/>
      <c r="U18" s="1509"/>
      <c r="V18" s="1508"/>
      <c r="W18" s="1509"/>
      <c r="X18" s="1502"/>
      <c r="Y18" s="412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29"/>
      <c r="Q19" s="1507" t="str">
        <f>B19</f>
        <v>商业繁华度</v>
      </c>
      <c r="R19" s="1508" t="s">
        <v>8</v>
      </c>
      <c r="S19" s="1509">
        <f>F19</f>
        <v>100</v>
      </c>
      <c r="T19" s="1508" t="s">
        <v>8</v>
      </c>
      <c r="U19" s="1509">
        <f>H19</f>
        <v>100</v>
      </c>
      <c r="V19" s="1508" t="s">
        <v>8</v>
      </c>
      <c r="W19" s="1509">
        <f>J19</f>
        <v>100</v>
      </c>
      <c r="X19" s="1502"/>
      <c r="Y19" s="412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29"/>
      <c r="Q20" s="1507"/>
      <c r="R20" s="1508"/>
      <c r="S20" s="1509"/>
      <c r="T20" s="1508"/>
      <c r="U20" s="1509"/>
      <c r="V20" s="1508"/>
      <c r="W20" s="1509"/>
      <c r="X20" s="1502"/>
      <c r="Y20" s="412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29"/>
      <c r="Q21" s="1507" t="str">
        <f>B21</f>
        <v>办公集聚程度</v>
      </c>
      <c r="R21" s="1508" t="s">
        <v>8</v>
      </c>
      <c r="S21" s="1509">
        <f>F21</f>
        <v>100</v>
      </c>
      <c r="T21" s="1508" t="s">
        <v>8</v>
      </c>
      <c r="U21" s="1509">
        <f>H21</f>
        <v>100</v>
      </c>
      <c r="V21" s="1508" t="s">
        <v>8</v>
      </c>
      <c r="W21" s="1509">
        <f>J21</f>
        <v>100</v>
      </c>
      <c r="X21" s="1502"/>
      <c r="Y21" s="412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29"/>
      <c r="Q22" s="1507"/>
      <c r="R22" s="1508"/>
      <c r="S22" s="1509"/>
      <c r="T22" s="1508"/>
      <c r="U22" s="1509"/>
      <c r="V22" s="1508"/>
      <c r="W22" s="1509"/>
      <c r="X22" s="1502"/>
      <c r="Y22" s="412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29"/>
      <c r="Q23" s="1507" t="str">
        <f>B23</f>
        <v>交通便捷度</v>
      </c>
      <c r="R23" s="1508" t="s">
        <v>8</v>
      </c>
      <c r="S23" s="1509">
        <f>F23</f>
        <v>100</v>
      </c>
      <c r="T23" s="1508" t="s">
        <v>8</v>
      </c>
      <c r="U23" s="1509">
        <f>H23</f>
        <v>100</v>
      </c>
      <c r="V23" s="1508" t="s">
        <v>8</v>
      </c>
      <c r="W23" s="1509">
        <f>J23</f>
        <v>100</v>
      </c>
      <c r="X23" s="1502"/>
      <c r="Y23" s="412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29"/>
      <c r="Q24" s="1507"/>
      <c r="R24" s="1508"/>
      <c r="S24" s="1509"/>
      <c r="T24" s="1508"/>
      <c r="U24" s="1509"/>
      <c r="V24" s="1508"/>
      <c r="W24" s="1509"/>
      <c r="X24" s="1502"/>
      <c r="Y24" s="412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29"/>
      <c r="Q25" s="1507" t="str">
        <f t="shared" ref="Q25:Q39" si="8">B25</f>
        <v>区域土地利用方向</v>
      </c>
      <c r="R25" s="1508" t="s">
        <v>8</v>
      </c>
      <c r="S25" s="1509">
        <f>F25</f>
        <v>100</v>
      </c>
      <c r="T25" s="1508" t="s">
        <v>8</v>
      </c>
      <c r="U25" s="1509">
        <f>H25</f>
        <v>100</v>
      </c>
      <c r="V25" s="1508" t="s">
        <v>8</v>
      </c>
      <c r="W25" s="1509">
        <f>J25</f>
        <v>100</v>
      </c>
      <c r="X25" s="1502"/>
      <c r="Y25" s="412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29"/>
      <c r="Q26" s="1507"/>
      <c r="R26" s="1508"/>
      <c r="S26" s="1509"/>
      <c r="T26" s="1508"/>
      <c r="U26" s="1509"/>
      <c r="V26" s="1508"/>
      <c r="W26" s="1509"/>
      <c r="X26" s="1502"/>
      <c r="Y26" s="412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29"/>
      <c r="Q27" s="1507" t="str">
        <f t="shared" si="8"/>
        <v>自然及人文环境状况</v>
      </c>
      <c r="R27" s="1508" t="s">
        <v>8</v>
      </c>
      <c r="S27" s="1509">
        <f>F27</f>
        <v>100</v>
      </c>
      <c r="T27" s="1508" t="s">
        <v>8</v>
      </c>
      <c r="U27" s="1509">
        <f>H27</f>
        <v>100</v>
      </c>
      <c r="V27" s="1508" t="s">
        <v>8</v>
      </c>
      <c r="W27" s="1509">
        <f>J27</f>
        <v>100</v>
      </c>
      <c r="X27" s="1502"/>
      <c r="Y27" s="412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29"/>
      <c r="Q28" s="1507"/>
      <c r="R28" s="1508"/>
      <c r="S28" s="1509"/>
      <c r="T28" s="1508"/>
      <c r="U28" s="1509"/>
      <c r="V28" s="1508"/>
      <c r="W28" s="1509"/>
      <c r="X28" s="1502"/>
      <c r="Y28" s="4129"/>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29"/>
      <c r="Q29" s="1134" t="str">
        <f t="shared" si="8"/>
        <v>公共配套设施</v>
      </c>
      <c r="R29" s="1503" t="s">
        <v>8</v>
      </c>
      <c r="S29" s="1504">
        <f>F29</f>
        <v>100</v>
      </c>
      <c r="T29" s="1503" t="s">
        <v>8</v>
      </c>
      <c r="U29" s="1504">
        <f>H29</f>
        <v>100</v>
      </c>
      <c r="V29" s="1503" t="s">
        <v>8</v>
      </c>
      <c r="W29" s="1504">
        <f>J29</f>
        <v>100</v>
      </c>
      <c r="X29" s="1505"/>
      <c r="Y29" s="412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29"/>
      <c r="Q30" s="1134"/>
      <c r="R30" s="1503"/>
      <c r="S30" s="1504"/>
      <c r="T30" s="1503"/>
      <c r="U30" s="1504"/>
      <c r="V30" s="1503"/>
      <c r="W30" s="1504"/>
      <c r="X30" s="1505"/>
      <c r="Y30" s="4129"/>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29"/>
      <c r="Q31" s="2428" t="str">
        <f t="shared" ref="Q31" si="9">B31</f>
        <v>基础设施水平</v>
      </c>
      <c r="R31" s="1503" t="s">
        <v>8</v>
      </c>
      <c r="S31" s="1504">
        <f>F31</f>
        <v>100</v>
      </c>
      <c r="T31" s="1503" t="s">
        <v>8</v>
      </c>
      <c r="U31" s="1504">
        <f>H31</f>
        <v>100</v>
      </c>
      <c r="V31" s="1503" t="s">
        <v>8</v>
      </c>
      <c r="W31" s="1504">
        <f>J31</f>
        <v>100</v>
      </c>
      <c r="X31" s="1505"/>
      <c r="Y31" s="4129"/>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29"/>
      <c r="Q32" s="2428"/>
      <c r="R32" s="1503"/>
      <c r="S32" s="1504"/>
      <c r="T32" s="1503"/>
      <c r="U32" s="1504"/>
      <c r="V32" s="1503"/>
      <c r="W32" s="1504"/>
      <c r="X32" s="1505"/>
      <c r="Y32" s="4129"/>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2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2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29"/>
      <c r="Q34" s="1507" t="str">
        <f t="shared" si="8"/>
        <v>毗邻道路的类型与等级</v>
      </c>
      <c r="R34" s="1508" t="s">
        <v>8</v>
      </c>
      <c r="S34" s="1509">
        <f t="shared" si="10"/>
        <v>100</v>
      </c>
      <c r="T34" s="1508" t="s">
        <v>8</v>
      </c>
      <c r="U34" s="1509">
        <f t="shared" si="11"/>
        <v>100</v>
      </c>
      <c r="V34" s="1508" t="s">
        <v>8</v>
      </c>
      <c r="W34" s="1509">
        <f t="shared" si="12"/>
        <v>100</v>
      </c>
      <c r="X34" s="1502"/>
      <c r="Y34" s="412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29"/>
      <c r="Q35" s="1507"/>
      <c r="R35" s="1508"/>
      <c r="S35" s="1509"/>
      <c r="T35" s="1508"/>
      <c r="U35" s="1509"/>
      <c r="V35" s="1508"/>
      <c r="W35" s="1509"/>
      <c r="X35" s="1502"/>
      <c r="Y35" s="412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29"/>
      <c r="Q36" s="1507" t="str">
        <f t="shared" si="8"/>
        <v>土地级别</v>
      </c>
      <c r="R36" s="1508" t="s">
        <v>8</v>
      </c>
      <c r="S36" s="1509">
        <f t="shared" si="10"/>
        <v>100</v>
      </c>
      <c r="T36" s="1508" t="s">
        <v>8</v>
      </c>
      <c r="U36" s="1509">
        <f t="shared" si="11"/>
        <v>100</v>
      </c>
      <c r="V36" s="1508" t="s">
        <v>8</v>
      </c>
      <c r="W36" s="1509">
        <f t="shared" si="12"/>
        <v>100</v>
      </c>
      <c r="X36" s="1502"/>
      <c r="Y36" s="412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29"/>
      <c r="Q37" s="1507">
        <f t="shared" si="8"/>
        <v>111</v>
      </c>
      <c r="R37" s="1508" t="s">
        <v>8</v>
      </c>
      <c r="S37" s="1509">
        <f t="shared" si="10"/>
        <v>100</v>
      </c>
      <c r="T37" s="1508" t="s">
        <v>8</v>
      </c>
      <c r="U37" s="1509">
        <f t="shared" si="11"/>
        <v>100</v>
      </c>
      <c r="V37" s="1508" t="s">
        <v>8</v>
      </c>
      <c r="W37" s="1509">
        <f t="shared" si="12"/>
        <v>100</v>
      </c>
      <c r="X37" s="1502"/>
      <c r="Y37" s="412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30" t="s">
        <v>544</v>
      </c>
      <c r="Q38" s="1507">
        <f t="shared" si="8"/>
        <v>111</v>
      </c>
      <c r="R38" s="1508" t="s">
        <v>8</v>
      </c>
      <c r="S38" s="1509">
        <f t="shared" si="10"/>
        <v>100</v>
      </c>
      <c r="T38" s="1508" t="s">
        <v>8</v>
      </c>
      <c r="U38" s="1509">
        <f t="shared" si="11"/>
        <v>100</v>
      </c>
      <c r="V38" s="1508" t="s">
        <v>8</v>
      </c>
      <c r="W38" s="1509">
        <f t="shared" si="12"/>
        <v>100</v>
      </c>
      <c r="X38" s="1502"/>
      <c r="Y38" s="413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31"/>
      <c r="Q39" s="1507">
        <f t="shared" si="8"/>
        <v>111</v>
      </c>
      <c r="R39" s="1512" t="s">
        <v>8</v>
      </c>
      <c r="S39" s="1513">
        <f t="shared" si="10"/>
        <v>100</v>
      </c>
      <c r="T39" s="1512" t="s">
        <v>8</v>
      </c>
      <c r="U39" s="1513">
        <f t="shared" si="11"/>
        <v>100</v>
      </c>
      <c r="V39" s="1512" t="s">
        <v>8</v>
      </c>
      <c r="W39" s="1513">
        <f t="shared" si="12"/>
        <v>100</v>
      </c>
      <c r="X39" s="1514"/>
      <c r="Y39" s="4131"/>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31"/>
      <c r="Q40" s="1507" t="str">
        <f>B40</f>
        <v>宗地面积</v>
      </c>
      <c r="R40" s="1508" t="s">
        <v>8</v>
      </c>
      <c r="S40" s="1509" t="e">
        <f t="shared" si="10"/>
        <v>#N/A</v>
      </c>
      <c r="T40" s="1508" t="s">
        <v>8</v>
      </c>
      <c r="U40" s="1509" t="e">
        <f t="shared" si="11"/>
        <v>#N/A</v>
      </c>
      <c r="V40" s="1508" t="s">
        <v>8</v>
      </c>
      <c r="W40" s="1509" t="e">
        <f t="shared" si="12"/>
        <v>#N/A</v>
      </c>
      <c r="X40" s="1502"/>
      <c r="Y40" s="413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31"/>
      <c r="Q41" s="1507" t="str">
        <f t="shared" ref="Q41:Q47" si="14">B41</f>
        <v>宗地形状</v>
      </c>
      <c r="R41" s="1508" t="s">
        <v>8</v>
      </c>
      <c r="S41" s="1509">
        <f t="shared" si="10"/>
        <v>100</v>
      </c>
      <c r="T41" s="1508" t="s">
        <v>8</v>
      </c>
      <c r="U41" s="1509">
        <f t="shared" si="11"/>
        <v>100</v>
      </c>
      <c r="V41" s="1508" t="s">
        <v>8</v>
      </c>
      <c r="W41" s="1509">
        <f t="shared" si="12"/>
        <v>100</v>
      </c>
      <c r="X41" s="1502"/>
      <c r="Y41" s="413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31"/>
      <c r="Q42" s="1507" t="str">
        <f t="shared" si="14"/>
        <v>临街宽度及深度</v>
      </c>
      <c r="R42" s="1508" t="s">
        <v>8</v>
      </c>
      <c r="S42" s="1509">
        <f t="shared" si="10"/>
        <v>100</v>
      </c>
      <c r="T42" s="1508" t="s">
        <v>8</v>
      </c>
      <c r="U42" s="1509">
        <f t="shared" si="11"/>
        <v>100</v>
      </c>
      <c r="V42" s="1508" t="s">
        <v>8</v>
      </c>
      <c r="W42" s="1509">
        <f t="shared" si="12"/>
        <v>100</v>
      </c>
      <c r="X42" s="1502"/>
      <c r="Y42" s="4131"/>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31"/>
      <c r="Q43" s="1507" t="str">
        <f t="shared" si="14"/>
        <v>宗地开发程度</v>
      </c>
      <c r="R43" s="1503" t="s">
        <v>8</v>
      </c>
      <c r="S43" s="1504">
        <f t="shared" si="10"/>
        <v>100</v>
      </c>
      <c r="T43" s="1503" t="s">
        <v>8</v>
      </c>
      <c r="U43" s="1504">
        <f t="shared" si="11"/>
        <v>100</v>
      </c>
      <c r="V43" s="1503" t="s">
        <v>8</v>
      </c>
      <c r="W43" s="1504">
        <f t="shared" si="12"/>
        <v>100</v>
      </c>
      <c r="X43" s="1505"/>
      <c r="Y43" s="413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31" t="s">
        <v>544</v>
      </c>
      <c r="Q44" s="1507" t="str">
        <f t="shared" si="14"/>
        <v>工程地质条件</v>
      </c>
      <c r="R44" s="1508" t="s">
        <v>8</v>
      </c>
      <c r="S44" s="1509">
        <f t="shared" si="10"/>
        <v>100</v>
      </c>
      <c r="T44" s="1508" t="s">
        <v>8</v>
      </c>
      <c r="U44" s="1509">
        <f t="shared" si="11"/>
        <v>100</v>
      </c>
      <c r="V44" s="1508" t="s">
        <v>8</v>
      </c>
      <c r="W44" s="1509">
        <f t="shared" si="12"/>
        <v>100</v>
      </c>
      <c r="X44" s="1502"/>
      <c r="Y44" s="413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31"/>
      <c r="Q45" s="1507">
        <f t="shared" si="14"/>
        <v>111</v>
      </c>
      <c r="R45" s="1508" t="s">
        <v>8</v>
      </c>
      <c r="S45" s="1509">
        <f t="shared" si="10"/>
        <v>100</v>
      </c>
      <c r="T45" s="1508" t="s">
        <v>8</v>
      </c>
      <c r="U45" s="1509">
        <f t="shared" si="11"/>
        <v>100</v>
      </c>
      <c r="V45" s="1508" t="s">
        <v>8</v>
      </c>
      <c r="W45" s="1509">
        <f t="shared" si="12"/>
        <v>100</v>
      </c>
      <c r="X45" s="1502"/>
      <c r="Y45" s="413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31"/>
      <c r="Q46" s="1507">
        <f t="shared" si="14"/>
        <v>111</v>
      </c>
      <c r="R46" s="1508" t="s">
        <v>8</v>
      </c>
      <c r="S46" s="1509">
        <f t="shared" si="10"/>
        <v>100</v>
      </c>
      <c r="T46" s="1508" t="s">
        <v>8</v>
      </c>
      <c r="U46" s="1509">
        <f t="shared" si="11"/>
        <v>100</v>
      </c>
      <c r="V46" s="1508" t="s">
        <v>8</v>
      </c>
      <c r="W46" s="1509">
        <f t="shared" si="12"/>
        <v>100</v>
      </c>
      <c r="X46" s="1502"/>
      <c r="Y46" s="413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31"/>
      <c r="Q47" s="1507">
        <f t="shared" si="14"/>
        <v>111</v>
      </c>
      <c r="R47" s="1512" t="s">
        <v>8</v>
      </c>
      <c r="S47" s="1513">
        <f t="shared" si="10"/>
        <v>100</v>
      </c>
      <c r="T47" s="1512" t="s">
        <v>8</v>
      </c>
      <c r="U47" s="1513">
        <f t="shared" si="11"/>
        <v>100</v>
      </c>
      <c r="V47" s="1512" t="s">
        <v>8</v>
      </c>
      <c r="W47" s="1513">
        <f t="shared" si="12"/>
        <v>100</v>
      </c>
      <c r="X47" s="1514"/>
      <c r="Y47" s="4131"/>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26" t="str">
        <f>A48</f>
        <v>成交单价</v>
      </c>
      <c r="Q48" s="4126"/>
      <c r="R48" s="4140">
        <f>E48</f>
        <v>0</v>
      </c>
      <c r="S48" s="4140"/>
      <c r="T48" s="4140">
        <f>G48</f>
        <v>0</v>
      </c>
      <c r="U48" s="4140"/>
      <c r="V48" s="4140">
        <f>I48</f>
        <v>0</v>
      </c>
      <c r="W48" s="4140"/>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26" t="str">
        <f>A49</f>
        <v>比较价格（元/平方米）</v>
      </c>
      <c r="Q49" s="4126"/>
      <c r="R49" s="4150" t="e">
        <f>ROUND(PRODUCT(R48,AA9:AA47),0)</f>
        <v>#DIV/0!</v>
      </c>
      <c r="S49" s="4150"/>
      <c r="T49" s="4150" t="e">
        <f>ROUND(PRODUCT(T48,AB9:AB47),0)</f>
        <v>#DIV/0!</v>
      </c>
      <c r="U49" s="4150"/>
      <c r="V49" s="4150" t="e">
        <f>ROUND(PRODUCT(V48,AC9:AC47),0)</f>
        <v>#DIV/0!</v>
      </c>
      <c r="W49" s="4150"/>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147" t="str">
        <f>A50</f>
        <v>估价对象XX用房的比较价格（楼面单价，元/平方米）</v>
      </c>
      <c r="Q50" s="4148"/>
      <c r="R50" s="4149" t="e">
        <f>ROUND(IF(D49="简单平均",AVERAGE(R49:W49),R49*F49+T49*H49+V49*J49),0)</f>
        <v>#DIV/0!</v>
      </c>
      <c r="S50" s="4149"/>
      <c r="T50" s="4149"/>
      <c r="U50" s="4149"/>
      <c r="V50" s="4149"/>
      <c r="W50" s="4149"/>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110" t="s">
        <v>2269</v>
      </c>
      <c r="H57" s="4111"/>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112"/>
      <c r="H58" s="4113"/>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14"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14"/>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14"/>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14"/>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41" sqref="D4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9474</v>
      </c>
      <c r="C2" s="3264"/>
      <c r="D2" s="3265"/>
      <c r="E2" s="3266"/>
      <c r="F2" s="3266"/>
      <c r="G2" s="3260"/>
      <c r="H2" s="1940"/>
      <c r="I2" s="1940"/>
      <c r="J2" s="1940"/>
      <c r="K2" s="1941"/>
      <c r="L2" s="1940"/>
      <c r="M2" s="1940"/>
    </row>
    <row r="3" spans="1:33" ht="18" customHeight="1" thickBot="1">
      <c r="A3" s="822" t="s">
        <v>1718</v>
      </c>
      <c r="B3" s="823">
        <f ca="1">IF(ISERROR(B2*10000/F43),0,ROUND(B2*10000/F43,0))</f>
        <v>3631</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572</v>
      </c>
      <c r="D5" s="2349" t="s">
        <v>2443</v>
      </c>
      <c r="E5" s="2343"/>
      <c r="F5" s="2344"/>
      <c r="G5" s="1945"/>
      <c r="H5" s="771">
        <v>1</v>
      </c>
      <c r="I5" s="772" t="s">
        <v>2440</v>
      </c>
      <c r="J5" s="55">
        <f ca="1">J6+J10+J12</f>
        <v>0</v>
      </c>
      <c r="K5" s="2349" t="s">
        <v>2443</v>
      </c>
      <c r="L5" s="2343"/>
      <c r="M5" s="2344"/>
    </row>
    <row r="6" spans="1:33" ht="18" customHeight="1">
      <c r="A6" s="1745" t="s">
        <v>1815</v>
      </c>
      <c r="B6" s="4153" t="s">
        <v>2445</v>
      </c>
      <c r="C6" s="773">
        <f ca="1">ROUND(F6*F8*F7*(1-F9)/10000,0)</f>
        <v>571</v>
      </c>
      <c r="D6" s="2350" t="s">
        <v>2444</v>
      </c>
      <c r="E6" s="774" t="s">
        <v>1729</v>
      </c>
      <c r="F6" s="775">
        <f ca="1">INDIRECT("'数据-取费表'!u"&amp;$G$1)</f>
        <v>0.75</v>
      </c>
      <c r="G6" s="1945"/>
      <c r="H6" s="2357" t="s">
        <v>2450</v>
      </c>
      <c r="I6" s="4153" t="s">
        <v>2445</v>
      </c>
      <c r="J6" s="773">
        <f ca="1">ROUND(M6*M8*M7*(1-M9)/10000,0)</f>
        <v>0</v>
      </c>
      <c r="K6" s="339" t="s">
        <v>1728</v>
      </c>
      <c r="L6" s="774" t="s">
        <v>1729</v>
      </c>
      <c r="M6" s="775">
        <f ca="1">INDIRECT("'数据-取费表'!z"&amp;$G$1)</f>
        <v>0</v>
      </c>
    </row>
    <row r="7" spans="1:33" ht="18" customHeight="1">
      <c r="A7" s="2353"/>
      <c r="B7" s="4154"/>
      <c r="C7" s="778"/>
      <c r="D7" s="779"/>
      <c r="E7" s="774" t="s">
        <v>1730</v>
      </c>
      <c r="F7" s="775">
        <f ca="1">IF(INDIRECT("'数据-取费表'!ah"&amp;$G$1)="",INDIRECT("'数据-取费表'!k"&amp;$G$1),INDIRECT("'数据-取费表'!ah"&amp;$G$1))</f>
        <v>26088.75</v>
      </c>
      <c r="G7" s="1945"/>
      <c r="H7" s="2342"/>
      <c r="I7" s="4154"/>
      <c r="J7" s="778"/>
      <c r="K7" s="779"/>
      <c r="L7" s="774" t="s">
        <v>1730</v>
      </c>
      <c r="M7" s="775">
        <f ca="1">F7</f>
        <v>26088.75</v>
      </c>
    </row>
    <row r="8" spans="1:33" ht="18" customHeight="1">
      <c r="A8" s="2346"/>
      <c r="B8" s="4155"/>
      <c r="C8" s="778"/>
      <c r="D8" s="779"/>
      <c r="E8" s="774" t="s">
        <v>1731</v>
      </c>
      <c r="F8" s="775">
        <f ca="1">INDIRECT("'数据-取费表'!ai"&amp;$G$1)</f>
        <v>365</v>
      </c>
      <c r="G8" s="1945"/>
      <c r="H8" s="2342"/>
      <c r="I8" s="4155"/>
      <c r="J8" s="778"/>
      <c r="K8" s="779"/>
      <c r="L8" s="774" t="s">
        <v>1731</v>
      </c>
      <c r="M8" s="775">
        <f ca="1">INDIRECT("'数据-取费表'!ai"&amp;$G$1)</f>
        <v>365</v>
      </c>
    </row>
    <row r="9" spans="1:33" ht="18" customHeight="1">
      <c r="A9" s="776"/>
      <c r="B9" s="4156"/>
      <c r="C9" s="778"/>
      <c r="D9" s="779"/>
      <c r="E9" s="774" t="s">
        <v>1732</v>
      </c>
      <c r="F9" s="784">
        <f ca="1">INDIRECT("'数据-取费表'!w"&amp;$G$1)</f>
        <v>0.2</v>
      </c>
      <c r="G9" s="1945"/>
      <c r="H9" s="2358"/>
      <c r="I9" s="4155"/>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6342</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4696</v>
      </c>
      <c r="D14" s="1893" t="s">
        <v>1736</v>
      </c>
      <c r="E14" s="1894"/>
      <c r="F14" s="795"/>
      <c r="G14" s="1945"/>
      <c r="H14" s="1578" t="s">
        <v>1821</v>
      </c>
      <c r="I14" s="2111" t="s">
        <v>2806</v>
      </c>
      <c r="J14" s="53">
        <f ca="1">C29</f>
        <v>6342</v>
      </c>
      <c r="K14" s="26"/>
      <c r="L14" s="791"/>
      <c r="M14" s="792"/>
    </row>
    <row r="15" spans="1:33" s="1947" customFormat="1" ht="18" customHeight="1" thickBot="1">
      <c r="A15" s="1577" t="s">
        <v>1876</v>
      </c>
      <c r="B15" s="774" t="s">
        <v>641</v>
      </c>
      <c r="C15" s="53">
        <f ca="1">ROUND(C14*F15,0)</f>
        <v>141</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89</v>
      </c>
      <c r="K16" s="1736" t="s">
        <v>1741</v>
      </c>
      <c r="L16" s="2339"/>
      <c r="M16" s="2344"/>
    </row>
    <row r="17" spans="1:33" s="1947" customFormat="1" ht="18" customHeight="1">
      <c r="A17" s="1577" t="s">
        <v>1878</v>
      </c>
      <c r="B17" s="774" t="s">
        <v>647</v>
      </c>
      <c r="C17" s="53">
        <f ca="1">ROUND(F17*(F43+INDIRECT("'数据-取费表'!S"&amp;$G$1))/10000,0)</f>
        <v>522</v>
      </c>
      <c r="D17" s="774" t="s">
        <v>1742</v>
      </c>
      <c r="E17" s="774" t="s">
        <v>1743</v>
      </c>
      <c r="F17" s="56">
        <f>'数据-取费表'!B35</f>
        <v>200</v>
      </c>
      <c r="G17" s="3261"/>
      <c r="H17" s="1578" t="s">
        <v>1821</v>
      </c>
      <c r="I17" s="774" t="s">
        <v>650</v>
      </c>
      <c r="J17" s="3019">
        <f ca="1">ROUND(IF(AND(项目基本情况!B11="自然人",项目基本情况!B10="北京市"),J6*M17/(1+'数据-取费表'!C42),J18+J19+J20),0)</f>
        <v>57</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70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5429</v>
      </c>
      <c r="D19" s="259" t="s">
        <v>1748</v>
      </c>
      <c r="E19" s="1896"/>
      <c r="F19" s="56"/>
      <c r="G19" s="1945"/>
      <c r="H19" s="1577" t="s">
        <v>1876</v>
      </c>
      <c r="I19" s="774" t="s">
        <v>1749</v>
      </c>
      <c r="J19" s="53">
        <f ca="1">IF(K19="按租金收入计税",ROUND(J6*M19/(1+'数据-取费表'!C42),1),ROUND(C29*F33*0.7,1))</f>
        <v>53.3</v>
      </c>
      <c r="K19" s="800" t="s">
        <v>659</v>
      </c>
      <c r="L19" s="774" t="s">
        <v>1738</v>
      </c>
      <c r="M19" s="799">
        <f>IF(K19="按租金收入计税",'数据-取费表'!B51,'数据-取费表'!B50)</f>
        <v>1.2E-2</v>
      </c>
    </row>
    <row r="20" spans="1:33" s="1947" customFormat="1" ht="18" customHeight="1">
      <c r="A20" s="1578" t="s">
        <v>1880</v>
      </c>
      <c r="B20" s="774" t="s">
        <v>660</v>
      </c>
      <c r="C20" s="53">
        <f ca="1">ROUND(C19*F20,0)</f>
        <v>109</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32</v>
      </c>
      <c r="K22" s="2337" t="s">
        <v>1760</v>
      </c>
      <c r="L22" s="774" t="s">
        <v>1738</v>
      </c>
      <c r="M22" s="806">
        <f ca="1">INDIRECT("'数据-取费表'!Ak"&amp;$G$1)</f>
        <v>5.0000000000000001E-3</v>
      </c>
    </row>
    <row r="23" spans="1:33" s="1947" customFormat="1" ht="18" customHeight="1">
      <c r="A23" s="1577" t="s">
        <v>1822</v>
      </c>
      <c r="B23" s="774" t="s">
        <v>2517</v>
      </c>
      <c r="C23" s="53">
        <f ca="1">ROUND(IF('数据-取费表'!B22&lt;=1,(C19+C20)*F24*F23/2,(C19+C20)*(POWER((1+F24),F23/2)-1)),0)</f>
        <v>60</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-89</v>
      </c>
      <c r="K25" s="2401" t="s">
        <v>1768</v>
      </c>
      <c r="L25" s="2402"/>
      <c r="M25" s="2403"/>
    </row>
    <row r="26" spans="1:33" ht="18" customHeight="1">
      <c r="A26" s="1577" t="s">
        <v>1822</v>
      </c>
      <c r="B26" s="774" t="s">
        <v>2422</v>
      </c>
      <c r="C26" s="53">
        <f ca="1">ROUND((C19+C20)*F26,0)</f>
        <v>277</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6342</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131</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87</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29.9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53.3</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285</v>
      </c>
      <c r="K35" s="1961"/>
      <c r="L35" s="1960"/>
      <c r="M35" s="1960"/>
    </row>
    <row r="36" spans="1:18" ht="18" customHeight="1">
      <c r="A36" s="1578" t="s">
        <v>1880</v>
      </c>
      <c r="B36" s="774" t="s">
        <v>1793</v>
      </c>
      <c r="C36" s="53">
        <f ca="1">ROUND(C29*F36,1)</f>
        <v>31.7</v>
      </c>
      <c r="D36" s="1891" t="s">
        <v>1794</v>
      </c>
      <c r="E36" s="774" t="s">
        <v>1787</v>
      </c>
      <c r="F36" s="806">
        <f ca="1">INDIRECT("'数据-取费表'!Ak"&amp;$G$1)</f>
        <v>5.0000000000000001E-3</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6.3</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5.7</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441</v>
      </c>
      <c r="D39" s="2401" t="s">
        <v>1797</v>
      </c>
      <c r="E39" s="2402"/>
      <c r="F39" s="2403"/>
      <c r="G39" s="1945"/>
      <c r="H39" s="1960"/>
      <c r="I39" s="826" t="s">
        <v>1809</v>
      </c>
      <c r="J39" s="834">
        <f ca="1">ROUND(J35/C39,3)</f>
        <v>0.64600000000000002</v>
      </c>
      <c r="K39" s="1965"/>
      <c r="L39" s="1960"/>
      <c r="M39" s="1960"/>
    </row>
    <row r="40" spans="1:18" ht="18" customHeight="1">
      <c r="A40" s="771" t="s">
        <v>1886</v>
      </c>
      <c r="B40" s="2112" t="s">
        <v>2289</v>
      </c>
      <c r="C40" s="773">
        <f ca="1">ROUND(C39*(1-((1+F42)/(1+F40))^F41)/(F40-F42),0)</f>
        <v>9474</v>
      </c>
      <c r="D40" s="803" t="s">
        <v>1798</v>
      </c>
      <c r="E40" s="774" t="s">
        <v>2404</v>
      </c>
      <c r="F40" s="784">
        <f ca="1">INDIRECT("'数据-取费表'!I"&amp;$G$1)</f>
        <v>0.04</v>
      </c>
      <c r="G40" s="1945"/>
      <c r="H40" s="1945"/>
      <c r="I40" s="826" t="s">
        <v>1810</v>
      </c>
      <c r="J40" s="834">
        <f ca="1">1-J39</f>
        <v>0.35399999999999998</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0.66900000000000004</v>
      </c>
      <c r="K42" s="1964"/>
      <c r="L42" s="1900"/>
      <c r="M42" s="1900"/>
    </row>
    <row r="43" spans="1:18" ht="18" customHeight="1" thickBot="1">
      <c r="A43" s="812" t="s">
        <v>1778</v>
      </c>
      <c r="B43" s="813" t="s">
        <v>1801</v>
      </c>
      <c r="C43" s="814">
        <f ca="1">ROUND(C40*10000/F43,0)</f>
        <v>3631</v>
      </c>
      <c r="D43" s="815" t="s">
        <v>1802</v>
      </c>
      <c r="E43" s="816" t="s">
        <v>1803</v>
      </c>
      <c r="F43" s="817">
        <f ca="1">INDIRECT("'数据-取费表'!k"&amp;$G$1)</f>
        <v>26088.75</v>
      </c>
      <c r="G43" s="1945"/>
      <c r="H43" s="1900"/>
      <c r="I43" s="836" t="s">
        <v>1813</v>
      </c>
      <c r="J43" s="837">
        <f ca="1">1-J42</f>
        <v>0.33099999999999996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-11515</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9474</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6342</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3650</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51" t="s">
        <v>2931</v>
      </c>
      <c r="L53" s="4152"/>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9474</v>
      </c>
      <c r="R54" s="2258" t="s">
        <v>2377</v>
      </c>
    </row>
    <row r="55" spans="1:18" s="1942" customFormat="1" ht="18" customHeight="1" thickTop="1" thickBot="1">
      <c r="A55" s="787">
        <v>2</v>
      </c>
      <c r="B55" s="788" t="s">
        <v>638</v>
      </c>
      <c r="C55" s="789">
        <f ca="1">C13</f>
        <v>6342</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6342</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95</v>
      </c>
      <c r="D57" s="26" t="s">
        <v>1741</v>
      </c>
      <c r="E57" s="2482"/>
      <c r="F57" s="56"/>
      <c r="I57" s="2819" t="s">
        <v>2343</v>
      </c>
      <c r="J57" s="2820" t="str">
        <f ca="1">IF(OR(M47="住宅",J51&lt;L48,J56="是"),"——",J51-L48)</f>
        <v>——</v>
      </c>
      <c r="K57" s="2799" t="s">
        <v>2348</v>
      </c>
      <c r="L57" s="1822">
        <f ca="1">IF(L48&lt;J51,"——",IF(L55="比较法",L49,IF(L55="基准地价",L50,L51)))</f>
        <v>3650</v>
      </c>
      <c r="M57" s="3263"/>
      <c r="O57" s="2253" t="s">
        <v>2364</v>
      </c>
      <c r="P57" s="2254" t="s">
        <v>2394</v>
      </c>
      <c r="Q57" s="2255">
        <f ca="1">C40+J29</f>
        <v>9474</v>
      </c>
      <c r="R57" s="2254" t="s">
        <v>2365</v>
      </c>
    </row>
    <row r="58" spans="1:18" s="1942" customFormat="1" ht="28.5" customHeight="1" thickBot="1">
      <c r="A58" s="1578" t="s">
        <v>1815</v>
      </c>
      <c r="B58" s="774" t="s">
        <v>650</v>
      </c>
      <c r="C58" s="3019">
        <f ca="1">ROUND(IF(AND(项目基本情况!B11="自然人",项目基本情况!B10="北京市"),C48*F58/(1+'数据-取费表'!C42),C59+C60+C61),0)</f>
        <v>57</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53.3</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31.7</v>
      </c>
      <c r="D63" s="2481" t="s">
        <v>1794</v>
      </c>
      <c r="E63" s="774" t="s">
        <v>1738</v>
      </c>
      <c r="F63" s="806">
        <f t="shared" ca="1" si="0"/>
        <v>5.0000000000000001E-3</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6.3</v>
      </c>
      <c r="D64" s="2481" t="s">
        <v>674</v>
      </c>
      <c r="E64" s="774" t="s">
        <v>1738</v>
      </c>
      <c r="F64" s="807">
        <f t="shared" ca="1" si="0"/>
        <v>1E-3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-95</v>
      </c>
      <c r="D66" s="2480" t="s">
        <v>694</v>
      </c>
      <c r="E66" s="2479"/>
      <c r="F66" s="809"/>
      <c r="K66" s="1968"/>
      <c r="O66" s="2253" t="s">
        <v>2364</v>
      </c>
      <c r="P66" s="2254" t="s">
        <v>2394</v>
      </c>
      <c r="Q66" s="2255">
        <f ca="1">C40+J29</f>
        <v>9474</v>
      </c>
      <c r="R66" s="2254" t="s">
        <v>2365</v>
      </c>
    </row>
    <row r="67" spans="1:18" s="1942" customFormat="1" ht="20.25" thickBot="1">
      <c r="A67" s="771" t="s">
        <v>1771</v>
      </c>
      <c r="B67" s="2112" t="s">
        <v>2289</v>
      </c>
      <c r="C67" s="773">
        <f ca="1">ROUND(C66*(1-((1+F69)/(1+F67))^F68)/(F67-F69),0)</f>
        <v>-2041</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3650</v>
      </c>
      <c r="R68" s="2261" t="s">
        <v>2401</v>
      </c>
    </row>
    <row r="69" spans="1:18" ht="20.25" thickBot="1">
      <c r="A69" s="780"/>
      <c r="B69" s="781"/>
      <c r="C69" s="782"/>
      <c r="D69" s="805"/>
      <c r="E69" s="774" t="s">
        <v>704</v>
      </c>
      <c r="F69" s="2226"/>
      <c r="O69" s="2256" t="s">
        <v>2369</v>
      </c>
      <c r="P69" s="2262" t="s">
        <v>2383</v>
      </c>
      <c r="Q69" s="2255">
        <f ca="1">ROUND(Q70-Q71*Q72,0)</f>
        <v>156</v>
      </c>
      <c r="R69" s="2258"/>
    </row>
    <row r="70" spans="1:18" ht="15.75" thickBot="1">
      <c r="A70" s="812" t="s">
        <v>1778</v>
      </c>
      <c r="B70" s="813" t="s">
        <v>1801</v>
      </c>
      <c r="C70" s="814">
        <f ca="1">ROUND(C67*10000/F70,0)</f>
        <v>-782</v>
      </c>
      <c r="D70" s="815" t="s">
        <v>1802</v>
      </c>
      <c r="E70" s="816" t="s">
        <v>1803</v>
      </c>
      <c r="F70" s="817">
        <f ca="1">F43</f>
        <v>26088.75</v>
      </c>
      <c r="O70" s="2256" t="s">
        <v>2384</v>
      </c>
      <c r="P70" s="2262" t="s">
        <v>2385</v>
      </c>
      <c r="Q70" s="2255">
        <f ca="1">C39</f>
        <v>441</v>
      </c>
      <c r="R70" s="2254" t="s">
        <v>2365</v>
      </c>
    </row>
    <row r="71" spans="1:18" ht="15.75" thickBot="1">
      <c r="O71" s="2256" t="s">
        <v>2386</v>
      </c>
      <c r="P71" s="2262" t="s">
        <v>2387</v>
      </c>
      <c r="Q71" s="2255">
        <f ca="1">C13</f>
        <v>6342</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096" t="s">
        <v>998</v>
      </c>
      <c r="B18" s="1137" t="s">
        <v>1437</v>
      </c>
      <c r="C18" s="1114" t="s">
        <v>1438</v>
      </c>
      <c r="D18" s="1115"/>
      <c r="E18" s="1137">
        <v>1</v>
      </c>
      <c r="F18" s="1116" t="s">
        <v>1439</v>
      </c>
      <c r="G18" s="1117"/>
      <c r="H18" s="1088"/>
      <c r="I18" s="1088"/>
    </row>
    <row r="19" spans="1:9" s="1530" customFormat="1" ht="19.5" customHeight="1">
      <c r="A19" s="4096"/>
      <c r="B19" s="4096" t="s">
        <v>1440</v>
      </c>
      <c r="C19" s="1114" t="s">
        <v>1441</v>
      </c>
      <c r="D19" s="1115"/>
      <c r="E19" s="1137">
        <v>0.9</v>
      </c>
      <c r="F19" s="1116" t="s">
        <v>1442</v>
      </c>
      <c r="G19" s="1117"/>
      <c r="H19" s="1088"/>
      <c r="I19" s="1088"/>
    </row>
    <row r="20" spans="1:9" s="1530" customFormat="1" ht="19.5" customHeight="1">
      <c r="A20" s="4096"/>
      <c r="B20" s="4096"/>
      <c r="C20" s="1114" t="s">
        <v>1443</v>
      </c>
      <c r="D20" s="1115"/>
      <c r="E20" s="1137">
        <v>1.1000000000000001</v>
      </c>
      <c r="F20" s="1116" t="s">
        <v>1444</v>
      </c>
      <c r="G20" s="1117"/>
      <c r="H20" s="1088"/>
      <c r="I20" s="1088"/>
    </row>
    <row r="21" spans="1:9" s="1530" customFormat="1" ht="19.5" customHeight="1">
      <c r="A21" s="4096"/>
      <c r="B21" s="4096"/>
      <c r="C21" s="1114" t="s">
        <v>1445</v>
      </c>
      <c r="D21" s="1115"/>
      <c r="E21" s="1137">
        <v>0.8</v>
      </c>
      <c r="F21" s="1116" t="s">
        <v>1446</v>
      </c>
      <c r="G21" s="1117"/>
      <c r="H21" s="1088"/>
      <c r="I21" s="1088"/>
    </row>
    <row r="22" spans="1:9" s="1530" customFormat="1" ht="19.5" customHeight="1">
      <c r="A22" s="4096"/>
      <c r="B22" s="4096"/>
      <c r="C22" s="1114" t="s">
        <v>1447</v>
      </c>
      <c r="D22" s="1115"/>
      <c r="E22" s="1137">
        <v>0.5</v>
      </c>
      <c r="F22" s="1116"/>
      <c r="G22" s="1117"/>
      <c r="H22" s="1088"/>
      <c r="I22" s="1088"/>
    </row>
    <row r="23" spans="1:9" s="1530" customFormat="1" ht="19.5" customHeight="1">
      <c r="A23" s="4096" t="s">
        <v>1020</v>
      </c>
      <c r="B23" s="1137" t="s">
        <v>1437</v>
      </c>
      <c r="C23" s="1114" t="s">
        <v>1448</v>
      </c>
      <c r="D23" s="1115"/>
      <c r="E23" s="1137">
        <v>1</v>
      </c>
      <c r="F23" s="1116" t="s">
        <v>1449</v>
      </c>
      <c r="G23" s="1117"/>
      <c r="H23" s="1088"/>
      <c r="I23" s="1088"/>
    </row>
    <row r="24" spans="1:9" s="1530" customFormat="1" ht="19.5" customHeight="1">
      <c r="A24" s="4096"/>
      <c r="B24" s="4096" t="s">
        <v>1440</v>
      </c>
      <c r="C24" s="1114" t="s">
        <v>1450</v>
      </c>
      <c r="D24" s="1115"/>
      <c r="E24" s="1137">
        <v>0.5</v>
      </c>
      <c r="F24" s="1116"/>
      <c r="G24" s="1117"/>
      <c r="H24" s="1088"/>
      <c r="I24" s="1088"/>
    </row>
    <row r="25" spans="1:9" s="1530" customFormat="1" ht="19.5" customHeight="1">
      <c r="A25" s="4096"/>
      <c r="B25" s="4096"/>
      <c r="C25" s="1114" t="s">
        <v>1451</v>
      </c>
      <c r="D25" s="1115"/>
      <c r="E25" s="1137">
        <v>1.1000000000000001</v>
      </c>
      <c r="F25" s="1116"/>
      <c r="G25" s="1117"/>
      <c r="H25" s="1088"/>
      <c r="I25" s="1088"/>
    </row>
    <row r="26" spans="1:9" s="1530" customFormat="1" ht="19.5" customHeight="1">
      <c r="A26" s="4096"/>
      <c r="B26" s="4096"/>
      <c r="C26" s="1114" t="s">
        <v>1452</v>
      </c>
      <c r="D26" s="1115"/>
      <c r="E26" s="1137">
        <v>1.1000000000000001</v>
      </c>
      <c r="F26" s="1116"/>
      <c r="G26" s="1117"/>
      <c r="H26" s="1088"/>
      <c r="I26" s="1088"/>
    </row>
    <row r="27" spans="1:9" s="1530" customFormat="1" ht="19.5" customHeight="1">
      <c r="A27" s="4096"/>
      <c r="B27" s="4096"/>
      <c r="C27" s="1114" t="s">
        <v>1453</v>
      </c>
      <c r="D27" s="1115"/>
      <c r="E27" s="1137">
        <v>0.9</v>
      </c>
      <c r="F27" s="1116" t="s">
        <v>1454</v>
      </c>
      <c r="G27" s="1117"/>
      <c r="H27" s="1088"/>
      <c r="I27" s="1088"/>
    </row>
    <row r="28" spans="1:9" s="1530" customFormat="1" ht="19.5" customHeight="1">
      <c r="A28" s="4096"/>
      <c r="B28" s="4096"/>
      <c r="C28" s="1114" t="s">
        <v>1455</v>
      </c>
      <c r="D28" s="1115"/>
      <c r="E28" s="1137">
        <v>0.9</v>
      </c>
      <c r="F28" s="1116" t="s">
        <v>1456</v>
      </c>
      <c r="G28" s="1117"/>
      <c r="H28" s="1088"/>
      <c r="I28" s="1088"/>
    </row>
    <row r="29" spans="1:9" s="1530" customFormat="1" ht="19.5" customHeight="1">
      <c r="A29" s="4096"/>
      <c r="B29" s="4096"/>
      <c r="C29" s="1114" t="s">
        <v>1457</v>
      </c>
      <c r="D29" s="1115"/>
      <c r="E29" s="1137">
        <v>0.9</v>
      </c>
      <c r="F29" s="1116" t="s">
        <v>1458</v>
      </c>
      <c r="G29" s="1117"/>
      <c r="H29" s="1088"/>
      <c r="I29" s="1088"/>
    </row>
    <row r="30" spans="1:9" s="1530" customFormat="1" ht="19.5" customHeight="1">
      <c r="A30" s="4096"/>
      <c r="B30" s="4096"/>
      <c r="C30" s="1114" t="s">
        <v>1459</v>
      </c>
      <c r="D30" s="1115"/>
      <c r="E30" s="1137">
        <v>0.9</v>
      </c>
      <c r="F30" s="1116" t="s">
        <v>1460</v>
      </c>
      <c r="G30" s="1117"/>
      <c r="H30" s="1088"/>
      <c r="I30" s="1088"/>
    </row>
    <row r="31" spans="1:9" s="1530" customFormat="1" ht="19.5" customHeight="1">
      <c r="A31" s="4096"/>
      <c r="B31" s="4096"/>
      <c r="C31" s="1114" t="s">
        <v>1461</v>
      </c>
      <c r="D31" s="1115"/>
      <c r="E31" s="1137">
        <v>0.8</v>
      </c>
      <c r="F31" s="1116" t="s">
        <v>1462</v>
      </c>
      <c r="G31" s="1117"/>
      <c r="H31" s="1088"/>
      <c r="I31" s="1088"/>
    </row>
    <row r="32" spans="1:9" s="1530" customFormat="1" ht="19.5" customHeight="1">
      <c r="A32" s="4096"/>
      <c r="B32" s="4096"/>
      <c r="C32" s="1114" t="s">
        <v>1463</v>
      </c>
      <c r="D32" s="1115"/>
      <c r="E32" s="1137">
        <v>0.8</v>
      </c>
      <c r="F32" s="1116" t="s">
        <v>1464</v>
      </c>
      <c r="G32" s="1117"/>
      <c r="H32" s="1088"/>
      <c r="I32" s="1088"/>
    </row>
    <row r="33" spans="1:9" s="1530" customFormat="1" ht="19.5" customHeight="1">
      <c r="A33" s="4096" t="s">
        <v>1465</v>
      </c>
      <c r="B33" s="1137" t="s">
        <v>1437</v>
      </c>
      <c r="C33" s="1114" t="s">
        <v>1466</v>
      </c>
      <c r="D33" s="1115"/>
      <c r="E33" s="1137">
        <v>1</v>
      </c>
      <c r="F33" s="1116" t="s">
        <v>1467</v>
      </c>
      <c r="G33" s="1117"/>
      <c r="H33" s="1088"/>
      <c r="I33" s="1088"/>
    </row>
    <row r="34" spans="1:9" s="1530" customFormat="1" ht="19.5" customHeight="1">
      <c r="A34" s="4096"/>
      <c r="B34" s="1137" t="s">
        <v>1440</v>
      </c>
      <c r="C34" s="1114" t="s">
        <v>1468</v>
      </c>
      <c r="D34" s="1115"/>
      <c r="E34" s="1137">
        <v>1.5</v>
      </c>
      <c r="F34" s="1116" t="s">
        <v>1469</v>
      </c>
      <c r="G34" s="1117"/>
      <c r="H34" s="1088"/>
      <c r="I34" s="1088"/>
    </row>
    <row r="35" spans="1:9" s="1530" customFormat="1" ht="19.5" customHeight="1">
      <c r="A35" s="4096" t="s">
        <v>1423</v>
      </c>
      <c r="B35" s="1137" t="s">
        <v>1437</v>
      </c>
      <c r="C35" s="1114" t="s">
        <v>1470</v>
      </c>
      <c r="D35" s="1115"/>
      <c r="E35" s="1137">
        <v>1</v>
      </c>
      <c r="F35" s="1116" t="s">
        <v>1471</v>
      </c>
      <c r="G35" s="1117"/>
      <c r="H35" s="1088"/>
      <c r="I35" s="1088"/>
    </row>
    <row r="36" spans="1:9" s="1530" customFormat="1" ht="19.5" customHeight="1">
      <c r="A36" s="4096"/>
      <c r="B36" s="4096" t="s">
        <v>1440</v>
      </c>
      <c r="C36" s="1114" t="s">
        <v>1472</v>
      </c>
      <c r="D36" s="1115"/>
      <c r="E36" s="1137">
        <v>1</v>
      </c>
      <c r="F36" s="1116" t="s">
        <v>1473</v>
      </c>
      <c r="G36" s="1117"/>
      <c r="H36" s="1088"/>
      <c r="I36" s="1088"/>
    </row>
    <row r="37" spans="1:9" s="1530" customFormat="1" ht="19.5" customHeight="1">
      <c r="A37" s="4096"/>
      <c r="B37" s="4096"/>
      <c r="C37" s="1114" t="s">
        <v>1474</v>
      </c>
      <c r="D37" s="1115"/>
      <c r="E37" s="1137">
        <v>1.5</v>
      </c>
      <c r="F37" s="1116" t="s">
        <v>1475</v>
      </c>
      <c r="G37" s="1117"/>
      <c r="H37" s="1088"/>
      <c r="I37" s="1088"/>
    </row>
    <row r="38" spans="1:9" s="1530" customFormat="1" ht="19.5" customHeight="1">
      <c r="A38" s="4096"/>
      <c r="B38" s="4096"/>
      <c r="C38" s="1114" t="s">
        <v>1476</v>
      </c>
      <c r="D38" s="1115"/>
      <c r="E38" s="1137">
        <v>1</v>
      </c>
      <c r="F38" s="1116" t="s">
        <v>1477</v>
      </c>
      <c r="G38" s="1117"/>
      <c r="H38" s="1088"/>
      <c r="I38" s="1088"/>
    </row>
    <row r="39" spans="1:9" s="1530" customFormat="1" ht="19.5" customHeight="1">
      <c r="A39" s="4096"/>
      <c r="B39" s="409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096" t="s">
        <v>1492</v>
      </c>
      <c r="C61" s="1051" t="s">
        <v>1493</v>
      </c>
      <c r="D61" s="1051" t="s">
        <v>1494</v>
      </c>
      <c r="E61" s="1122">
        <v>0.5</v>
      </c>
      <c r="F61" s="1137">
        <v>80</v>
      </c>
      <c r="H61" s="1088">
        <f>SUMIF(C59:C119,基准地价!C8,E59:E119)</f>
        <v>0</v>
      </c>
    </row>
    <row r="62" spans="1:8" s="1088" customFormat="1" ht="24">
      <c r="A62" s="1137">
        <v>2</v>
      </c>
      <c r="B62" s="4096"/>
      <c r="C62" s="1051" t="s">
        <v>1495</v>
      </c>
      <c r="D62" s="1051" t="s">
        <v>1496</v>
      </c>
      <c r="E62" s="1122">
        <v>0.5</v>
      </c>
      <c r="F62" s="1137">
        <v>80</v>
      </c>
    </row>
    <row r="63" spans="1:8" s="1088" customFormat="1" ht="36">
      <c r="A63" s="1137">
        <v>3</v>
      </c>
      <c r="B63" s="4096"/>
      <c r="C63" s="1051" t="s">
        <v>1497</v>
      </c>
      <c r="D63" s="1051" t="s">
        <v>1498</v>
      </c>
      <c r="E63" s="1122">
        <v>0.5</v>
      </c>
      <c r="F63" s="1137">
        <v>80</v>
      </c>
    </row>
    <row r="64" spans="1:8" s="1088" customFormat="1" ht="36">
      <c r="A64" s="1137">
        <v>4</v>
      </c>
      <c r="B64" s="4096"/>
      <c r="C64" s="1051" t="s">
        <v>1499</v>
      </c>
      <c r="D64" s="1051" t="s">
        <v>1500</v>
      </c>
      <c r="E64" s="1122">
        <v>0.4</v>
      </c>
      <c r="F64" s="1137">
        <v>60</v>
      </c>
    </row>
    <row r="65" spans="1:6" s="1088" customFormat="1" ht="36">
      <c r="A65" s="1137">
        <v>5</v>
      </c>
      <c r="B65" s="4096"/>
      <c r="C65" s="1051" t="s">
        <v>1501</v>
      </c>
      <c r="D65" s="1051" t="s">
        <v>1502</v>
      </c>
      <c r="E65" s="1122">
        <v>0.2</v>
      </c>
      <c r="F65" s="1137">
        <v>30</v>
      </c>
    </row>
    <row r="66" spans="1:6" s="1088" customFormat="1" ht="36">
      <c r="A66" s="1137">
        <v>6</v>
      </c>
      <c r="B66" s="4096"/>
      <c r="C66" s="1051" t="s">
        <v>1503</v>
      </c>
      <c r="D66" s="1051" t="s">
        <v>1504</v>
      </c>
      <c r="E66" s="1122">
        <v>0.3</v>
      </c>
      <c r="F66" s="1137">
        <v>50</v>
      </c>
    </row>
    <row r="67" spans="1:6" s="1088" customFormat="1" ht="36">
      <c r="A67" s="1137">
        <v>7</v>
      </c>
      <c r="B67" s="4096"/>
      <c r="C67" s="1051" t="s">
        <v>1505</v>
      </c>
      <c r="D67" s="1051" t="s">
        <v>1506</v>
      </c>
      <c r="E67" s="1122">
        <v>0.2</v>
      </c>
      <c r="F67" s="1137">
        <v>30</v>
      </c>
    </row>
    <row r="68" spans="1:6" s="1088" customFormat="1" ht="36">
      <c r="A68" s="1137">
        <v>8</v>
      </c>
      <c r="B68" s="4096"/>
      <c r="C68" s="1051" t="s">
        <v>1507</v>
      </c>
      <c r="D68" s="1051" t="s">
        <v>1508</v>
      </c>
      <c r="E68" s="1122">
        <v>0.2</v>
      </c>
      <c r="F68" s="1137">
        <v>30</v>
      </c>
    </row>
    <row r="69" spans="1:6" s="1088" customFormat="1" ht="36">
      <c r="A69" s="1137">
        <v>9</v>
      </c>
      <c r="B69" s="4096"/>
      <c r="C69" s="1051" t="s">
        <v>1509</v>
      </c>
      <c r="D69" s="1051" t="s">
        <v>1510</v>
      </c>
      <c r="E69" s="1122">
        <v>0.2</v>
      </c>
      <c r="F69" s="1137">
        <v>30</v>
      </c>
    </row>
    <row r="70" spans="1:6" s="1088" customFormat="1" ht="48">
      <c r="A70" s="1137">
        <v>10</v>
      </c>
      <c r="B70" s="4096"/>
      <c r="C70" s="1051" t="s">
        <v>1511</v>
      </c>
      <c r="D70" s="1051" t="s">
        <v>1512</v>
      </c>
      <c r="E70" s="1122">
        <v>0.2</v>
      </c>
      <c r="F70" s="1137">
        <v>30</v>
      </c>
    </row>
    <row r="71" spans="1:6" s="1088" customFormat="1" ht="48">
      <c r="A71" s="1137">
        <v>11</v>
      </c>
      <c r="B71" s="4096"/>
      <c r="C71" s="1051" t="s">
        <v>1513</v>
      </c>
      <c r="D71" s="1051" t="s">
        <v>1514</v>
      </c>
      <c r="E71" s="1122">
        <v>0.2</v>
      </c>
      <c r="F71" s="1137">
        <v>30</v>
      </c>
    </row>
    <row r="72" spans="1:6" s="1088" customFormat="1" ht="36">
      <c r="A72" s="1137">
        <v>12</v>
      </c>
      <c r="B72" s="4096"/>
      <c r="C72" s="1051" t="s">
        <v>1515</v>
      </c>
      <c r="D72" s="1051" t="s">
        <v>1516</v>
      </c>
      <c r="E72" s="1122">
        <v>0.5</v>
      </c>
      <c r="F72" s="1137">
        <v>80</v>
      </c>
    </row>
    <row r="73" spans="1:6" s="1088" customFormat="1" ht="24">
      <c r="A73" s="1137">
        <v>13</v>
      </c>
      <c r="B73" s="4096"/>
      <c r="C73" s="1051" t="s">
        <v>1517</v>
      </c>
      <c r="D73" s="1051" t="s">
        <v>1518</v>
      </c>
      <c r="E73" s="1122">
        <v>0.4</v>
      </c>
      <c r="F73" s="1137">
        <v>60</v>
      </c>
    </row>
    <row r="74" spans="1:6" s="1088" customFormat="1" ht="24">
      <c r="A74" s="1137">
        <v>14</v>
      </c>
      <c r="B74" s="4096"/>
      <c r="C74" s="1051" t="s">
        <v>1519</v>
      </c>
      <c r="D74" s="1051" t="s">
        <v>1520</v>
      </c>
      <c r="E74" s="1122">
        <v>0.2</v>
      </c>
      <c r="F74" s="1137">
        <v>30</v>
      </c>
    </row>
    <row r="75" spans="1:6" s="1088" customFormat="1" ht="24">
      <c r="A75" s="1137">
        <v>15</v>
      </c>
      <c r="B75" s="4096"/>
      <c r="C75" s="1051" t="s">
        <v>1521</v>
      </c>
      <c r="D75" s="1051" t="s">
        <v>1522</v>
      </c>
      <c r="E75" s="1122">
        <v>0.2</v>
      </c>
      <c r="F75" s="1137">
        <v>30</v>
      </c>
    </row>
    <row r="76" spans="1:6" s="1088" customFormat="1" ht="24">
      <c r="A76" s="1137">
        <v>16</v>
      </c>
      <c r="B76" s="4096" t="s">
        <v>1523</v>
      </c>
      <c r="C76" s="1051" t="s">
        <v>1524</v>
      </c>
      <c r="D76" s="1051" t="s">
        <v>1525</v>
      </c>
      <c r="E76" s="1122">
        <v>0.5</v>
      </c>
      <c r="F76" s="1137">
        <v>80</v>
      </c>
    </row>
    <row r="77" spans="1:6" s="1088" customFormat="1" ht="24">
      <c r="A77" s="1137">
        <v>17</v>
      </c>
      <c r="B77" s="4096"/>
      <c r="C77" s="1051" t="s">
        <v>1526</v>
      </c>
      <c r="D77" s="1051" t="s">
        <v>1527</v>
      </c>
      <c r="E77" s="1122">
        <v>0.5</v>
      </c>
      <c r="F77" s="1137">
        <v>80</v>
      </c>
    </row>
    <row r="78" spans="1:6" s="1088" customFormat="1" ht="24">
      <c r="A78" s="1137">
        <v>18</v>
      </c>
      <c r="B78" s="4096"/>
      <c r="C78" s="1051" t="s">
        <v>1528</v>
      </c>
      <c r="D78" s="1051" t="s">
        <v>1529</v>
      </c>
      <c r="E78" s="1122">
        <v>0.2</v>
      </c>
      <c r="F78" s="1137">
        <v>30</v>
      </c>
    </row>
    <row r="79" spans="1:6" s="1088" customFormat="1" ht="24">
      <c r="A79" s="1137">
        <v>19</v>
      </c>
      <c r="B79" s="4096"/>
      <c r="C79" s="1051" t="s">
        <v>1530</v>
      </c>
      <c r="D79" s="1051" t="s">
        <v>1531</v>
      </c>
      <c r="E79" s="1122">
        <v>0.5</v>
      </c>
      <c r="F79" s="1137">
        <v>80</v>
      </c>
    </row>
    <row r="80" spans="1:6" s="1088" customFormat="1" ht="36">
      <c r="A80" s="1137">
        <v>20</v>
      </c>
      <c r="B80" s="4096"/>
      <c r="C80" s="1051" t="s">
        <v>1532</v>
      </c>
      <c r="D80" s="1051" t="s">
        <v>1533</v>
      </c>
      <c r="E80" s="1122">
        <v>0.2</v>
      </c>
      <c r="F80" s="1137">
        <v>30</v>
      </c>
    </row>
    <row r="81" spans="1:6" s="1088" customFormat="1" ht="36">
      <c r="A81" s="1137">
        <v>21</v>
      </c>
      <c r="B81" s="4096"/>
      <c r="C81" s="1051" t="s">
        <v>1534</v>
      </c>
      <c r="D81" s="1051" t="s">
        <v>1535</v>
      </c>
      <c r="E81" s="1122">
        <v>0.2</v>
      </c>
      <c r="F81" s="1137">
        <v>30</v>
      </c>
    </row>
    <row r="82" spans="1:6" s="1088" customFormat="1" ht="48">
      <c r="A82" s="1137">
        <v>22</v>
      </c>
      <c r="B82" s="4096"/>
      <c r="C82" s="1051" t="s">
        <v>1536</v>
      </c>
      <c r="D82" s="1051" t="s">
        <v>1537</v>
      </c>
      <c r="E82" s="1122">
        <v>0.2</v>
      </c>
      <c r="F82" s="1137">
        <v>30</v>
      </c>
    </row>
    <row r="83" spans="1:6" s="1088" customFormat="1" ht="48">
      <c r="A83" s="1137">
        <v>23</v>
      </c>
      <c r="B83" s="4096"/>
      <c r="C83" s="1051" t="s">
        <v>1538</v>
      </c>
      <c r="D83" s="1051" t="s">
        <v>1539</v>
      </c>
      <c r="E83" s="1122">
        <v>0.2</v>
      </c>
      <c r="F83" s="1137">
        <v>30</v>
      </c>
    </row>
    <row r="84" spans="1:6" s="1088" customFormat="1" ht="36">
      <c r="A84" s="1137">
        <v>24</v>
      </c>
      <c r="B84" s="4096"/>
      <c r="C84" s="1051" t="s">
        <v>1540</v>
      </c>
      <c r="D84" s="1051" t="s">
        <v>1541</v>
      </c>
      <c r="E84" s="1122">
        <v>0.2</v>
      </c>
      <c r="F84" s="1137">
        <v>30</v>
      </c>
    </row>
    <row r="85" spans="1:6" s="1088" customFormat="1" ht="36">
      <c r="A85" s="1137">
        <v>25</v>
      </c>
      <c r="B85" s="4096"/>
      <c r="C85" s="1051" t="s">
        <v>1542</v>
      </c>
      <c r="D85" s="1051" t="s">
        <v>1543</v>
      </c>
      <c r="E85" s="1122">
        <v>0.5</v>
      </c>
      <c r="F85" s="1137">
        <v>80</v>
      </c>
    </row>
    <row r="86" spans="1:6" s="1088" customFormat="1" ht="36">
      <c r="A86" s="1137">
        <v>26</v>
      </c>
      <c r="B86" s="4096"/>
      <c r="C86" s="1051" t="s">
        <v>1544</v>
      </c>
      <c r="D86" s="1051" t="s">
        <v>1545</v>
      </c>
      <c r="E86" s="1122">
        <v>0.2</v>
      </c>
      <c r="F86" s="1137">
        <v>30</v>
      </c>
    </row>
    <row r="87" spans="1:6" s="1088" customFormat="1" ht="36">
      <c r="A87" s="1137">
        <v>27</v>
      </c>
      <c r="B87" s="4096"/>
      <c r="C87" s="1051" t="s">
        <v>1546</v>
      </c>
      <c r="D87" s="1051" t="s">
        <v>1547</v>
      </c>
      <c r="E87" s="1122">
        <v>0.2</v>
      </c>
      <c r="F87" s="1137">
        <v>30</v>
      </c>
    </row>
    <row r="88" spans="1:6" s="1088" customFormat="1" ht="36">
      <c r="A88" s="1137">
        <v>28</v>
      </c>
      <c r="B88" s="4096"/>
      <c r="C88" s="1051" t="s">
        <v>1548</v>
      </c>
      <c r="D88" s="1051" t="s">
        <v>1549</v>
      </c>
      <c r="E88" s="1122">
        <v>0.2</v>
      </c>
      <c r="F88" s="1137">
        <v>30</v>
      </c>
    </row>
    <row r="89" spans="1:6" s="1088" customFormat="1" ht="24">
      <c r="A89" s="1137">
        <v>29</v>
      </c>
      <c r="B89" s="4096"/>
      <c r="C89" s="1051" t="s">
        <v>1550</v>
      </c>
      <c r="D89" s="1051" t="s">
        <v>1551</v>
      </c>
      <c r="E89" s="1122">
        <v>0.2</v>
      </c>
      <c r="F89" s="1137">
        <v>30</v>
      </c>
    </row>
    <row r="90" spans="1:6" s="1088" customFormat="1" ht="24">
      <c r="A90" s="1137">
        <v>30</v>
      </c>
      <c r="B90" s="4096"/>
      <c r="C90" s="1051" t="s">
        <v>1552</v>
      </c>
      <c r="D90" s="1051" t="s">
        <v>1553</v>
      </c>
      <c r="E90" s="1122">
        <v>0.2</v>
      </c>
      <c r="F90" s="1137">
        <v>30</v>
      </c>
    </row>
    <row r="91" spans="1:6" s="1088" customFormat="1" ht="36">
      <c r="A91" s="1137">
        <v>31</v>
      </c>
      <c r="B91" s="4096"/>
      <c r="C91" s="1051" t="s">
        <v>1554</v>
      </c>
      <c r="D91" s="1051" t="s">
        <v>1555</v>
      </c>
      <c r="E91" s="1122">
        <v>0.2</v>
      </c>
      <c r="F91" s="1137">
        <v>30</v>
      </c>
    </row>
    <row r="92" spans="1:6" s="1088" customFormat="1" ht="24">
      <c r="A92" s="1137">
        <v>32</v>
      </c>
      <c r="B92" s="4096" t="s">
        <v>1556</v>
      </c>
      <c r="C92" s="1137" t="s">
        <v>1557</v>
      </c>
      <c r="D92" s="1051" t="s">
        <v>1558</v>
      </c>
      <c r="E92" s="1122">
        <v>0.2</v>
      </c>
      <c r="F92" s="1137">
        <v>30</v>
      </c>
    </row>
    <row r="93" spans="1:6" s="1088" customFormat="1" ht="36">
      <c r="A93" s="1137">
        <v>33</v>
      </c>
      <c r="B93" s="4096"/>
      <c r="C93" s="1137" t="s">
        <v>1559</v>
      </c>
      <c r="D93" s="1051" t="s">
        <v>1560</v>
      </c>
      <c r="E93" s="1122">
        <v>0.2</v>
      </c>
      <c r="F93" s="1137">
        <v>30</v>
      </c>
    </row>
    <row r="94" spans="1:6" s="1088" customFormat="1" ht="48">
      <c r="A94" s="1137">
        <v>34</v>
      </c>
      <c r="B94" s="4096"/>
      <c r="C94" s="1137" t="s">
        <v>1561</v>
      </c>
      <c r="D94" s="1051" t="s">
        <v>1562</v>
      </c>
      <c r="E94" s="1122">
        <v>0.2</v>
      </c>
      <c r="F94" s="1137">
        <v>30</v>
      </c>
    </row>
    <row r="95" spans="1:6" s="1088" customFormat="1" ht="36">
      <c r="A95" s="1137">
        <v>35</v>
      </c>
      <c r="B95" s="4096"/>
      <c r="C95" s="1137" t="s">
        <v>1563</v>
      </c>
      <c r="D95" s="1051" t="s">
        <v>1564</v>
      </c>
      <c r="E95" s="1122">
        <v>0.2</v>
      </c>
      <c r="F95" s="1137">
        <v>30</v>
      </c>
    </row>
    <row r="96" spans="1:6" s="1088" customFormat="1" ht="48">
      <c r="A96" s="1137">
        <v>36</v>
      </c>
      <c r="B96" s="4096"/>
      <c r="C96" s="1051" t="s">
        <v>1565</v>
      </c>
      <c r="D96" s="1051" t="s">
        <v>1566</v>
      </c>
      <c r="E96" s="1122">
        <v>0.2</v>
      </c>
      <c r="F96" s="1137">
        <v>30</v>
      </c>
    </row>
    <row r="97" spans="1:6" s="1088" customFormat="1" ht="36">
      <c r="A97" s="1137">
        <v>37</v>
      </c>
      <c r="B97" s="4096"/>
      <c r="C97" s="1137" t="s">
        <v>1567</v>
      </c>
      <c r="D97" s="1051" t="s">
        <v>1568</v>
      </c>
      <c r="E97" s="1122">
        <v>0.2</v>
      </c>
      <c r="F97" s="1137">
        <v>30</v>
      </c>
    </row>
    <row r="98" spans="1:6" s="1088" customFormat="1" ht="36">
      <c r="A98" s="1137">
        <v>38</v>
      </c>
      <c r="B98" s="4096"/>
      <c r="C98" s="1137" t="s">
        <v>1569</v>
      </c>
      <c r="D98" s="1051" t="s">
        <v>1570</v>
      </c>
      <c r="E98" s="1122">
        <v>0.2</v>
      </c>
      <c r="F98" s="1137">
        <v>30</v>
      </c>
    </row>
    <row r="99" spans="1:6" s="1088" customFormat="1" ht="36">
      <c r="A99" s="1137">
        <v>39</v>
      </c>
      <c r="B99" s="4096" t="s">
        <v>1571</v>
      </c>
      <c r="C99" s="1137" t="s">
        <v>1572</v>
      </c>
      <c r="D99" s="1051" t="s">
        <v>1573</v>
      </c>
      <c r="E99" s="1122">
        <v>0.3</v>
      </c>
      <c r="F99" s="1137">
        <v>50</v>
      </c>
    </row>
    <row r="100" spans="1:6" s="1088" customFormat="1" ht="24">
      <c r="A100" s="1137">
        <v>40</v>
      </c>
      <c r="B100" s="4096"/>
      <c r="C100" s="1137" t="s">
        <v>1574</v>
      </c>
      <c r="D100" s="1051" t="s">
        <v>1575</v>
      </c>
      <c r="E100" s="1122">
        <v>0.2</v>
      </c>
      <c r="F100" s="1137">
        <v>30</v>
      </c>
    </row>
    <row r="101" spans="1:6" s="1088" customFormat="1" ht="36">
      <c r="A101" s="1137">
        <v>41</v>
      </c>
      <c r="B101" s="409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096" t="s">
        <v>1586</v>
      </c>
      <c r="C105" s="1137" t="s">
        <v>1587</v>
      </c>
      <c r="D105" s="1051" t="s">
        <v>1588</v>
      </c>
      <c r="E105" s="1122">
        <v>0.2</v>
      </c>
      <c r="F105" s="1137">
        <v>30</v>
      </c>
    </row>
    <row r="106" spans="1:6" s="1088" customFormat="1" ht="36">
      <c r="A106" s="1137">
        <v>46</v>
      </c>
      <c r="B106" s="4096"/>
      <c r="C106" s="1137" t="s">
        <v>1589</v>
      </c>
      <c r="D106" s="1051" t="s">
        <v>1590</v>
      </c>
      <c r="E106" s="1122">
        <v>0.2</v>
      </c>
      <c r="F106" s="1137">
        <v>30</v>
      </c>
    </row>
    <row r="107" spans="1:6" s="1088" customFormat="1" ht="36">
      <c r="A107" s="1137">
        <v>47</v>
      </c>
      <c r="B107" s="4096" t="s">
        <v>1591</v>
      </c>
      <c r="C107" s="1137" t="s">
        <v>1592</v>
      </c>
      <c r="D107" s="1051" t="s">
        <v>1593</v>
      </c>
      <c r="E107" s="1122">
        <v>0.3</v>
      </c>
      <c r="F107" s="1137">
        <v>50</v>
      </c>
    </row>
    <row r="108" spans="1:6" s="1088" customFormat="1" ht="36">
      <c r="A108" s="1137">
        <v>48</v>
      </c>
      <c r="B108" s="409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096" t="s">
        <v>1602</v>
      </c>
      <c r="C111" s="1137" t="s">
        <v>1603</v>
      </c>
      <c r="D111" s="1051" t="s">
        <v>1604</v>
      </c>
      <c r="E111" s="1122">
        <v>0.2</v>
      </c>
      <c r="F111" s="1137">
        <v>30</v>
      </c>
    </row>
    <row r="112" spans="1:6" s="1088" customFormat="1" ht="24">
      <c r="A112" s="1137">
        <v>52</v>
      </c>
      <c r="B112" s="4096"/>
      <c r="C112" s="1137" t="s">
        <v>1605</v>
      </c>
      <c r="D112" s="1051" t="s">
        <v>1606</v>
      </c>
      <c r="E112" s="1122">
        <v>0.2</v>
      </c>
      <c r="F112" s="1137">
        <v>30</v>
      </c>
    </row>
    <row r="113" spans="1:14" s="1088" customFormat="1" ht="24">
      <c r="A113" s="1137">
        <v>53</v>
      </c>
      <c r="B113" s="409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096" t="s">
        <v>1615</v>
      </c>
      <c r="C116" s="1137" t="s">
        <v>1616</v>
      </c>
      <c r="D116" s="1051" t="s">
        <v>1617</v>
      </c>
      <c r="E116" s="1122">
        <v>0.2</v>
      </c>
      <c r="F116" s="1137">
        <v>30</v>
      </c>
    </row>
    <row r="117" spans="1:14" ht="36">
      <c r="A117" s="1137">
        <v>57</v>
      </c>
      <c r="B117" s="409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095" t="s">
        <v>1624</v>
      </c>
      <c r="B121" s="4095"/>
      <c r="C121" s="4095"/>
      <c r="D121" s="4095"/>
      <c r="E121" s="4095"/>
      <c r="F121" s="4095"/>
      <c r="G121" s="4095"/>
      <c r="H121" s="4095"/>
      <c r="I121" s="4095"/>
      <c r="J121" s="409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57" t="s">
        <v>1030</v>
      </c>
      <c r="B1" s="4157"/>
      <c r="C1" s="4157"/>
      <c r="D1" s="4157"/>
      <c r="E1" s="4157"/>
      <c r="F1" s="415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58" t="s">
        <v>1043</v>
      </c>
      <c r="B2" s="4158"/>
      <c r="C2" s="4158"/>
      <c r="D2" s="4158"/>
      <c r="E2" s="4158"/>
      <c r="F2" s="415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5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6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61" t="s">
        <v>2068</v>
      </c>
      <c r="B1" s="4161"/>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53" t="s">
        <v>2445</v>
      </c>
      <c r="C8" s="1740">
        <f ca="1">ROUND(F8*F10*F9*(1-F11)/10000,0)</f>
        <v>0</v>
      </c>
      <c r="D8" s="1737" t="s">
        <v>2516</v>
      </c>
      <c r="E8" s="61" t="s">
        <v>631</v>
      </c>
      <c r="F8" s="775">
        <f ca="1">INDIRECT("'数据-取费表'!u"&amp;$G$1)</f>
        <v>0</v>
      </c>
      <c r="G8" s="1527"/>
      <c r="H8" s="2357" t="s">
        <v>1815</v>
      </c>
      <c r="I8" s="4153" t="s">
        <v>2445</v>
      </c>
      <c r="J8" s="773">
        <f ca="1">ROUND(M8*M10*M9*(1-M11)/10000,0)</f>
        <v>0</v>
      </c>
      <c r="K8" s="339" t="s">
        <v>2516</v>
      </c>
      <c r="L8" s="774" t="s">
        <v>1729</v>
      </c>
      <c r="M8" s="775">
        <f ca="1">INDIRECT("'数据-取费表'!z"&amp;$G$1)</f>
        <v>0</v>
      </c>
    </row>
    <row r="9" spans="1:25" ht="18" customHeight="1">
      <c r="A9" s="2353"/>
      <c r="B9" s="4154"/>
      <c r="C9" s="1741"/>
      <c r="D9" s="1738"/>
      <c r="E9" s="61" t="s">
        <v>632</v>
      </c>
      <c r="F9" s="775">
        <f ca="1">IF(INDIRECT("'数据-取费表'!ah"&amp;$G$1)="",INDIRECT("'数据-取费表'!k"&amp;$G$1),INDIRECT("'数据-取费表'!ah"&amp;$G$1))</f>
        <v>0</v>
      </c>
      <c r="G9" s="1527"/>
      <c r="H9" s="2342"/>
      <c r="I9" s="4154"/>
      <c r="J9" s="778"/>
      <c r="K9" s="779"/>
      <c r="L9" s="774" t="s">
        <v>1730</v>
      </c>
      <c r="M9" s="775">
        <f ca="1">F9</f>
        <v>0</v>
      </c>
    </row>
    <row r="10" spans="1:25" ht="18" customHeight="1">
      <c r="A10" s="2346"/>
      <c r="B10" s="4155"/>
      <c r="C10" s="1741"/>
      <c r="D10" s="1738"/>
      <c r="E10" s="61" t="s">
        <v>633</v>
      </c>
      <c r="F10" s="775">
        <f ca="1">INDIRECT("'数据-取费表'!ai"&amp;$G$1)</f>
        <v>0</v>
      </c>
      <c r="G10" s="1527"/>
      <c r="H10" s="2342"/>
      <c r="I10" s="4155"/>
      <c r="J10" s="778"/>
      <c r="K10" s="779"/>
      <c r="L10" s="774" t="s">
        <v>1731</v>
      </c>
      <c r="M10" s="775">
        <f ca="1">INDIRECT("'数据-取费表'!ai"&amp;$G$1)</f>
        <v>0</v>
      </c>
    </row>
    <row r="11" spans="1:25" ht="18" customHeight="1">
      <c r="A11" s="776"/>
      <c r="B11" s="4156"/>
      <c r="C11" s="1741"/>
      <c r="D11" s="1738"/>
      <c r="E11" s="61" t="s">
        <v>634</v>
      </c>
      <c r="F11" s="784">
        <f ca="1">INDIRECT("'数据-取费表'!w"&amp;$G$1)</f>
        <v>0</v>
      </c>
      <c r="G11" s="1527"/>
      <c r="H11" s="2358"/>
      <c r="I11" s="4155"/>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62"/>
      <c r="J36" s="1962"/>
      <c r="K36" s="1963"/>
      <c r="L36" s="1962"/>
      <c r="M36" s="1962"/>
    </row>
    <row r="37" spans="1:18" ht="18" customHeight="1">
      <c r="A37" s="804"/>
      <c r="B37" s="783"/>
      <c r="C37" s="69"/>
      <c r="D37" s="805"/>
      <c r="E37" s="774" t="s">
        <v>668</v>
      </c>
      <c r="F37" s="775">
        <f ca="1">INDIRECT("'数据-取费表'!r"&amp;$G$1)</f>
        <v>0</v>
      </c>
      <c r="G37" s="1945"/>
      <c r="H37" s="1948"/>
      <c r="I37" s="4162"/>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63"/>
      <c r="L54" s="4164"/>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81" t="s">
        <v>2453</v>
      </c>
      <c r="B1" s="4182"/>
      <c r="C1" s="4183"/>
      <c r="D1" s="4184">
        <f>SUM(I10,I15,I20,I21,I23)</f>
        <v>0</v>
      </c>
      <c r="E1" s="4184"/>
      <c r="F1" s="4184"/>
      <c r="G1" s="4184"/>
      <c r="H1" s="4184"/>
      <c r="I1" s="4185"/>
    </row>
    <row r="2" spans="1:9">
      <c r="A2" s="4171" t="s">
        <v>2454</v>
      </c>
      <c r="B2" s="4172" t="s">
        <v>2455</v>
      </c>
      <c r="C2" s="4172"/>
      <c r="D2" s="2360" t="s">
        <v>2456</v>
      </c>
      <c r="E2" s="2360" t="s">
        <v>2457</v>
      </c>
      <c r="F2" s="2360" t="s">
        <v>2458</v>
      </c>
      <c r="G2" s="2360" t="s">
        <v>2459</v>
      </c>
      <c r="H2" s="2360" t="s">
        <v>2460</v>
      </c>
      <c r="I2" s="2361" t="s">
        <v>2461</v>
      </c>
    </row>
    <row r="3" spans="1:9">
      <c r="A3" s="4171"/>
      <c r="B3" s="4172" t="s">
        <v>2462</v>
      </c>
      <c r="C3" s="4172"/>
      <c r="D3" s="2362"/>
      <c r="E3" s="2360"/>
      <c r="F3" s="2363"/>
      <c r="G3" s="2363"/>
      <c r="H3" s="2364"/>
      <c r="I3" s="2365">
        <f>ROUND(D3*E3*F3*G3*H3/10000,0)</f>
        <v>0</v>
      </c>
    </row>
    <row r="4" spans="1:9">
      <c r="A4" s="4171"/>
      <c r="B4" s="4172" t="s">
        <v>2463</v>
      </c>
      <c r="C4" s="4172"/>
      <c r="D4" s="2362"/>
      <c r="E4" s="2360"/>
      <c r="F4" s="2363"/>
      <c r="G4" s="2363"/>
      <c r="H4" s="2364"/>
      <c r="I4" s="2365">
        <f t="shared" ref="I4:I9" si="0">ROUND(D4*E4*F4*G4*H4/10000,0)</f>
        <v>0</v>
      </c>
    </row>
    <row r="5" spans="1:9">
      <c r="A5" s="4171"/>
      <c r="B5" s="4172" t="s">
        <v>2464</v>
      </c>
      <c r="C5" s="4172"/>
      <c r="D5" s="2362"/>
      <c r="E5" s="2360"/>
      <c r="F5" s="2363"/>
      <c r="G5" s="2363"/>
      <c r="H5" s="2364"/>
      <c r="I5" s="2365">
        <f t="shared" si="0"/>
        <v>0</v>
      </c>
    </row>
    <row r="6" spans="1:9">
      <c r="A6" s="4171"/>
      <c r="B6" s="4172" t="s">
        <v>2465</v>
      </c>
      <c r="C6" s="4172"/>
      <c r="D6" s="2362"/>
      <c r="E6" s="2360"/>
      <c r="F6" s="2363"/>
      <c r="G6" s="2363"/>
      <c r="H6" s="2364"/>
      <c r="I6" s="2365">
        <f t="shared" si="0"/>
        <v>0</v>
      </c>
    </row>
    <row r="7" spans="1:9">
      <c r="A7" s="4171"/>
      <c r="B7" s="4172" t="s">
        <v>2466</v>
      </c>
      <c r="C7" s="4172"/>
      <c r="D7" s="2362"/>
      <c r="E7" s="2360"/>
      <c r="F7" s="2363"/>
      <c r="G7" s="2363"/>
      <c r="H7" s="2364"/>
      <c r="I7" s="2365">
        <f t="shared" si="0"/>
        <v>0</v>
      </c>
    </row>
    <row r="8" spans="1:9">
      <c r="A8" s="4171"/>
      <c r="B8" s="4172" t="s">
        <v>2467</v>
      </c>
      <c r="C8" s="4172"/>
      <c r="D8" s="2362"/>
      <c r="E8" s="2360"/>
      <c r="F8" s="2363"/>
      <c r="G8" s="2363"/>
      <c r="H8" s="2364"/>
      <c r="I8" s="2365">
        <f t="shared" si="0"/>
        <v>0</v>
      </c>
    </row>
    <row r="9" spans="1:9">
      <c r="A9" s="4171"/>
      <c r="B9" s="4172" t="s">
        <v>2468</v>
      </c>
      <c r="C9" s="4172"/>
      <c r="D9" s="2362"/>
      <c r="E9" s="2360"/>
      <c r="F9" s="2363"/>
      <c r="G9" s="2363"/>
      <c r="H9" s="2364"/>
      <c r="I9" s="2365">
        <f t="shared" si="0"/>
        <v>0</v>
      </c>
    </row>
    <row r="10" spans="1:9">
      <c r="A10" s="4171"/>
      <c r="B10" s="4173" t="s">
        <v>2469</v>
      </c>
      <c r="C10" s="4173"/>
      <c r="D10" s="2366">
        <v>527</v>
      </c>
      <c r="E10" s="2366" t="e">
        <f>ROUND(D1*10000/D10/H9,0)</f>
        <v>#DIV/0!</v>
      </c>
      <c r="F10" s="2367"/>
      <c r="G10" s="2367"/>
      <c r="H10" s="2368"/>
      <c r="I10" s="2369">
        <f>SUM(I3:I9)</f>
        <v>0</v>
      </c>
    </row>
    <row r="11" spans="1:9" ht="14.25">
      <c r="A11" s="4171" t="s">
        <v>2470</v>
      </c>
      <c r="B11" s="4172" t="s">
        <v>2471</v>
      </c>
      <c r="C11" s="4172"/>
      <c r="D11" s="2362" t="s">
        <v>2472</v>
      </c>
      <c r="E11" s="2362" t="s">
        <v>2473</v>
      </c>
      <c r="F11" s="2363" t="s">
        <v>2474</v>
      </c>
      <c r="G11" s="2363" t="s">
        <v>2475</v>
      </c>
      <c r="H11" s="2370" t="s">
        <v>2476</v>
      </c>
      <c r="I11" s="2361" t="s">
        <v>2477</v>
      </c>
    </row>
    <row r="12" spans="1:9">
      <c r="A12" s="4171"/>
      <c r="B12" s="4172" t="s">
        <v>2478</v>
      </c>
      <c r="C12" s="4172"/>
      <c r="D12" s="2362"/>
      <c r="E12" s="2362"/>
      <c r="F12" s="2363"/>
      <c r="G12" s="2364"/>
      <c r="H12" s="2371"/>
      <c r="I12" s="2361">
        <f>ROUND(D12*E12*F12*G12/10000,0)</f>
        <v>0</v>
      </c>
    </row>
    <row r="13" spans="1:9">
      <c r="A13" s="4171"/>
      <c r="B13" s="4172" t="s">
        <v>2479</v>
      </c>
      <c r="C13" s="4172"/>
      <c r="D13" s="2362"/>
      <c r="E13" s="2362"/>
      <c r="F13" s="2363"/>
      <c r="G13" s="2364"/>
      <c r="H13" s="2371"/>
      <c r="I13" s="2361">
        <f>ROUND(D13*E13*F13*G13/10000,0)</f>
        <v>0</v>
      </c>
    </row>
    <row r="14" spans="1:9">
      <c r="A14" s="4171"/>
      <c r="B14" s="4172" t="s">
        <v>2480</v>
      </c>
      <c r="C14" s="4172"/>
      <c r="D14" s="2362"/>
      <c r="E14" s="2362"/>
      <c r="F14" s="2363"/>
      <c r="G14" s="2364"/>
      <c r="H14" s="2371"/>
      <c r="I14" s="2361">
        <f>ROUND(D14*E14*F14*G14/10000,0)</f>
        <v>0</v>
      </c>
    </row>
    <row r="15" spans="1:9">
      <c r="A15" s="4171"/>
      <c r="B15" s="4173" t="s">
        <v>2469</v>
      </c>
      <c r="C15" s="4173"/>
      <c r="D15" s="2366"/>
      <c r="E15" s="2366">
        <f>SUM(E12:E14)</f>
        <v>0</v>
      </c>
      <c r="F15" s="2367"/>
      <c r="G15" s="2364"/>
      <c r="H15" s="2371"/>
      <c r="I15" s="2372">
        <f>SUM(I12:I14)</f>
        <v>0</v>
      </c>
    </row>
    <row r="16" spans="1:9" ht="24">
      <c r="A16" s="4171" t="s">
        <v>2481</v>
      </c>
      <c r="B16" s="4172" t="s">
        <v>2482</v>
      </c>
      <c r="C16" s="4172"/>
      <c r="D16" s="2362" t="s">
        <v>2483</v>
      </c>
      <c r="E16" s="2373" t="s">
        <v>2484</v>
      </c>
      <c r="F16" s="2363" t="s">
        <v>2485</v>
      </c>
      <c r="G16" s="2364" t="s">
        <v>2475</v>
      </c>
      <c r="H16" s="2370" t="s">
        <v>2476</v>
      </c>
      <c r="I16" s="2361" t="s">
        <v>2477</v>
      </c>
    </row>
    <row r="17" spans="1:9" ht="14.25">
      <c r="A17" s="4171"/>
      <c r="B17" s="4172" t="s">
        <v>2486</v>
      </c>
      <c r="C17" s="4172"/>
      <c r="D17" s="2362"/>
      <c r="E17" s="2362"/>
      <c r="F17" s="2363"/>
      <c r="G17" s="2364"/>
      <c r="H17" s="2374"/>
      <c r="I17" s="2375">
        <f>ROUND(D17*E17*F17*G17/10000,0)</f>
        <v>0</v>
      </c>
    </row>
    <row r="18" spans="1:9" ht="14.25">
      <c r="A18" s="4171"/>
      <c r="B18" s="4172" t="s">
        <v>2487</v>
      </c>
      <c r="C18" s="4172"/>
      <c r="D18" s="2362"/>
      <c r="E18" s="2362"/>
      <c r="F18" s="2363"/>
      <c r="G18" s="2364"/>
      <c r="H18" s="2374"/>
      <c r="I18" s="2375">
        <f>ROUND(D18*E18*F18*G18/10000,0)</f>
        <v>0</v>
      </c>
    </row>
    <row r="19" spans="1:9" ht="14.25">
      <c r="A19" s="4171"/>
      <c r="B19" s="4172" t="s">
        <v>2488</v>
      </c>
      <c r="C19" s="4172"/>
      <c r="D19" s="2362"/>
      <c r="E19" s="2362"/>
      <c r="F19" s="2363"/>
      <c r="G19" s="2364"/>
      <c r="H19" s="2374"/>
      <c r="I19" s="2375">
        <f>ROUND(D19*E19*F19*G19/10000,0)</f>
        <v>0</v>
      </c>
    </row>
    <row r="20" spans="1:9">
      <c r="A20" s="4171"/>
      <c r="B20" s="4173" t="s">
        <v>2469</v>
      </c>
      <c r="C20" s="4173"/>
      <c r="D20" s="2366">
        <f>SUM(D17:D19)</f>
        <v>0</v>
      </c>
      <c r="E20" s="2366"/>
      <c r="F20" s="2367"/>
      <c r="G20" s="2364"/>
      <c r="H20" s="2371"/>
      <c r="I20" s="2372">
        <f>SUM(I17:I19)</f>
        <v>0</v>
      </c>
    </row>
    <row r="21" spans="1:9">
      <c r="A21" s="4171" t="s">
        <v>2489</v>
      </c>
      <c r="B21" s="4174"/>
      <c r="C21" s="4174"/>
      <c r="D21" s="4174"/>
      <c r="E21" s="4174"/>
      <c r="F21" s="4174"/>
      <c r="G21" s="4174"/>
      <c r="H21" s="2376">
        <v>0.1</v>
      </c>
      <c r="I21" s="2369">
        <f>ROUND(I10*H21,0)</f>
        <v>0</v>
      </c>
    </row>
    <row r="22" spans="1:9" ht="14.25">
      <c r="A22" s="4175" t="s">
        <v>2490</v>
      </c>
      <c r="B22" s="4176"/>
      <c r="C22" s="4177"/>
      <c r="D22" s="2377" t="s">
        <v>2491</v>
      </c>
      <c r="E22" s="2377" t="s">
        <v>2492</v>
      </c>
      <c r="F22" s="2378" t="s">
        <v>2493</v>
      </c>
      <c r="G22" s="2378" t="s">
        <v>2494</v>
      </c>
      <c r="H22" s="2370" t="s">
        <v>2495</v>
      </c>
      <c r="I22" s="2361" t="s">
        <v>2496</v>
      </c>
    </row>
    <row r="23" spans="1:9" ht="14.25" thickBot="1">
      <c r="A23" s="4178"/>
      <c r="B23" s="4179"/>
      <c r="C23" s="4180"/>
      <c r="D23" s="2379"/>
      <c r="E23" s="2379"/>
      <c r="F23" s="2379"/>
      <c r="G23" s="2380"/>
      <c r="H23" s="2381"/>
      <c r="I23" s="2382">
        <f>ROUND(E23*D23*F23*(1-G23)/10000,0)</f>
        <v>0</v>
      </c>
    </row>
    <row r="26" spans="1:9">
      <c r="A26" s="2383" t="s">
        <v>2497</v>
      </c>
      <c r="B26" s="2383"/>
      <c r="C26" s="2383"/>
      <c r="D26" s="2383"/>
      <c r="E26" s="4168">
        <f>C27-C30-C31-C32</f>
        <v>0</v>
      </c>
      <c r="F26" s="4168"/>
      <c r="G26" s="4168"/>
      <c r="H26" s="2756" t="s">
        <v>2823</v>
      </c>
    </row>
    <row r="27" spans="1:9">
      <c r="A27" s="2384">
        <v>1</v>
      </c>
      <c r="B27" s="2385" t="s">
        <v>2498</v>
      </c>
      <c r="C27" s="2385"/>
      <c r="D27" s="2385"/>
      <c r="E27" s="4169"/>
      <c r="F27" s="4169"/>
      <c r="G27" s="4169"/>
    </row>
    <row r="28" spans="1:9">
      <c r="A28" s="2386" t="s">
        <v>2499</v>
      </c>
      <c r="B28" s="2385" t="s">
        <v>2500</v>
      </c>
      <c r="C28" s="2385"/>
      <c r="D28" s="2385"/>
      <c r="E28" s="4169"/>
      <c r="F28" s="4169"/>
      <c r="G28" s="416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170"/>
      <c r="F32" s="4170"/>
      <c r="G32" s="4170"/>
    </row>
    <row r="33" spans="1:7" hidden="1">
      <c r="A33" s="4165" t="s">
        <v>2508</v>
      </c>
      <c r="B33" s="4166"/>
      <c r="C33" s="4166"/>
      <c r="D33" s="4167"/>
      <c r="E33" s="4168"/>
      <c r="F33" s="4168"/>
      <c r="G33" s="4168"/>
    </row>
    <row r="34" spans="1:7" hidden="1">
      <c r="A34" s="2388">
        <v>1</v>
      </c>
      <c r="B34" s="2385" t="s">
        <v>2509</v>
      </c>
      <c r="C34" s="2385"/>
      <c r="D34" s="2385"/>
      <c r="E34" s="4169"/>
      <c r="F34" s="4169"/>
      <c r="G34" s="4169"/>
    </row>
    <row r="35" spans="1:7" hidden="1">
      <c r="A35" s="2388">
        <v>2</v>
      </c>
      <c r="B35" s="2385" t="s">
        <v>2510</v>
      </c>
      <c r="C35" s="2385"/>
      <c r="D35" s="2385"/>
      <c r="E35" s="4169"/>
      <c r="F35" s="4169"/>
      <c r="G35" s="4169"/>
    </row>
    <row r="36" spans="1:7" hidden="1">
      <c r="A36" s="2388">
        <v>3</v>
      </c>
      <c r="B36" s="2385" t="s">
        <v>2511</v>
      </c>
      <c r="C36" s="2385"/>
      <c r="D36" s="2385"/>
      <c r="E36" s="4169"/>
      <c r="F36" s="4169"/>
      <c r="G36" s="4169"/>
    </row>
    <row r="37" spans="1:7" hidden="1">
      <c r="A37" s="2388">
        <v>4</v>
      </c>
      <c r="B37" s="2385" t="s">
        <v>2512</v>
      </c>
      <c r="C37" s="2385"/>
      <c r="D37" s="2385"/>
      <c r="E37" s="4169"/>
      <c r="F37" s="4169"/>
      <c r="G37" s="4169"/>
    </row>
    <row r="38" spans="1:7" hidden="1">
      <c r="A38" s="4165" t="s">
        <v>2513</v>
      </c>
      <c r="B38" s="4166"/>
      <c r="C38" s="4166"/>
      <c r="D38" s="4167"/>
      <c r="E38" s="4168"/>
      <c r="F38" s="4168"/>
      <c r="G38" s="4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4694</v>
      </c>
      <c r="C2" s="3268"/>
      <c r="D2" s="3268"/>
      <c r="E2" s="3268"/>
      <c r="F2" s="3268"/>
      <c r="G2" s="3268"/>
    </row>
    <row r="3" spans="1:25" s="1942" customFormat="1" ht="18" customHeight="1">
      <c r="A3" s="1331" t="s">
        <v>1676</v>
      </c>
      <c r="B3" s="419">
        <f ca="1">ROUND(B2*10000/'数据-汇总表'!E3,0)</f>
        <v>1799</v>
      </c>
      <c r="C3" s="3268"/>
      <c r="D3" s="3268"/>
      <c r="E3" s="3268"/>
      <c r="F3" s="3268"/>
      <c r="G3" s="3268"/>
    </row>
    <row r="4" spans="1:25" s="1942" customFormat="1" ht="18" customHeight="1">
      <c r="A4" s="420" t="s">
        <v>462</v>
      </c>
      <c r="B4" s="421">
        <f ca="1">ROUND(B2*10000/'数据-汇总表'!D3,0)</f>
        <v>1799</v>
      </c>
      <c r="C4" s="3221"/>
      <c r="D4" s="3268"/>
      <c r="E4" s="3268"/>
      <c r="F4" s="3268"/>
      <c r="G4" s="3268"/>
    </row>
    <row r="5" spans="1:25" s="1942" customFormat="1" ht="18" customHeight="1" thickBot="1">
      <c r="A5" s="423"/>
      <c r="B5" s="424">
        <f ca="1">ROUND(B2/('数据-汇总表'!D3/666.67),0)</f>
        <v>120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5189</v>
      </c>
      <c r="D7" s="740"/>
      <c r="E7" s="741"/>
      <c r="F7" s="741"/>
      <c r="G7" s="2332" t="s">
        <v>3172</v>
      </c>
    </row>
    <row r="8" spans="1:25" s="2064" customFormat="1" ht="13.5" customHeight="1">
      <c r="A8" s="2323" t="s">
        <v>2423</v>
      </c>
      <c r="B8" s="2326" t="s">
        <v>2425</v>
      </c>
      <c r="C8" s="3271">
        <f t="shared" ref="C8:C9" si="0">ROUND(D8*E8/10000,0)</f>
        <v>5189</v>
      </c>
      <c r="D8" s="3338">
        <f>'数据-汇总表'!E3</f>
        <v>26088.75</v>
      </c>
      <c r="E8" s="3272">
        <f>'比较法-土地取得费'!K27</f>
        <v>1989</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113</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415</v>
      </c>
      <c r="D18" s="752"/>
      <c r="E18" s="753"/>
      <c r="F18" s="3895">
        <v>0.08</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5717</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5717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4694</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4694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32" t="s">
        <v>516</v>
      </c>
      <c r="D4" s="4133"/>
      <c r="E4" s="4190" t="s">
        <v>517</v>
      </c>
      <c r="F4" s="4191"/>
      <c r="G4" s="4132" t="s">
        <v>518</v>
      </c>
      <c r="H4" s="4133"/>
      <c r="I4" s="4132" t="s">
        <v>519</v>
      </c>
      <c r="J4" s="4133"/>
      <c r="K4" s="842" t="s">
        <v>520</v>
      </c>
      <c r="L4" s="2015"/>
      <c r="M4" s="2016"/>
      <c r="N4" s="2016"/>
      <c r="O4" s="2016"/>
      <c r="P4" s="4134" t="s">
        <v>521</v>
      </c>
      <c r="Q4" s="4135"/>
      <c r="R4" s="4120" t="s">
        <v>517</v>
      </c>
      <c r="S4" s="4121"/>
      <c r="T4" s="4120" t="s">
        <v>518</v>
      </c>
      <c r="U4" s="4121"/>
      <c r="V4" s="4140" t="s">
        <v>519</v>
      </c>
      <c r="W4" s="4140"/>
      <c r="X4" s="1502"/>
      <c r="Y4" s="4120" t="s">
        <v>521</v>
      </c>
      <c r="Z4" s="4121"/>
      <c r="AA4" s="4115" t="s">
        <v>517</v>
      </c>
      <c r="AB4" s="4115" t="s">
        <v>518</v>
      </c>
      <c r="AC4" s="4115" t="s">
        <v>519</v>
      </c>
    </row>
    <row r="5" spans="1:29" ht="15">
      <c r="A5" s="509"/>
      <c r="B5" s="510"/>
      <c r="C5" s="4143" t="s">
        <v>2897</v>
      </c>
      <c r="D5" s="4144"/>
      <c r="E5" s="4186" t="s">
        <v>2898</v>
      </c>
      <c r="F5" s="4187"/>
      <c r="G5" s="4143" t="s">
        <v>2899</v>
      </c>
      <c r="H5" s="4144"/>
      <c r="I5" s="4143" t="s">
        <v>2900</v>
      </c>
      <c r="J5" s="4144"/>
      <c r="K5" s="843"/>
      <c r="L5" s="2015"/>
      <c r="M5" s="2016"/>
      <c r="N5" s="2016"/>
      <c r="O5" s="2016"/>
      <c r="P5" s="4136"/>
      <c r="Q5" s="4137"/>
      <c r="R5" s="4122"/>
      <c r="S5" s="4123"/>
      <c r="T5" s="4122"/>
      <c r="U5" s="4123"/>
      <c r="V5" s="4140"/>
      <c r="W5" s="4140"/>
      <c r="X5" s="1502"/>
      <c r="Y5" s="4122"/>
      <c r="Z5" s="4123"/>
      <c r="AA5" s="4116"/>
      <c r="AB5" s="4116"/>
      <c r="AC5" s="4116"/>
    </row>
    <row r="6" spans="1:29" ht="15.75" thickBot="1">
      <c r="A6" s="511"/>
      <c r="B6" s="512"/>
      <c r="C6" s="4141" t="s">
        <v>2901</v>
      </c>
      <c r="D6" s="4142"/>
      <c r="E6" s="4188" t="s">
        <v>2901</v>
      </c>
      <c r="F6" s="4189"/>
      <c r="G6" s="4141" t="s">
        <v>2901</v>
      </c>
      <c r="H6" s="4142"/>
      <c r="I6" s="4141" t="s">
        <v>2901</v>
      </c>
      <c r="J6" s="4142"/>
      <c r="K6" s="843" t="s">
        <v>522</v>
      </c>
      <c r="L6" s="2015"/>
      <c r="M6" s="2016"/>
      <c r="N6" s="2016"/>
      <c r="O6" s="2016"/>
      <c r="P6" s="4138"/>
      <c r="Q6" s="4139"/>
      <c r="R6" s="4122"/>
      <c r="S6" s="4123"/>
      <c r="T6" s="4124"/>
      <c r="U6" s="4125"/>
      <c r="V6" s="4140"/>
      <c r="W6" s="4140"/>
      <c r="X6" s="1502"/>
      <c r="Y6" s="4124"/>
      <c r="Z6" s="4125"/>
      <c r="AA6" s="4117"/>
      <c r="AB6" s="4117"/>
      <c r="AC6" s="4117"/>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18" t="s">
        <v>524</v>
      </c>
      <c r="Q7" s="4127"/>
      <c r="R7" s="1503" t="s">
        <v>13</v>
      </c>
      <c r="S7" s="1504">
        <f t="shared" ref="S7:S15" si="0">F7</f>
        <v>0</v>
      </c>
      <c r="T7" s="1503" t="s">
        <v>13</v>
      </c>
      <c r="U7" s="1504">
        <f t="shared" ref="U7:U15" si="1">H7</f>
        <v>0</v>
      </c>
      <c r="V7" s="1503" t="s">
        <v>13</v>
      </c>
      <c r="W7" s="1504">
        <f t="shared" ref="W7:W15"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18" t="s">
        <v>527</v>
      </c>
      <c r="Q8" s="4119"/>
      <c r="R8" s="1503" t="s">
        <v>13</v>
      </c>
      <c r="S8" s="1504">
        <f t="shared" si="0"/>
        <v>0</v>
      </c>
      <c r="T8" s="1503" t="s">
        <v>13</v>
      </c>
      <c r="U8" s="1504">
        <f t="shared" si="1"/>
        <v>0</v>
      </c>
      <c r="V8" s="1503" t="s">
        <v>13</v>
      </c>
      <c r="W8" s="1504">
        <f t="shared" si="2"/>
        <v>0</v>
      </c>
      <c r="X8" s="1505"/>
      <c r="Y8" s="4118" t="s">
        <v>527</v>
      </c>
      <c r="Z8" s="4119"/>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26" t="s">
        <v>529</v>
      </c>
      <c r="Q9" s="1134" t="str">
        <f t="shared" ref="Q9:Q15" si="6">B9</f>
        <v>用途</v>
      </c>
      <c r="R9" s="1503" t="s">
        <v>8</v>
      </c>
      <c r="S9" s="1504">
        <f t="shared" si="0"/>
        <v>100</v>
      </c>
      <c r="T9" s="1503" t="s">
        <v>8</v>
      </c>
      <c r="U9" s="1504">
        <f t="shared" si="1"/>
        <v>100</v>
      </c>
      <c r="V9" s="1503" t="s">
        <v>8</v>
      </c>
      <c r="W9" s="1504">
        <f t="shared" si="2"/>
        <v>100</v>
      </c>
      <c r="X9" s="1505"/>
      <c r="Y9" s="4049"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26"/>
      <c r="Q11" s="1134" t="str">
        <f t="shared" si="6"/>
        <v>容积率</v>
      </c>
      <c r="R11" s="1503" t="s">
        <v>11</v>
      </c>
      <c r="S11" s="1504" t="e">
        <f t="shared" si="0"/>
        <v>#N/A</v>
      </c>
      <c r="T11" s="1503" t="s">
        <v>11</v>
      </c>
      <c r="U11" s="1504" t="e">
        <f t="shared" si="1"/>
        <v>#N/A</v>
      </c>
      <c r="V11" s="1503" t="s">
        <v>11</v>
      </c>
      <c r="W11" s="1504" t="e">
        <f t="shared" si="2"/>
        <v>#N/A</v>
      </c>
      <c r="X11" s="1505"/>
      <c r="Y11" s="4049"/>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26"/>
      <c r="Q12" s="1134">
        <f t="shared" si="6"/>
        <v>111</v>
      </c>
      <c r="R12" s="1503" t="s">
        <v>11</v>
      </c>
      <c r="S12" s="1504">
        <f t="shared" si="0"/>
        <v>100</v>
      </c>
      <c r="T12" s="1503" t="s">
        <v>11</v>
      </c>
      <c r="U12" s="1504">
        <f t="shared" si="1"/>
        <v>100</v>
      </c>
      <c r="V12" s="1503" t="s">
        <v>11</v>
      </c>
      <c r="W12" s="1504">
        <f t="shared" si="2"/>
        <v>100</v>
      </c>
      <c r="X12" s="1505"/>
      <c r="Y12" s="4049"/>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26"/>
      <c r="Q13" s="1134">
        <f t="shared" si="6"/>
        <v>111</v>
      </c>
      <c r="R13" s="1503" t="s">
        <v>11</v>
      </c>
      <c r="S13" s="1504">
        <f t="shared" si="0"/>
        <v>100</v>
      </c>
      <c r="T13" s="1503" t="s">
        <v>11</v>
      </c>
      <c r="U13" s="1504">
        <f t="shared" si="1"/>
        <v>100</v>
      </c>
      <c r="V13" s="1503" t="s">
        <v>11</v>
      </c>
      <c r="W13" s="1504">
        <f t="shared" si="2"/>
        <v>100</v>
      </c>
      <c r="X13" s="1505"/>
      <c r="Y13" s="4049"/>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26"/>
      <c r="Q14" s="1134">
        <f t="shared" si="6"/>
        <v>111</v>
      </c>
      <c r="R14" s="1503" t="s">
        <v>11</v>
      </c>
      <c r="S14" s="1504">
        <f t="shared" si="0"/>
        <v>100</v>
      </c>
      <c r="T14" s="1503" t="s">
        <v>11</v>
      </c>
      <c r="U14" s="1504">
        <f t="shared" si="1"/>
        <v>100</v>
      </c>
      <c r="V14" s="1503" t="s">
        <v>11</v>
      </c>
      <c r="W14" s="1504">
        <f t="shared" si="2"/>
        <v>100</v>
      </c>
      <c r="X14" s="1505"/>
      <c r="Y14" s="4049"/>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28" t="s">
        <v>534</v>
      </c>
      <c r="Q15" s="1507" t="str">
        <f t="shared" si="6"/>
        <v>居住社区成熟度</v>
      </c>
      <c r="R15" s="1508" t="s">
        <v>11</v>
      </c>
      <c r="S15" s="1509">
        <f t="shared" si="0"/>
        <v>100</v>
      </c>
      <c r="T15" s="1508" t="s">
        <v>11</v>
      </c>
      <c r="U15" s="1509">
        <f t="shared" si="1"/>
        <v>100</v>
      </c>
      <c r="V15" s="1508" t="s">
        <v>11</v>
      </c>
      <c r="W15" s="1509">
        <f t="shared" si="2"/>
        <v>100</v>
      </c>
      <c r="X15" s="1502"/>
      <c r="Y15" s="412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29"/>
      <c r="Q16" s="1507"/>
      <c r="R16" s="1508"/>
      <c r="S16" s="1509"/>
      <c r="T16" s="1508"/>
      <c r="U16" s="1509"/>
      <c r="V16" s="1508"/>
      <c r="W16" s="1509"/>
      <c r="X16" s="1502"/>
      <c r="Y16" s="412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29"/>
      <c r="Q17" s="1507" t="str">
        <f>B17</f>
        <v>交通便捷度</v>
      </c>
      <c r="R17" s="1508" t="s">
        <v>11</v>
      </c>
      <c r="S17" s="1509">
        <f>F17</f>
        <v>100</v>
      </c>
      <c r="T17" s="1508" t="s">
        <v>11</v>
      </c>
      <c r="U17" s="1509">
        <f>H17</f>
        <v>100</v>
      </c>
      <c r="V17" s="1508" t="s">
        <v>11</v>
      </c>
      <c r="W17" s="1509">
        <f>J17</f>
        <v>100</v>
      </c>
      <c r="X17" s="1502"/>
      <c r="Y17" s="412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29"/>
      <c r="Q18" s="1507"/>
      <c r="R18" s="1508"/>
      <c r="S18" s="1509"/>
      <c r="T18" s="1508"/>
      <c r="U18" s="1509"/>
      <c r="V18" s="1508"/>
      <c r="W18" s="1509"/>
      <c r="X18" s="1502"/>
      <c r="Y18" s="412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29"/>
      <c r="Q19" s="1507" t="str">
        <f>B19</f>
        <v>公共配套设施</v>
      </c>
      <c r="R19" s="1508" t="s">
        <v>11</v>
      </c>
      <c r="S19" s="1509">
        <f>F19</f>
        <v>100</v>
      </c>
      <c r="T19" s="1508" t="s">
        <v>11</v>
      </c>
      <c r="U19" s="1509">
        <f>H19</f>
        <v>100</v>
      </c>
      <c r="V19" s="1508" t="s">
        <v>11</v>
      </c>
      <c r="W19" s="1509">
        <f>J19</f>
        <v>100</v>
      </c>
      <c r="X19" s="1502"/>
      <c r="Y19" s="412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29"/>
      <c r="Q20" s="1507"/>
      <c r="R20" s="1508"/>
      <c r="S20" s="1509"/>
      <c r="T20" s="1508"/>
      <c r="U20" s="1509"/>
      <c r="V20" s="1508"/>
      <c r="W20" s="1509"/>
      <c r="X20" s="1502"/>
      <c r="Y20" s="412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29"/>
      <c r="Q21" s="2429" t="str">
        <f>B21</f>
        <v>基础设施水平</v>
      </c>
      <c r="R21" s="1508" t="s">
        <v>11</v>
      </c>
      <c r="S21" s="1509">
        <f>F21</f>
        <v>100</v>
      </c>
      <c r="T21" s="1508" t="s">
        <v>11</v>
      </c>
      <c r="U21" s="1509">
        <f>H21</f>
        <v>100</v>
      </c>
      <c r="V21" s="1508" t="s">
        <v>11</v>
      </c>
      <c r="W21" s="1509">
        <f>J21</f>
        <v>100</v>
      </c>
      <c r="X21" s="2431"/>
      <c r="Y21" s="412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29"/>
      <c r="Q22" s="2429"/>
      <c r="R22" s="1508"/>
      <c r="S22" s="1509"/>
      <c r="T22" s="1508"/>
      <c r="U22" s="1509"/>
      <c r="V22" s="1508"/>
      <c r="W22" s="1509"/>
      <c r="X22" s="2431"/>
      <c r="Y22" s="4129"/>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29"/>
      <c r="Q23" s="1507" t="str">
        <f>B23</f>
        <v>自然及人文环境</v>
      </c>
      <c r="R23" s="1508" t="s">
        <v>11</v>
      </c>
      <c r="S23" s="1509">
        <f>F23</f>
        <v>100</v>
      </c>
      <c r="T23" s="1508" t="s">
        <v>11</v>
      </c>
      <c r="U23" s="1509">
        <f>H23</f>
        <v>100</v>
      </c>
      <c r="V23" s="1508" t="s">
        <v>11</v>
      </c>
      <c r="W23" s="1509">
        <f>J23</f>
        <v>100</v>
      </c>
      <c r="X23" s="1502"/>
      <c r="Y23" s="412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29"/>
      <c r="Q24" s="1507"/>
      <c r="R24" s="1508"/>
      <c r="S24" s="1509"/>
      <c r="T24" s="1508"/>
      <c r="U24" s="1509"/>
      <c r="V24" s="1508"/>
      <c r="W24" s="1509"/>
      <c r="X24" s="1502"/>
      <c r="Y24" s="4129"/>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29"/>
      <c r="Q25" s="1507" t="str">
        <f t="shared" ref="Q25:Q46" si="11">B25</f>
        <v>楼层-1</v>
      </c>
      <c r="R25" s="1508" t="s">
        <v>11</v>
      </c>
      <c r="S25" s="1509">
        <f>F25</f>
        <v>100</v>
      </c>
      <c r="T25" s="1508" t="s">
        <v>11</v>
      </c>
      <c r="U25" s="1509">
        <f>H25</f>
        <v>100</v>
      </c>
      <c r="V25" s="1508" t="s">
        <v>11</v>
      </c>
      <c r="W25" s="1509">
        <f>J25</f>
        <v>100</v>
      </c>
      <c r="X25" s="1502"/>
      <c r="Y25" s="412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29"/>
      <c r="Q26" s="1507" t="str">
        <f t="shared" si="11"/>
        <v>朝向</v>
      </c>
      <c r="R26" s="1508" t="s">
        <v>11</v>
      </c>
      <c r="S26" s="1509">
        <f>F26</f>
        <v>100</v>
      </c>
      <c r="T26" s="1508" t="s">
        <v>11</v>
      </c>
      <c r="U26" s="1509">
        <f>H26</f>
        <v>100</v>
      </c>
      <c r="V26" s="1508" t="s">
        <v>11</v>
      </c>
      <c r="W26" s="1509">
        <f>J26</f>
        <v>100</v>
      </c>
      <c r="X26" s="1502"/>
      <c r="Y26" s="412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29"/>
      <c r="Q27" s="1134" t="str">
        <f t="shared" si="11"/>
        <v>道路级别</v>
      </c>
      <c r="R27" s="1503" t="s">
        <v>11</v>
      </c>
      <c r="S27" s="1504">
        <f>F27</f>
        <v>100</v>
      </c>
      <c r="T27" s="1503" t="s">
        <v>11</v>
      </c>
      <c r="U27" s="1504">
        <f>H27</f>
        <v>100</v>
      </c>
      <c r="V27" s="1503" t="s">
        <v>11</v>
      </c>
      <c r="W27" s="1504">
        <f>J27</f>
        <v>100</v>
      </c>
      <c r="X27" s="1505"/>
      <c r="Y27" s="412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29"/>
      <c r="Q28" s="1507">
        <f t="shared" si="11"/>
        <v>111</v>
      </c>
      <c r="R28" s="1508" t="s">
        <v>11</v>
      </c>
      <c r="S28" s="1509">
        <f t="shared" ref="S28:S46" si="12">F28</f>
        <v>100</v>
      </c>
      <c r="T28" s="1508" t="s">
        <v>11</v>
      </c>
      <c r="U28" s="1509">
        <f t="shared" ref="U28:U46" si="13">H28</f>
        <v>100</v>
      </c>
      <c r="V28" s="1508" t="s">
        <v>11</v>
      </c>
      <c r="W28" s="1509">
        <f t="shared" ref="W28:W46" si="14">J28</f>
        <v>100</v>
      </c>
      <c r="X28" s="1502"/>
      <c r="Y28" s="412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29"/>
      <c r="Q29" s="1507">
        <f t="shared" si="11"/>
        <v>111</v>
      </c>
      <c r="R29" s="1508" t="s">
        <v>11</v>
      </c>
      <c r="S29" s="1509">
        <f t="shared" si="12"/>
        <v>100</v>
      </c>
      <c r="T29" s="1508" t="s">
        <v>11</v>
      </c>
      <c r="U29" s="1509">
        <f t="shared" si="13"/>
        <v>100</v>
      </c>
      <c r="V29" s="1508" t="s">
        <v>11</v>
      </c>
      <c r="W29" s="1509">
        <f t="shared" si="14"/>
        <v>100</v>
      </c>
      <c r="X29" s="1502"/>
      <c r="Y29" s="412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29"/>
      <c r="Q30" s="1507">
        <f t="shared" si="11"/>
        <v>111</v>
      </c>
      <c r="R30" s="1508" t="s">
        <v>11</v>
      </c>
      <c r="S30" s="1509">
        <f t="shared" si="12"/>
        <v>100</v>
      </c>
      <c r="T30" s="1508" t="s">
        <v>11</v>
      </c>
      <c r="U30" s="1509">
        <f t="shared" si="13"/>
        <v>100</v>
      </c>
      <c r="V30" s="1508" t="s">
        <v>11</v>
      </c>
      <c r="W30" s="1509">
        <f t="shared" si="14"/>
        <v>100</v>
      </c>
      <c r="X30" s="1502"/>
      <c r="Y30" s="412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29"/>
      <c r="Q31" s="1507">
        <f t="shared" si="11"/>
        <v>111</v>
      </c>
      <c r="R31" s="1508" t="s">
        <v>11</v>
      </c>
      <c r="S31" s="1509">
        <f t="shared" si="12"/>
        <v>100</v>
      </c>
      <c r="T31" s="1508" t="s">
        <v>11</v>
      </c>
      <c r="U31" s="1509">
        <f t="shared" si="13"/>
        <v>100</v>
      </c>
      <c r="V31" s="1508" t="s">
        <v>11</v>
      </c>
      <c r="W31" s="1509">
        <f t="shared" si="14"/>
        <v>100</v>
      </c>
      <c r="X31" s="1502"/>
      <c r="Y31" s="4129"/>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30" t="s">
        <v>544</v>
      </c>
      <c r="Q32" s="1507" t="str">
        <f t="shared" si="11"/>
        <v>建筑类型</v>
      </c>
      <c r="R32" s="1508" t="s">
        <v>11</v>
      </c>
      <c r="S32" s="1509">
        <f t="shared" si="12"/>
        <v>100</v>
      </c>
      <c r="T32" s="1508" t="s">
        <v>11</v>
      </c>
      <c r="U32" s="1509">
        <f t="shared" si="13"/>
        <v>100</v>
      </c>
      <c r="V32" s="1508" t="s">
        <v>11</v>
      </c>
      <c r="W32" s="1509">
        <f t="shared" si="14"/>
        <v>100</v>
      </c>
      <c r="X32" s="1502"/>
      <c r="Y32" s="413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31"/>
      <c r="Q33" s="1536" t="str">
        <f t="shared" si="11"/>
        <v>项目建筑规模</v>
      </c>
      <c r="R33" s="1512" t="s">
        <v>11</v>
      </c>
      <c r="S33" s="1513" t="e">
        <f t="shared" si="12"/>
        <v>#N/A</v>
      </c>
      <c r="T33" s="1512" t="s">
        <v>11</v>
      </c>
      <c r="U33" s="1513" t="e">
        <f t="shared" si="13"/>
        <v>#N/A</v>
      </c>
      <c r="V33" s="1512" t="s">
        <v>11</v>
      </c>
      <c r="W33" s="1513" t="e">
        <f t="shared" si="14"/>
        <v>#N/A</v>
      </c>
      <c r="X33" s="1514"/>
      <c r="Y33" s="413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31"/>
      <c r="Q34" s="1507" t="str">
        <f t="shared" si="11"/>
        <v>建筑结构</v>
      </c>
      <c r="R34" s="1508" t="s">
        <v>11</v>
      </c>
      <c r="S34" s="1509">
        <f t="shared" si="12"/>
        <v>100</v>
      </c>
      <c r="T34" s="1508" t="s">
        <v>11</v>
      </c>
      <c r="U34" s="1509">
        <f t="shared" si="13"/>
        <v>100</v>
      </c>
      <c r="V34" s="1508" t="s">
        <v>11</v>
      </c>
      <c r="W34" s="1509">
        <f t="shared" si="14"/>
        <v>100</v>
      </c>
      <c r="X34" s="1502"/>
      <c r="Y34" s="413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31"/>
      <c r="Q35" s="1507" t="str">
        <f t="shared" si="11"/>
        <v>建筑品质</v>
      </c>
      <c r="R35" s="1508" t="s">
        <v>11</v>
      </c>
      <c r="S35" s="1509">
        <f t="shared" si="12"/>
        <v>100</v>
      </c>
      <c r="T35" s="1508" t="s">
        <v>11</v>
      </c>
      <c r="U35" s="1509">
        <f t="shared" si="13"/>
        <v>100</v>
      </c>
      <c r="V35" s="1508" t="s">
        <v>11</v>
      </c>
      <c r="W35" s="1509">
        <f t="shared" si="14"/>
        <v>100</v>
      </c>
      <c r="X35" s="1502"/>
      <c r="Y35" s="413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31"/>
      <c r="Q36" s="1507" t="str">
        <f t="shared" si="11"/>
        <v>公共部分装修</v>
      </c>
      <c r="R36" s="1508" t="s">
        <v>11</v>
      </c>
      <c r="S36" s="1509">
        <f t="shared" si="12"/>
        <v>100</v>
      </c>
      <c r="T36" s="1508" t="s">
        <v>11</v>
      </c>
      <c r="U36" s="1509">
        <f t="shared" si="13"/>
        <v>100</v>
      </c>
      <c r="V36" s="1508" t="s">
        <v>11</v>
      </c>
      <c r="W36" s="1509">
        <f t="shared" si="14"/>
        <v>100</v>
      </c>
      <c r="X36" s="1502"/>
      <c r="Y36" s="413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31"/>
      <c r="Q37" s="1134" t="str">
        <f t="shared" si="11"/>
        <v>成新度</v>
      </c>
      <c r="R37" s="1503" t="s">
        <v>11</v>
      </c>
      <c r="S37" s="1504" t="e">
        <f t="shared" si="12"/>
        <v>#N/A</v>
      </c>
      <c r="T37" s="1503" t="s">
        <v>11</v>
      </c>
      <c r="U37" s="1504" t="e">
        <f t="shared" si="13"/>
        <v>#N/A</v>
      </c>
      <c r="V37" s="1503" t="s">
        <v>11</v>
      </c>
      <c r="W37" s="1504" t="e">
        <f t="shared" si="14"/>
        <v>#N/A</v>
      </c>
      <c r="X37" s="1505"/>
      <c r="Y37" s="413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31" t="s">
        <v>544</v>
      </c>
      <c r="Q38" s="1507" t="str">
        <f t="shared" si="11"/>
        <v>物业管理</v>
      </c>
      <c r="R38" s="1508" t="s">
        <v>11</v>
      </c>
      <c r="S38" s="1509">
        <f t="shared" si="12"/>
        <v>100</v>
      </c>
      <c r="T38" s="1508" t="s">
        <v>11</v>
      </c>
      <c r="U38" s="1509">
        <f t="shared" si="13"/>
        <v>100</v>
      </c>
      <c r="V38" s="1508" t="s">
        <v>11</v>
      </c>
      <c r="W38" s="1509">
        <f t="shared" si="14"/>
        <v>100</v>
      </c>
      <c r="X38" s="1502"/>
      <c r="Y38" s="4131"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31"/>
      <c r="Q39" s="1507" t="str">
        <f t="shared" si="11"/>
        <v>市政基础设施</v>
      </c>
      <c r="R39" s="1508" t="s">
        <v>11</v>
      </c>
      <c r="S39" s="1509">
        <f t="shared" si="12"/>
        <v>100</v>
      </c>
      <c r="T39" s="1508" t="s">
        <v>11</v>
      </c>
      <c r="U39" s="1509">
        <f t="shared" si="13"/>
        <v>100</v>
      </c>
      <c r="V39" s="1508" t="s">
        <v>11</v>
      </c>
      <c r="W39" s="1509">
        <f t="shared" si="14"/>
        <v>100</v>
      </c>
      <c r="X39" s="1502"/>
      <c r="Y39" s="413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31"/>
      <c r="Q40" s="1507" t="str">
        <f t="shared" si="11"/>
        <v>房型</v>
      </c>
      <c r="R40" s="1508" t="s">
        <v>11</v>
      </c>
      <c r="S40" s="1509">
        <f t="shared" si="12"/>
        <v>100</v>
      </c>
      <c r="T40" s="1508" t="s">
        <v>11</v>
      </c>
      <c r="U40" s="1509">
        <f t="shared" si="13"/>
        <v>100</v>
      </c>
      <c r="V40" s="1508" t="s">
        <v>11</v>
      </c>
      <c r="W40" s="1509">
        <f t="shared" si="14"/>
        <v>100</v>
      </c>
      <c r="X40" s="1502"/>
      <c r="Y40" s="413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31"/>
      <c r="Q41" s="1536" t="str">
        <f t="shared" si="11"/>
        <v>单套/主力户型建筑面积</v>
      </c>
      <c r="R41" s="1512" t="s">
        <v>11</v>
      </c>
      <c r="S41" s="1513">
        <f t="shared" si="12"/>
        <v>100</v>
      </c>
      <c r="T41" s="1512" t="s">
        <v>11</v>
      </c>
      <c r="U41" s="1513">
        <f t="shared" si="13"/>
        <v>100</v>
      </c>
      <c r="V41" s="1512" t="s">
        <v>11</v>
      </c>
      <c r="W41" s="1513">
        <f t="shared" si="14"/>
        <v>100</v>
      </c>
      <c r="X41" s="1514"/>
      <c r="Y41" s="413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31"/>
      <c r="Q42" s="1507" t="str">
        <f t="shared" si="11"/>
        <v>内部装修</v>
      </c>
      <c r="R42" s="1508" t="s">
        <v>11</v>
      </c>
      <c r="S42" s="1509">
        <f t="shared" si="12"/>
        <v>100</v>
      </c>
      <c r="T42" s="1508" t="s">
        <v>11</v>
      </c>
      <c r="U42" s="1509">
        <f t="shared" si="13"/>
        <v>100</v>
      </c>
      <c r="V42" s="1508" t="s">
        <v>11</v>
      </c>
      <c r="W42" s="1509">
        <f t="shared" si="14"/>
        <v>100</v>
      </c>
      <c r="X42" s="1502"/>
      <c r="Y42" s="413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31"/>
      <c r="Q43" s="1507" t="str">
        <f t="shared" si="11"/>
        <v>内部装修维护情况</v>
      </c>
      <c r="R43" s="1508" t="s">
        <v>11</v>
      </c>
      <c r="S43" s="1509">
        <f t="shared" si="12"/>
        <v>100</v>
      </c>
      <c r="T43" s="1508" t="s">
        <v>11</v>
      </c>
      <c r="U43" s="1509">
        <f t="shared" si="13"/>
        <v>100</v>
      </c>
      <c r="V43" s="1508" t="s">
        <v>11</v>
      </c>
      <c r="W43" s="1509">
        <f t="shared" si="14"/>
        <v>100</v>
      </c>
      <c r="X43" s="1502"/>
      <c r="Y43" s="413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31"/>
      <c r="Q44" s="1134">
        <f t="shared" si="11"/>
        <v>111</v>
      </c>
      <c r="R44" s="1503" t="s">
        <v>11</v>
      </c>
      <c r="S44" s="1504">
        <f t="shared" si="12"/>
        <v>100</v>
      </c>
      <c r="T44" s="1503" t="s">
        <v>11</v>
      </c>
      <c r="U44" s="1504">
        <f t="shared" si="13"/>
        <v>100</v>
      </c>
      <c r="V44" s="1503" t="s">
        <v>11</v>
      </c>
      <c r="W44" s="1504">
        <f t="shared" si="14"/>
        <v>100</v>
      </c>
      <c r="X44" s="1505"/>
      <c r="Y44" s="413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31"/>
      <c r="Q45" s="1507">
        <f t="shared" si="11"/>
        <v>111</v>
      </c>
      <c r="R45" s="1508" t="s">
        <v>11</v>
      </c>
      <c r="S45" s="1509">
        <f t="shared" si="12"/>
        <v>100</v>
      </c>
      <c r="T45" s="1508" t="s">
        <v>11</v>
      </c>
      <c r="U45" s="1509">
        <f t="shared" si="13"/>
        <v>100</v>
      </c>
      <c r="V45" s="1508" t="s">
        <v>11</v>
      </c>
      <c r="W45" s="1509">
        <f t="shared" si="14"/>
        <v>100</v>
      </c>
      <c r="X45" s="1502"/>
      <c r="Y45" s="413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194"/>
      <c r="Q46" s="1507">
        <f t="shared" si="11"/>
        <v>111</v>
      </c>
      <c r="R46" s="1508" t="s">
        <v>10</v>
      </c>
      <c r="S46" s="1509">
        <f t="shared" si="12"/>
        <v>100</v>
      </c>
      <c r="T46" s="1508" t="s">
        <v>10</v>
      </c>
      <c r="U46" s="1509">
        <f t="shared" si="13"/>
        <v>100</v>
      </c>
      <c r="V46" s="1508" t="s">
        <v>10</v>
      </c>
      <c r="W46" s="1509">
        <f t="shared" si="14"/>
        <v>100</v>
      </c>
      <c r="X46" s="1502"/>
      <c r="Y46" s="4194"/>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26" t="str">
        <f>A47</f>
        <v>成交单价（元/平方米）</v>
      </c>
      <c r="Q47" s="4126"/>
      <c r="R47" s="4193">
        <f>E47</f>
        <v>0</v>
      </c>
      <c r="S47" s="4193"/>
      <c r="T47" s="4193">
        <f>G47</f>
        <v>0</v>
      </c>
      <c r="U47" s="4193"/>
      <c r="V47" s="4193">
        <f>I47</f>
        <v>0</v>
      </c>
      <c r="W47" s="4193"/>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26" t="str">
        <f>A48</f>
        <v>比较价格（元/平方米）</v>
      </c>
      <c r="Q48" s="4126"/>
      <c r="R48" s="4193" t="e">
        <f>IF(F1="售价",ROUND(PRODUCT(R47,AA7:AA46),0),ROUND(PRODUCT(R47,AA7:AA46),1))</f>
        <v>#DIV/0!</v>
      </c>
      <c r="S48" s="4193"/>
      <c r="T48" s="4193" t="e">
        <f>IF(F1="售价",ROUND(PRODUCT(T47,AB7:AB46),0),ROUND(PRODUCT(T47,AB7:AB46),1))</f>
        <v>#DIV/0!</v>
      </c>
      <c r="U48" s="4193"/>
      <c r="V48" s="4193" t="e">
        <f>IF(F1="售价",ROUND(PRODUCT(V47,AC7:AC46),0),ROUND(PRODUCT(V47,AC7:AC46),1))</f>
        <v>#DIV/0!</v>
      </c>
      <c r="W48" s="4193"/>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147" t="str">
        <f>A49</f>
        <v>估价对象XX用房的比较价格（楼面单价，元/平方米）</v>
      </c>
      <c r="Q49" s="4148"/>
      <c r="R49" s="4192" t="e">
        <f>IF(F1="售价",ROUND(IF(D48="简单平均",AVERAGE(R48:V48),R48*F48+T48*H48+V48*J48),0),ROUND(IF(D48="简单平均",AVERAGE(R48:V48),R48*F48+T48*H48+V48*J48),1))</f>
        <v>#DIV/0!</v>
      </c>
      <c r="S49" s="4192"/>
      <c r="T49" s="4192"/>
      <c r="U49" s="4192"/>
      <c r="V49" s="4192"/>
      <c r="W49" s="4192"/>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32" t="s">
        <v>516</v>
      </c>
      <c r="D4" s="4133"/>
      <c r="E4" s="4190" t="s">
        <v>517</v>
      </c>
      <c r="F4" s="4191"/>
      <c r="G4" s="4132" t="s">
        <v>518</v>
      </c>
      <c r="H4" s="4133"/>
      <c r="I4" s="4132" t="s">
        <v>519</v>
      </c>
      <c r="J4" s="4133"/>
      <c r="K4" s="508" t="s">
        <v>520</v>
      </c>
      <c r="L4" s="2015"/>
      <c r="M4" s="2016"/>
      <c r="N4" s="2016"/>
      <c r="O4" s="2016"/>
      <c r="P4" s="4134" t="s">
        <v>521</v>
      </c>
      <c r="Q4" s="4135"/>
      <c r="R4" s="4120" t="s">
        <v>517</v>
      </c>
      <c r="S4" s="4121"/>
      <c r="T4" s="4120" t="s">
        <v>518</v>
      </c>
      <c r="U4" s="4121"/>
      <c r="V4" s="4140" t="s">
        <v>519</v>
      </c>
      <c r="W4" s="4140"/>
      <c r="X4" s="1502"/>
      <c r="Y4" s="4120" t="s">
        <v>521</v>
      </c>
      <c r="Z4" s="4121"/>
      <c r="AA4" s="4115" t="s">
        <v>517</v>
      </c>
      <c r="AB4" s="4140" t="s">
        <v>518</v>
      </c>
      <c r="AC4" s="4115" t="s">
        <v>519</v>
      </c>
    </row>
    <row r="5" spans="1:29" ht="15">
      <c r="A5" s="509"/>
      <c r="B5" s="510"/>
      <c r="C5" s="4143" t="s">
        <v>2897</v>
      </c>
      <c r="D5" s="4144"/>
      <c r="E5" s="4186" t="s">
        <v>2898</v>
      </c>
      <c r="F5" s="4187"/>
      <c r="G5" s="4143" t="s">
        <v>2899</v>
      </c>
      <c r="H5" s="4144"/>
      <c r="I5" s="4143" t="s">
        <v>2900</v>
      </c>
      <c r="J5" s="4144"/>
      <c r="K5" s="508"/>
      <c r="L5" s="2015"/>
      <c r="M5" s="2016"/>
      <c r="N5" s="2016"/>
      <c r="O5" s="2016"/>
      <c r="P5" s="4136"/>
      <c r="Q5" s="4137"/>
      <c r="R5" s="4122"/>
      <c r="S5" s="4123"/>
      <c r="T5" s="4122"/>
      <c r="U5" s="4123"/>
      <c r="V5" s="4140"/>
      <c r="W5" s="4140"/>
      <c r="X5" s="1502"/>
      <c r="Y5" s="4122"/>
      <c r="Z5" s="4123"/>
      <c r="AA5" s="4116"/>
      <c r="AB5" s="4140"/>
      <c r="AC5" s="4116"/>
    </row>
    <row r="6" spans="1:29" ht="15.75" thickBot="1">
      <c r="A6" s="511"/>
      <c r="B6" s="512"/>
      <c r="C6" s="4141" t="s">
        <v>2901</v>
      </c>
      <c r="D6" s="4142"/>
      <c r="E6" s="4188" t="s">
        <v>2901</v>
      </c>
      <c r="F6" s="4189"/>
      <c r="G6" s="4141" t="s">
        <v>2901</v>
      </c>
      <c r="H6" s="4142"/>
      <c r="I6" s="4141" t="s">
        <v>2901</v>
      </c>
      <c r="J6" s="4142"/>
      <c r="K6" s="508" t="s">
        <v>522</v>
      </c>
      <c r="L6" s="2015"/>
      <c r="M6" s="2016"/>
      <c r="N6" s="2016"/>
      <c r="O6" s="2016"/>
      <c r="P6" s="4138"/>
      <c r="Q6" s="4139"/>
      <c r="R6" s="4122"/>
      <c r="S6" s="4123"/>
      <c r="T6" s="4124"/>
      <c r="U6" s="4125"/>
      <c r="V6" s="4140"/>
      <c r="W6" s="4140"/>
      <c r="X6" s="1502"/>
      <c r="Y6" s="4124"/>
      <c r="Z6" s="4125"/>
      <c r="AA6" s="4117"/>
      <c r="AB6" s="4140"/>
      <c r="AC6" s="4117"/>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18" t="s">
        <v>524</v>
      </c>
      <c r="Q7" s="4127"/>
      <c r="R7" s="1503" t="s">
        <v>8</v>
      </c>
      <c r="S7" s="1504">
        <f t="shared" ref="S7:S15" si="0">F7</f>
        <v>0</v>
      </c>
      <c r="T7" s="1503" t="s">
        <v>8</v>
      </c>
      <c r="U7" s="1504">
        <f t="shared" ref="U7:U15" si="1">H7</f>
        <v>0</v>
      </c>
      <c r="V7" s="1503" t="s">
        <v>8</v>
      </c>
      <c r="W7" s="1504">
        <f t="shared" ref="W7:W15"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18" t="s">
        <v>527</v>
      </c>
      <c r="Q8" s="4119"/>
      <c r="R8" s="1503" t="s">
        <v>8</v>
      </c>
      <c r="S8" s="1504">
        <f t="shared" si="0"/>
        <v>0</v>
      </c>
      <c r="T8" s="1503" t="s">
        <v>8</v>
      </c>
      <c r="U8" s="1504">
        <f t="shared" si="1"/>
        <v>0</v>
      </c>
      <c r="V8" s="1503" t="s">
        <v>8</v>
      </c>
      <c r="W8" s="1504">
        <f t="shared" si="2"/>
        <v>0</v>
      </c>
      <c r="X8" s="1505"/>
      <c r="Y8" s="4118" t="s">
        <v>527</v>
      </c>
      <c r="Z8" s="4119"/>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26" t="s">
        <v>529</v>
      </c>
      <c r="Q9" s="1134" t="str">
        <f t="shared" ref="Q9:Q15" si="6">B9</f>
        <v>用途</v>
      </c>
      <c r="R9" s="1503" t="s">
        <v>8</v>
      </c>
      <c r="S9" s="1504">
        <f t="shared" si="0"/>
        <v>100</v>
      </c>
      <c r="T9" s="1503" t="s">
        <v>8</v>
      </c>
      <c r="U9" s="1504">
        <f t="shared" si="1"/>
        <v>100</v>
      </c>
      <c r="V9" s="1503" t="s">
        <v>8</v>
      </c>
      <c r="W9" s="1504">
        <f t="shared" si="2"/>
        <v>100</v>
      </c>
      <c r="X9" s="1505"/>
      <c r="Y9" s="4049"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26"/>
      <c r="Q11" s="1134" t="str">
        <f t="shared" si="6"/>
        <v>容积率</v>
      </c>
      <c r="R11" s="1503" t="s">
        <v>8</v>
      </c>
      <c r="S11" s="1504" t="e">
        <f t="shared" si="0"/>
        <v>#N/A</v>
      </c>
      <c r="T11" s="1503" t="s">
        <v>8</v>
      </c>
      <c r="U11" s="1504" t="e">
        <f t="shared" si="1"/>
        <v>#N/A</v>
      </c>
      <c r="V11" s="1503" t="s">
        <v>8</v>
      </c>
      <c r="W11" s="1504" t="e">
        <f t="shared" si="2"/>
        <v>#N/A</v>
      </c>
      <c r="X11" s="1505"/>
      <c r="Y11" s="4049"/>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26"/>
      <c r="Q12" s="1134">
        <f t="shared" si="6"/>
        <v>111</v>
      </c>
      <c r="R12" s="1503" t="s">
        <v>8</v>
      </c>
      <c r="S12" s="1504">
        <f t="shared" si="0"/>
        <v>100</v>
      </c>
      <c r="T12" s="1503" t="s">
        <v>8</v>
      </c>
      <c r="U12" s="1504">
        <f t="shared" si="1"/>
        <v>100</v>
      </c>
      <c r="V12" s="1503" t="s">
        <v>8</v>
      </c>
      <c r="W12" s="1504">
        <f t="shared" si="2"/>
        <v>100</v>
      </c>
      <c r="X12" s="1505"/>
      <c r="Y12" s="4049"/>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26"/>
      <c r="Q13" s="1134">
        <f t="shared" si="6"/>
        <v>111</v>
      </c>
      <c r="R13" s="1503" t="s">
        <v>8</v>
      </c>
      <c r="S13" s="1504">
        <f t="shared" si="0"/>
        <v>100</v>
      </c>
      <c r="T13" s="1503" t="s">
        <v>8</v>
      </c>
      <c r="U13" s="1504">
        <f t="shared" si="1"/>
        <v>100</v>
      </c>
      <c r="V13" s="1503" t="s">
        <v>8</v>
      </c>
      <c r="W13" s="1504">
        <f t="shared" si="2"/>
        <v>100</v>
      </c>
      <c r="X13" s="1505"/>
      <c r="Y13" s="4049"/>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26"/>
      <c r="Q14" s="1134">
        <f t="shared" si="6"/>
        <v>111</v>
      </c>
      <c r="R14" s="1503" t="s">
        <v>8</v>
      </c>
      <c r="S14" s="1504">
        <f t="shared" si="0"/>
        <v>100</v>
      </c>
      <c r="T14" s="1503" t="s">
        <v>8</v>
      </c>
      <c r="U14" s="1504">
        <f t="shared" si="1"/>
        <v>100</v>
      </c>
      <c r="V14" s="1503" t="s">
        <v>8</v>
      </c>
      <c r="W14" s="1504">
        <f t="shared" si="2"/>
        <v>100</v>
      </c>
      <c r="X14" s="1505"/>
      <c r="Y14" s="4049"/>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28" t="s">
        <v>534</v>
      </c>
      <c r="Q15" s="1507" t="str">
        <f t="shared" si="6"/>
        <v>商业繁华度</v>
      </c>
      <c r="R15" s="1508" t="s">
        <v>8</v>
      </c>
      <c r="S15" s="1509">
        <f t="shared" si="0"/>
        <v>100</v>
      </c>
      <c r="T15" s="1508" t="s">
        <v>8</v>
      </c>
      <c r="U15" s="1509">
        <f t="shared" si="1"/>
        <v>100</v>
      </c>
      <c r="V15" s="1508" t="s">
        <v>8</v>
      </c>
      <c r="W15" s="1509">
        <f t="shared" si="2"/>
        <v>100</v>
      </c>
      <c r="X15" s="1502"/>
      <c r="Y15" s="412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29"/>
      <c r="Q16" s="1507"/>
      <c r="R16" s="1508"/>
      <c r="S16" s="1509"/>
      <c r="T16" s="1508"/>
      <c r="U16" s="1509"/>
      <c r="V16" s="1508"/>
      <c r="W16" s="1509"/>
      <c r="X16" s="1502"/>
      <c r="Y16" s="412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29"/>
      <c r="Q17" s="1507" t="str">
        <f>B17</f>
        <v>交通便捷度</v>
      </c>
      <c r="R17" s="1508" t="s">
        <v>8</v>
      </c>
      <c r="S17" s="1509">
        <f>F17</f>
        <v>100</v>
      </c>
      <c r="T17" s="1508" t="s">
        <v>8</v>
      </c>
      <c r="U17" s="1509">
        <f>H17</f>
        <v>100</v>
      </c>
      <c r="V17" s="1508" t="s">
        <v>8</v>
      </c>
      <c r="W17" s="1509">
        <f>J17</f>
        <v>100</v>
      </c>
      <c r="X17" s="1502"/>
      <c r="Y17" s="412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29"/>
      <c r="Q18" s="1507"/>
      <c r="R18" s="1508"/>
      <c r="S18" s="1509"/>
      <c r="T18" s="1508"/>
      <c r="U18" s="1509"/>
      <c r="V18" s="1508"/>
      <c r="W18" s="1509"/>
      <c r="X18" s="1502"/>
      <c r="Y18" s="412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29"/>
      <c r="Q19" s="1507" t="str">
        <f>B19</f>
        <v>公共配套设施</v>
      </c>
      <c r="R19" s="1508" t="s">
        <v>8</v>
      </c>
      <c r="S19" s="1509">
        <f>F19</f>
        <v>100</v>
      </c>
      <c r="T19" s="1508" t="s">
        <v>8</v>
      </c>
      <c r="U19" s="1509">
        <f>H19</f>
        <v>100</v>
      </c>
      <c r="V19" s="1508" t="s">
        <v>8</v>
      </c>
      <c r="W19" s="1509">
        <f>J19</f>
        <v>100</v>
      </c>
      <c r="X19" s="1502"/>
      <c r="Y19" s="412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29"/>
      <c r="Q20" s="1507"/>
      <c r="R20" s="1508"/>
      <c r="S20" s="1509"/>
      <c r="T20" s="1508"/>
      <c r="U20" s="1509"/>
      <c r="V20" s="1508"/>
      <c r="W20" s="1509"/>
      <c r="X20" s="1502"/>
      <c r="Y20" s="412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29"/>
      <c r="Q21" s="2429" t="str">
        <f>B21</f>
        <v>基础设施水平</v>
      </c>
      <c r="R21" s="1508" t="s">
        <v>8</v>
      </c>
      <c r="S21" s="1509">
        <f>F21</f>
        <v>100</v>
      </c>
      <c r="T21" s="1508" t="s">
        <v>8</v>
      </c>
      <c r="U21" s="1509">
        <f>H21</f>
        <v>100</v>
      </c>
      <c r="V21" s="1508" t="s">
        <v>8</v>
      </c>
      <c r="W21" s="1509">
        <f>J21</f>
        <v>100</v>
      </c>
      <c r="X21" s="2431"/>
      <c r="Y21" s="412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29"/>
      <c r="Q22" s="2429"/>
      <c r="R22" s="1508"/>
      <c r="S22" s="1509"/>
      <c r="T22" s="1508"/>
      <c r="U22" s="1509"/>
      <c r="V22" s="1508"/>
      <c r="W22" s="1509"/>
      <c r="X22" s="2431"/>
      <c r="Y22" s="4129"/>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29"/>
      <c r="Q23" s="1507" t="str">
        <f>B23</f>
        <v>自然及人文环境</v>
      </c>
      <c r="R23" s="1508" t="s">
        <v>8</v>
      </c>
      <c r="S23" s="1509">
        <f>F23</f>
        <v>100</v>
      </c>
      <c r="T23" s="1508" t="s">
        <v>8</v>
      </c>
      <c r="U23" s="1509">
        <f>H23</f>
        <v>100</v>
      </c>
      <c r="V23" s="1508" t="s">
        <v>8</v>
      </c>
      <c r="W23" s="1509">
        <f>J23</f>
        <v>100</v>
      </c>
      <c r="X23" s="1502"/>
      <c r="Y23" s="412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29"/>
      <c r="Q24" s="1507"/>
      <c r="R24" s="1508"/>
      <c r="S24" s="1509"/>
      <c r="T24" s="1508"/>
      <c r="U24" s="1509"/>
      <c r="V24" s="1508"/>
      <c r="W24" s="1509"/>
      <c r="X24" s="1502"/>
      <c r="Y24" s="412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29"/>
      <c r="Q25" s="1507" t="str">
        <f t="shared" ref="Q25:Q46" si="11">B25</f>
        <v>临街状况</v>
      </c>
      <c r="R25" s="1508" t="s">
        <v>8</v>
      </c>
      <c r="S25" s="1509">
        <f>F25</f>
        <v>100</v>
      </c>
      <c r="T25" s="1508" t="s">
        <v>8</v>
      </c>
      <c r="U25" s="1509">
        <f>H25</f>
        <v>100</v>
      </c>
      <c r="V25" s="1508" t="s">
        <v>8</v>
      </c>
      <c r="W25" s="1509">
        <f>J25</f>
        <v>100</v>
      </c>
      <c r="X25" s="1502"/>
      <c r="Y25" s="412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29"/>
      <c r="Q26" s="1507" t="str">
        <f t="shared" si="11"/>
        <v>平面位置/可视性</v>
      </c>
      <c r="R26" s="1508" t="s">
        <v>8</v>
      </c>
      <c r="S26" s="1509">
        <f>F26</f>
        <v>100</v>
      </c>
      <c r="T26" s="1508" t="s">
        <v>8</v>
      </c>
      <c r="U26" s="1509">
        <f>H26</f>
        <v>100</v>
      </c>
      <c r="V26" s="1508" t="s">
        <v>8</v>
      </c>
      <c r="W26" s="1509">
        <f>J26</f>
        <v>100</v>
      </c>
      <c r="X26" s="1502"/>
      <c r="Y26" s="412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29"/>
      <c r="Q27" s="1134" t="str">
        <f t="shared" si="11"/>
        <v>人流量</v>
      </c>
      <c r="R27" s="1503" t="s">
        <v>8</v>
      </c>
      <c r="S27" s="1504">
        <f>F27</f>
        <v>100</v>
      </c>
      <c r="T27" s="1503" t="s">
        <v>8</v>
      </c>
      <c r="U27" s="1504">
        <f>H27</f>
        <v>100</v>
      </c>
      <c r="V27" s="1503" t="s">
        <v>8</v>
      </c>
      <c r="W27" s="1504">
        <f>J27</f>
        <v>100</v>
      </c>
      <c r="X27" s="1505"/>
      <c r="Y27" s="412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2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2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29"/>
      <c r="Q29" s="1507">
        <f t="shared" si="11"/>
        <v>111</v>
      </c>
      <c r="R29" s="1508" t="s">
        <v>8</v>
      </c>
      <c r="S29" s="1509">
        <f t="shared" si="12"/>
        <v>100</v>
      </c>
      <c r="T29" s="1508" t="s">
        <v>8</v>
      </c>
      <c r="U29" s="1509">
        <f t="shared" si="13"/>
        <v>100</v>
      </c>
      <c r="V29" s="1508" t="s">
        <v>8</v>
      </c>
      <c r="W29" s="1509">
        <f t="shared" si="14"/>
        <v>100</v>
      </c>
      <c r="X29" s="1502"/>
      <c r="Y29" s="412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29"/>
      <c r="Q30" s="1507">
        <f t="shared" si="11"/>
        <v>111</v>
      </c>
      <c r="R30" s="1508" t="s">
        <v>8</v>
      </c>
      <c r="S30" s="1509">
        <f t="shared" si="12"/>
        <v>100</v>
      </c>
      <c r="T30" s="1508" t="s">
        <v>8</v>
      </c>
      <c r="U30" s="1509">
        <f t="shared" si="13"/>
        <v>100</v>
      </c>
      <c r="V30" s="1508" t="s">
        <v>8</v>
      </c>
      <c r="W30" s="1509">
        <f t="shared" si="14"/>
        <v>100</v>
      </c>
      <c r="X30" s="1502"/>
      <c r="Y30" s="412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29"/>
      <c r="Q31" s="1507">
        <f t="shared" si="11"/>
        <v>111</v>
      </c>
      <c r="R31" s="1508" t="s">
        <v>8</v>
      </c>
      <c r="S31" s="1509">
        <f t="shared" si="12"/>
        <v>100</v>
      </c>
      <c r="T31" s="1508" t="s">
        <v>8</v>
      </c>
      <c r="U31" s="1509">
        <f t="shared" si="13"/>
        <v>100</v>
      </c>
      <c r="V31" s="1508" t="s">
        <v>8</v>
      </c>
      <c r="W31" s="1509">
        <f t="shared" si="14"/>
        <v>100</v>
      </c>
      <c r="X31" s="1502"/>
      <c r="Y31" s="4129"/>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30" t="s">
        <v>544</v>
      </c>
      <c r="Q32" s="1507" t="str">
        <f t="shared" si="11"/>
        <v>商业类型</v>
      </c>
      <c r="R32" s="1508" t="s">
        <v>8</v>
      </c>
      <c r="S32" s="1509">
        <f t="shared" si="12"/>
        <v>100</v>
      </c>
      <c r="T32" s="1508" t="s">
        <v>8</v>
      </c>
      <c r="U32" s="1509">
        <f t="shared" si="13"/>
        <v>100</v>
      </c>
      <c r="V32" s="1508" t="s">
        <v>8</v>
      </c>
      <c r="W32" s="1509">
        <f t="shared" si="14"/>
        <v>100</v>
      </c>
      <c r="X32" s="1502"/>
      <c r="Y32" s="413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31"/>
      <c r="Q33" s="1536" t="str">
        <f t="shared" si="11"/>
        <v>项目建筑规模</v>
      </c>
      <c r="R33" s="1512" t="s">
        <v>8</v>
      </c>
      <c r="S33" s="1513" t="e">
        <f t="shared" si="12"/>
        <v>#N/A</v>
      </c>
      <c r="T33" s="1512" t="s">
        <v>8</v>
      </c>
      <c r="U33" s="1513" t="e">
        <f t="shared" si="13"/>
        <v>#N/A</v>
      </c>
      <c r="V33" s="1512" t="s">
        <v>8</v>
      </c>
      <c r="W33" s="1513" t="e">
        <f t="shared" si="14"/>
        <v>#N/A</v>
      </c>
      <c r="X33" s="1514"/>
      <c r="Y33" s="413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31"/>
      <c r="Q34" s="1507" t="str">
        <f t="shared" si="11"/>
        <v>建筑结构</v>
      </c>
      <c r="R34" s="1508" t="s">
        <v>8</v>
      </c>
      <c r="S34" s="1509">
        <f t="shared" si="12"/>
        <v>100</v>
      </c>
      <c r="T34" s="1508" t="s">
        <v>8</v>
      </c>
      <c r="U34" s="1509">
        <f t="shared" si="13"/>
        <v>100</v>
      </c>
      <c r="V34" s="1508" t="s">
        <v>8</v>
      </c>
      <c r="W34" s="1509">
        <f t="shared" si="14"/>
        <v>100</v>
      </c>
      <c r="X34" s="1502"/>
      <c r="Y34" s="413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31"/>
      <c r="Q35" s="1507" t="str">
        <f t="shared" si="11"/>
        <v>公共部分装修</v>
      </c>
      <c r="R35" s="1508" t="s">
        <v>8</v>
      </c>
      <c r="S35" s="1509">
        <f t="shared" si="12"/>
        <v>100</v>
      </c>
      <c r="T35" s="1508" t="s">
        <v>8</v>
      </c>
      <c r="U35" s="1509">
        <f t="shared" si="13"/>
        <v>100</v>
      </c>
      <c r="V35" s="1508" t="s">
        <v>8</v>
      </c>
      <c r="W35" s="1509">
        <f t="shared" si="14"/>
        <v>100</v>
      </c>
      <c r="X35" s="1502"/>
      <c r="Y35" s="413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31"/>
      <c r="Q36" s="1507" t="str">
        <f t="shared" si="11"/>
        <v>成新度</v>
      </c>
      <c r="R36" s="1508" t="s">
        <v>8</v>
      </c>
      <c r="S36" s="1509" t="e">
        <f t="shared" si="12"/>
        <v>#N/A</v>
      </c>
      <c r="T36" s="1508" t="s">
        <v>8</v>
      </c>
      <c r="U36" s="1509" t="e">
        <f t="shared" si="13"/>
        <v>#N/A</v>
      </c>
      <c r="V36" s="1508" t="s">
        <v>8</v>
      </c>
      <c r="W36" s="1509" t="e">
        <f t="shared" si="14"/>
        <v>#N/A</v>
      </c>
      <c r="X36" s="1502"/>
      <c r="Y36" s="4131"/>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31"/>
      <c r="Q37" s="1134" t="str">
        <f t="shared" si="11"/>
        <v>市政基础设施</v>
      </c>
      <c r="R37" s="1503" t="s">
        <v>8</v>
      </c>
      <c r="S37" s="1504">
        <f t="shared" si="12"/>
        <v>100</v>
      </c>
      <c r="T37" s="1503" t="s">
        <v>8</v>
      </c>
      <c r="U37" s="1504">
        <f t="shared" si="13"/>
        <v>100</v>
      </c>
      <c r="V37" s="1503" t="s">
        <v>8</v>
      </c>
      <c r="W37" s="1504">
        <f t="shared" si="14"/>
        <v>100</v>
      </c>
      <c r="X37" s="1505"/>
      <c r="Y37" s="413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31" t="s">
        <v>760</v>
      </c>
      <c r="Q38" s="1507" t="str">
        <f t="shared" si="11"/>
        <v>业态</v>
      </c>
      <c r="R38" s="1508" t="s">
        <v>8</v>
      </c>
      <c r="S38" s="1509">
        <f t="shared" si="12"/>
        <v>100</v>
      </c>
      <c r="T38" s="1508" t="s">
        <v>8</v>
      </c>
      <c r="U38" s="1509">
        <f t="shared" si="13"/>
        <v>100</v>
      </c>
      <c r="V38" s="1508" t="s">
        <v>8</v>
      </c>
      <c r="W38" s="1509">
        <f t="shared" si="14"/>
        <v>100</v>
      </c>
      <c r="X38" s="1502"/>
      <c r="Y38" s="413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31"/>
      <c r="Q39" s="1507" t="str">
        <f t="shared" si="11"/>
        <v>层高</v>
      </c>
      <c r="R39" s="1508" t="s">
        <v>8</v>
      </c>
      <c r="S39" s="1509">
        <f t="shared" si="12"/>
        <v>100</v>
      </c>
      <c r="T39" s="1508" t="s">
        <v>8</v>
      </c>
      <c r="U39" s="1509">
        <f t="shared" si="13"/>
        <v>100</v>
      </c>
      <c r="V39" s="1508" t="s">
        <v>8</v>
      </c>
      <c r="W39" s="1509">
        <f t="shared" si="14"/>
        <v>100</v>
      </c>
      <c r="X39" s="1502"/>
      <c r="Y39" s="413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31"/>
      <c r="Q40" s="1507" t="str">
        <f t="shared" si="11"/>
        <v>单套建筑面积</v>
      </c>
      <c r="R40" s="1508" t="s">
        <v>8</v>
      </c>
      <c r="S40" s="1509">
        <f t="shared" si="12"/>
        <v>100</v>
      </c>
      <c r="T40" s="1508" t="s">
        <v>8</v>
      </c>
      <c r="U40" s="1509">
        <f t="shared" si="13"/>
        <v>100</v>
      </c>
      <c r="V40" s="1508" t="s">
        <v>8</v>
      </c>
      <c r="W40" s="1509">
        <f t="shared" si="14"/>
        <v>100</v>
      </c>
      <c r="X40" s="1502"/>
      <c r="Y40" s="413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31"/>
      <c r="Q41" s="1536" t="str">
        <f t="shared" si="11"/>
        <v>进深比</v>
      </c>
      <c r="R41" s="1512" t="s">
        <v>8</v>
      </c>
      <c r="S41" s="1513">
        <f t="shared" si="12"/>
        <v>100</v>
      </c>
      <c r="T41" s="1512" t="s">
        <v>8</v>
      </c>
      <c r="U41" s="1513">
        <f t="shared" si="13"/>
        <v>100</v>
      </c>
      <c r="V41" s="1512" t="s">
        <v>8</v>
      </c>
      <c r="W41" s="1513">
        <f t="shared" si="14"/>
        <v>100</v>
      </c>
      <c r="X41" s="1514"/>
      <c r="Y41" s="413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31"/>
      <c r="Q42" s="1507" t="str">
        <f t="shared" si="11"/>
        <v>内部装修</v>
      </c>
      <c r="R42" s="1508" t="s">
        <v>8</v>
      </c>
      <c r="S42" s="1509">
        <f t="shared" si="12"/>
        <v>100</v>
      </c>
      <c r="T42" s="1508" t="s">
        <v>8</v>
      </c>
      <c r="U42" s="1509">
        <f t="shared" si="13"/>
        <v>100</v>
      </c>
      <c r="V42" s="1508" t="s">
        <v>8</v>
      </c>
      <c r="W42" s="1509">
        <f t="shared" si="14"/>
        <v>100</v>
      </c>
      <c r="X42" s="1502"/>
      <c r="Y42" s="413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31"/>
      <c r="Q43" s="1507" t="str">
        <f t="shared" si="11"/>
        <v>内部装修维护情况</v>
      </c>
      <c r="R43" s="1508" t="s">
        <v>8</v>
      </c>
      <c r="S43" s="1509">
        <f t="shared" si="12"/>
        <v>100</v>
      </c>
      <c r="T43" s="1508" t="s">
        <v>8</v>
      </c>
      <c r="U43" s="1509">
        <f t="shared" si="13"/>
        <v>100</v>
      </c>
      <c r="V43" s="1508" t="s">
        <v>8</v>
      </c>
      <c r="W43" s="1509">
        <f t="shared" si="14"/>
        <v>100</v>
      </c>
      <c r="X43" s="1502"/>
      <c r="Y43" s="413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31"/>
      <c r="Q44" s="1134">
        <f t="shared" si="11"/>
        <v>111</v>
      </c>
      <c r="R44" s="1503" t="s">
        <v>8</v>
      </c>
      <c r="S44" s="1504">
        <f t="shared" si="12"/>
        <v>100</v>
      </c>
      <c r="T44" s="1503" t="s">
        <v>8</v>
      </c>
      <c r="U44" s="1504">
        <f t="shared" si="13"/>
        <v>100</v>
      </c>
      <c r="V44" s="1503" t="s">
        <v>8</v>
      </c>
      <c r="W44" s="1504">
        <f t="shared" si="14"/>
        <v>100</v>
      </c>
      <c r="X44" s="1505"/>
      <c r="Y44" s="413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31"/>
      <c r="Q45" s="1507">
        <f t="shared" si="11"/>
        <v>111</v>
      </c>
      <c r="R45" s="1508" t="s">
        <v>8</v>
      </c>
      <c r="S45" s="1509">
        <f t="shared" si="12"/>
        <v>100</v>
      </c>
      <c r="T45" s="1508" t="s">
        <v>8</v>
      </c>
      <c r="U45" s="1509">
        <f t="shared" si="13"/>
        <v>100</v>
      </c>
      <c r="V45" s="1508" t="s">
        <v>8</v>
      </c>
      <c r="W45" s="1509">
        <f t="shared" si="14"/>
        <v>100</v>
      </c>
      <c r="X45" s="1502"/>
      <c r="Y45" s="413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194"/>
      <c r="Q46" s="1507">
        <f t="shared" si="11"/>
        <v>111</v>
      </c>
      <c r="R46" s="1508" t="s">
        <v>8</v>
      </c>
      <c r="S46" s="1509">
        <f t="shared" si="12"/>
        <v>100</v>
      </c>
      <c r="T46" s="1508" t="s">
        <v>8</v>
      </c>
      <c r="U46" s="1509">
        <f t="shared" si="13"/>
        <v>100</v>
      </c>
      <c r="V46" s="1508" t="s">
        <v>8</v>
      </c>
      <c r="W46" s="1509">
        <f t="shared" si="14"/>
        <v>100</v>
      </c>
      <c r="X46" s="1502"/>
      <c r="Y46" s="4194"/>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26" t="str">
        <f>A47</f>
        <v>成交单价（元/平方米）</v>
      </c>
      <c r="Q47" s="4126"/>
      <c r="R47" s="4193">
        <f>E47</f>
        <v>0</v>
      </c>
      <c r="S47" s="4193"/>
      <c r="T47" s="4193">
        <f>G47</f>
        <v>0</v>
      </c>
      <c r="U47" s="4193"/>
      <c r="V47" s="4193">
        <f>I47</f>
        <v>0</v>
      </c>
      <c r="W47" s="4193"/>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26" t="str">
        <f>A48</f>
        <v>比较价格（元/平方米）</v>
      </c>
      <c r="Q48" s="4126"/>
      <c r="R48" s="4193" t="e">
        <f>IF(F1="售价",ROUND(PRODUCT(R47,AA7:AA46),0),ROUND(PRODUCT(R47,AA7:AA46),1))</f>
        <v>#DIV/0!</v>
      </c>
      <c r="S48" s="4193"/>
      <c r="T48" s="4193" t="e">
        <f>IF(F1="售价",ROUND(PRODUCT(T47,AB7:AB46),0),ROUND(PRODUCT(T47,AB7:AB46),1))</f>
        <v>#DIV/0!</v>
      </c>
      <c r="U48" s="4193"/>
      <c r="V48" s="4193" t="e">
        <f>IF(F1="售价",ROUND(PRODUCT(V47,AC7:AC46),0),ROUND(PRODUCT(V47,AC7:AC46),1))</f>
        <v>#DIV/0!</v>
      </c>
      <c r="W48" s="4193"/>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147" t="str">
        <f>A49</f>
        <v>估价对象XX用房的比较价格（楼面单价，元/平方米）</v>
      </c>
      <c r="Q49" s="4148"/>
      <c r="R49" s="4192" t="e">
        <f>IF(F1="售价",ROUND(IF(D48="简单平均",AVERAGE(R48:V48),R48*F48+T48*H48+V48*J48),0),ROUND(IF(D48="简单平均",AVERAGE(R48:V48),R48*F48+T48*H48+V48*J48),1))</f>
        <v>#DIV/0!</v>
      </c>
      <c r="S49" s="4192"/>
      <c r="T49" s="4192"/>
      <c r="U49" s="4192"/>
      <c r="V49" s="4192"/>
      <c r="W49" s="4192"/>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32" t="s">
        <v>516</v>
      </c>
      <c r="D4" s="4133"/>
      <c r="E4" s="4190" t="s">
        <v>517</v>
      </c>
      <c r="F4" s="4191"/>
      <c r="G4" s="4132" t="s">
        <v>518</v>
      </c>
      <c r="H4" s="4133"/>
      <c r="I4" s="4132" t="s">
        <v>519</v>
      </c>
      <c r="J4" s="4133"/>
      <c r="K4" s="508" t="s">
        <v>520</v>
      </c>
      <c r="L4" s="2015"/>
      <c r="M4" s="2016"/>
      <c r="N4" s="2016"/>
      <c r="O4" s="2016"/>
      <c r="P4" s="4195" t="s">
        <v>521</v>
      </c>
      <c r="Q4" s="4135"/>
      <c r="R4" s="4120" t="s">
        <v>517</v>
      </c>
      <c r="S4" s="4121"/>
      <c r="T4" s="4120" t="s">
        <v>518</v>
      </c>
      <c r="U4" s="4121"/>
      <c r="V4" s="4140" t="s">
        <v>519</v>
      </c>
      <c r="W4" s="4140"/>
      <c r="X4" s="1502"/>
      <c r="Y4" s="4120" t="s">
        <v>521</v>
      </c>
      <c r="Z4" s="4121"/>
      <c r="AA4" s="4115" t="s">
        <v>517</v>
      </c>
      <c r="AB4" s="4115" t="s">
        <v>518</v>
      </c>
      <c r="AC4" s="4115" t="s">
        <v>519</v>
      </c>
    </row>
    <row r="5" spans="1:29" ht="15">
      <c r="A5" s="509"/>
      <c r="B5" s="510"/>
      <c r="C5" s="4143" t="s">
        <v>2897</v>
      </c>
      <c r="D5" s="4144"/>
      <c r="E5" s="4186" t="s">
        <v>2898</v>
      </c>
      <c r="F5" s="4187"/>
      <c r="G5" s="4143" t="s">
        <v>2899</v>
      </c>
      <c r="H5" s="4144"/>
      <c r="I5" s="4143" t="s">
        <v>2900</v>
      </c>
      <c r="J5" s="4144"/>
      <c r="K5" s="508"/>
      <c r="L5" s="2015"/>
      <c r="M5" s="2016"/>
      <c r="N5" s="2016"/>
      <c r="O5" s="2016"/>
      <c r="P5" s="4196"/>
      <c r="Q5" s="4137"/>
      <c r="R5" s="4122"/>
      <c r="S5" s="4123"/>
      <c r="T5" s="4122"/>
      <c r="U5" s="4123"/>
      <c r="V5" s="4140"/>
      <c r="W5" s="4140"/>
      <c r="X5" s="1502"/>
      <c r="Y5" s="4122"/>
      <c r="Z5" s="4123"/>
      <c r="AA5" s="4116"/>
      <c r="AB5" s="4116"/>
      <c r="AC5" s="4116"/>
    </row>
    <row r="6" spans="1:29" ht="15.75" thickBot="1">
      <c r="A6" s="511"/>
      <c r="B6" s="512"/>
      <c r="C6" s="4141" t="s">
        <v>2901</v>
      </c>
      <c r="D6" s="4142"/>
      <c r="E6" s="4188" t="s">
        <v>2901</v>
      </c>
      <c r="F6" s="4189"/>
      <c r="G6" s="4141" t="s">
        <v>2901</v>
      </c>
      <c r="H6" s="4142"/>
      <c r="I6" s="4141" t="s">
        <v>2901</v>
      </c>
      <c r="J6" s="4142"/>
      <c r="K6" s="508" t="s">
        <v>522</v>
      </c>
      <c r="L6" s="2015"/>
      <c r="M6" s="2016"/>
      <c r="N6" s="2016"/>
      <c r="O6" s="2016"/>
      <c r="P6" s="4197"/>
      <c r="Q6" s="4139"/>
      <c r="R6" s="4122"/>
      <c r="S6" s="4123"/>
      <c r="T6" s="4124"/>
      <c r="U6" s="4125"/>
      <c r="V6" s="4140"/>
      <c r="W6" s="4140"/>
      <c r="X6" s="1502"/>
      <c r="Y6" s="4124"/>
      <c r="Z6" s="4125"/>
      <c r="AA6" s="4117"/>
      <c r="AB6" s="4117"/>
      <c r="AC6" s="4117"/>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27" t="s">
        <v>524</v>
      </c>
      <c r="Q7" s="4127"/>
      <c r="R7" s="1503" t="s">
        <v>8</v>
      </c>
      <c r="S7" s="1504">
        <f t="shared" ref="S7:S15" si="0">F7</f>
        <v>0</v>
      </c>
      <c r="T7" s="1503" t="s">
        <v>8</v>
      </c>
      <c r="U7" s="1504">
        <f t="shared" ref="U7:U15" si="1">H7</f>
        <v>0</v>
      </c>
      <c r="V7" s="1503" t="s">
        <v>8</v>
      </c>
      <c r="W7" s="1504">
        <f t="shared" ref="W7:W15"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27" t="s">
        <v>527</v>
      </c>
      <c r="Q8" s="4119"/>
      <c r="R8" s="1503" t="s">
        <v>8</v>
      </c>
      <c r="S8" s="1504">
        <f t="shared" si="0"/>
        <v>0</v>
      </c>
      <c r="T8" s="1503" t="s">
        <v>8</v>
      </c>
      <c r="U8" s="1504">
        <f t="shared" si="1"/>
        <v>0</v>
      </c>
      <c r="V8" s="1503" t="s">
        <v>8</v>
      </c>
      <c r="W8" s="1504">
        <f t="shared" si="2"/>
        <v>0</v>
      </c>
      <c r="X8" s="1505"/>
      <c r="Y8" s="4118" t="s">
        <v>527</v>
      </c>
      <c r="Z8" s="4119"/>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26" t="s">
        <v>529</v>
      </c>
      <c r="Q9" s="1134" t="str">
        <f t="shared" ref="Q9:Q15" si="6">B9</f>
        <v>用途</v>
      </c>
      <c r="R9" s="1503" t="s">
        <v>8</v>
      </c>
      <c r="S9" s="1504">
        <f t="shared" si="0"/>
        <v>100</v>
      </c>
      <c r="T9" s="1503" t="s">
        <v>8</v>
      </c>
      <c r="U9" s="1504">
        <f t="shared" si="1"/>
        <v>100</v>
      </c>
      <c r="V9" s="1503" t="s">
        <v>8</v>
      </c>
      <c r="W9" s="1504">
        <f t="shared" si="2"/>
        <v>100</v>
      </c>
      <c r="X9" s="1505"/>
      <c r="Y9" s="4049"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26"/>
      <c r="Q11" s="1134" t="str">
        <f t="shared" si="6"/>
        <v>容积率</v>
      </c>
      <c r="R11" s="1503" t="s">
        <v>8</v>
      </c>
      <c r="S11" s="1504" t="e">
        <f t="shared" si="0"/>
        <v>#N/A</v>
      </c>
      <c r="T11" s="1503" t="s">
        <v>8</v>
      </c>
      <c r="U11" s="1504" t="e">
        <f t="shared" si="1"/>
        <v>#N/A</v>
      </c>
      <c r="V11" s="1503" t="s">
        <v>8</v>
      </c>
      <c r="W11" s="1504" t="e">
        <f t="shared" si="2"/>
        <v>#N/A</v>
      </c>
      <c r="X11" s="1505"/>
      <c r="Y11" s="4049"/>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26"/>
      <c r="Q12" s="1134">
        <f t="shared" si="6"/>
        <v>111</v>
      </c>
      <c r="R12" s="1503" t="s">
        <v>8</v>
      </c>
      <c r="S12" s="1504">
        <f t="shared" si="0"/>
        <v>100</v>
      </c>
      <c r="T12" s="1503" t="s">
        <v>8</v>
      </c>
      <c r="U12" s="1504">
        <f t="shared" si="1"/>
        <v>100</v>
      </c>
      <c r="V12" s="1503" t="s">
        <v>8</v>
      </c>
      <c r="W12" s="1504">
        <f t="shared" si="2"/>
        <v>100</v>
      </c>
      <c r="X12" s="1505"/>
      <c r="Y12" s="4049"/>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26"/>
      <c r="Q13" s="1134">
        <f t="shared" si="6"/>
        <v>111</v>
      </c>
      <c r="R13" s="1503" t="s">
        <v>8</v>
      </c>
      <c r="S13" s="1504">
        <f t="shared" si="0"/>
        <v>100</v>
      </c>
      <c r="T13" s="1503" t="s">
        <v>8</v>
      </c>
      <c r="U13" s="1504">
        <f t="shared" si="1"/>
        <v>100</v>
      </c>
      <c r="V13" s="1503" t="s">
        <v>8</v>
      </c>
      <c r="W13" s="1504">
        <f t="shared" si="2"/>
        <v>100</v>
      </c>
      <c r="X13" s="1505"/>
      <c r="Y13" s="4049"/>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26"/>
      <c r="Q14" s="1134">
        <f t="shared" si="6"/>
        <v>111</v>
      </c>
      <c r="R14" s="1503" t="s">
        <v>8</v>
      </c>
      <c r="S14" s="1504">
        <f t="shared" si="0"/>
        <v>100</v>
      </c>
      <c r="T14" s="1503" t="s">
        <v>8</v>
      </c>
      <c r="U14" s="1504">
        <f t="shared" si="1"/>
        <v>100</v>
      </c>
      <c r="V14" s="1503" t="s">
        <v>8</v>
      </c>
      <c r="W14" s="1504">
        <f t="shared" si="2"/>
        <v>100</v>
      </c>
      <c r="X14" s="1505"/>
      <c r="Y14" s="4049"/>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28" t="s">
        <v>534</v>
      </c>
      <c r="Q15" s="1507" t="str">
        <f t="shared" si="6"/>
        <v>办公集聚程度</v>
      </c>
      <c r="R15" s="1508" t="s">
        <v>8</v>
      </c>
      <c r="S15" s="1509">
        <f t="shared" si="0"/>
        <v>100</v>
      </c>
      <c r="T15" s="1508" t="s">
        <v>8</v>
      </c>
      <c r="U15" s="1509">
        <f t="shared" si="1"/>
        <v>100</v>
      </c>
      <c r="V15" s="1508" t="s">
        <v>8</v>
      </c>
      <c r="W15" s="1509">
        <f t="shared" si="2"/>
        <v>100</v>
      </c>
      <c r="X15" s="1502"/>
      <c r="Y15" s="412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29"/>
      <c r="Q16" s="1507"/>
      <c r="R16" s="1508"/>
      <c r="S16" s="1509"/>
      <c r="T16" s="1508"/>
      <c r="U16" s="1509"/>
      <c r="V16" s="1508"/>
      <c r="W16" s="1509"/>
      <c r="X16" s="1502"/>
      <c r="Y16" s="412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29"/>
      <c r="Q17" s="1507" t="str">
        <f>B17</f>
        <v>交通便捷度</v>
      </c>
      <c r="R17" s="1508" t="s">
        <v>8</v>
      </c>
      <c r="S17" s="1509">
        <f>F17</f>
        <v>100</v>
      </c>
      <c r="T17" s="1508" t="s">
        <v>8</v>
      </c>
      <c r="U17" s="1509">
        <f>H17</f>
        <v>100</v>
      </c>
      <c r="V17" s="1508" t="s">
        <v>8</v>
      </c>
      <c r="W17" s="1509">
        <f>J17</f>
        <v>100</v>
      </c>
      <c r="X17" s="1502"/>
      <c r="Y17" s="412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29"/>
      <c r="Q18" s="1507"/>
      <c r="R18" s="1508"/>
      <c r="S18" s="1509"/>
      <c r="T18" s="1508"/>
      <c r="U18" s="1509"/>
      <c r="V18" s="1508"/>
      <c r="W18" s="1509"/>
      <c r="X18" s="1502"/>
      <c r="Y18" s="4129"/>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29"/>
      <c r="Q19" s="1507" t="str">
        <f>B19</f>
        <v>公共配套设施</v>
      </c>
      <c r="R19" s="1508" t="s">
        <v>8</v>
      </c>
      <c r="S19" s="1509">
        <f>F19</f>
        <v>100</v>
      </c>
      <c r="T19" s="1508" t="s">
        <v>8</v>
      </c>
      <c r="U19" s="1509">
        <f>H19</f>
        <v>100</v>
      </c>
      <c r="V19" s="1508" t="s">
        <v>8</v>
      </c>
      <c r="W19" s="1509">
        <f>J19</f>
        <v>100</v>
      </c>
      <c r="X19" s="1502"/>
      <c r="Y19" s="412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29"/>
      <c r="Q20" s="1507"/>
      <c r="R20" s="1508"/>
      <c r="S20" s="1509"/>
      <c r="T20" s="1508"/>
      <c r="U20" s="1509"/>
      <c r="V20" s="1508"/>
      <c r="W20" s="1509"/>
      <c r="X20" s="1502"/>
      <c r="Y20" s="4129"/>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29"/>
      <c r="Q21" s="2429" t="str">
        <f>B21</f>
        <v>基础设施水平</v>
      </c>
      <c r="R21" s="1508" t="s">
        <v>8</v>
      </c>
      <c r="S21" s="1509">
        <f>F21</f>
        <v>100</v>
      </c>
      <c r="T21" s="1508" t="s">
        <v>8</v>
      </c>
      <c r="U21" s="1509">
        <f>H21</f>
        <v>100</v>
      </c>
      <c r="V21" s="1508" t="s">
        <v>8</v>
      </c>
      <c r="W21" s="1509">
        <f>J21</f>
        <v>100</v>
      </c>
      <c r="X21" s="2431"/>
      <c r="Y21" s="4129"/>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29"/>
      <c r="Q22" s="2429"/>
      <c r="R22" s="1508"/>
      <c r="S22" s="1509"/>
      <c r="T22" s="1508"/>
      <c r="U22" s="1509"/>
      <c r="V22" s="1508"/>
      <c r="W22" s="1509"/>
      <c r="X22" s="2431"/>
      <c r="Y22" s="4129"/>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29"/>
      <c r="Q23" s="1507" t="str">
        <f>B23</f>
        <v>环境质量</v>
      </c>
      <c r="R23" s="1508" t="s">
        <v>8</v>
      </c>
      <c r="S23" s="1509">
        <f>F23</f>
        <v>100</v>
      </c>
      <c r="T23" s="1508" t="s">
        <v>8</v>
      </c>
      <c r="U23" s="1509">
        <f>H23</f>
        <v>100</v>
      </c>
      <c r="V23" s="1508" t="s">
        <v>8</v>
      </c>
      <c r="W23" s="1509">
        <f>J23</f>
        <v>100</v>
      </c>
      <c r="X23" s="1502"/>
      <c r="Y23" s="412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29"/>
      <c r="Q24" s="1507"/>
      <c r="R24" s="1508"/>
      <c r="S24" s="1509"/>
      <c r="T24" s="1508"/>
      <c r="U24" s="1509"/>
      <c r="V24" s="1508"/>
      <c r="W24" s="1509"/>
      <c r="X24" s="1502"/>
      <c r="Y24" s="412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29"/>
      <c r="Q25" s="1507" t="str">
        <f>B25</f>
        <v>毗邻道路的类型与等级</v>
      </c>
      <c r="R25" s="1508" t="s">
        <v>8</v>
      </c>
      <c r="S25" s="1509">
        <f>F25</f>
        <v>100</v>
      </c>
      <c r="T25" s="1508" t="s">
        <v>8</v>
      </c>
      <c r="U25" s="1509">
        <f>H25</f>
        <v>100</v>
      </c>
      <c r="V25" s="1508" t="s">
        <v>8</v>
      </c>
      <c r="W25" s="1509">
        <f>J25</f>
        <v>100</v>
      </c>
      <c r="X25" s="1502"/>
      <c r="Y25" s="412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29"/>
      <c r="Q26" s="1507"/>
      <c r="R26" s="1508"/>
      <c r="S26" s="1509"/>
      <c r="T26" s="1508"/>
      <c r="U26" s="1509"/>
      <c r="V26" s="1508"/>
      <c r="W26" s="1509"/>
      <c r="X26" s="1502"/>
      <c r="Y26" s="412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29"/>
      <c r="Q27" s="1507" t="str">
        <f t="shared" ref="Q27:Q47" si="11">B27</f>
        <v>楼层</v>
      </c>
      <c r="R27" s="1508" t="s">
        <v>8</v>
      </c>
      <c r="S27" s="1509">
        <f>F27</f>
        <v>100</v>
      </c>
      <c r="T27" s="1508" t="s">
        <v>8</v>
      </c>
      <c r="U27" s="1509">
        <f>H27</f>
        <v>100</v>
      </c>
      <c r="V27" s="1508" t="s">
        <v>8</v>
      </c>
      <c r="W27" s="1509">
        <f>J27</f>
        <v>100</v>
      </c>
      <c r="X27" s="1502"/>
      <c r="Y27" s="412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29"/>
      <c r="Q28" s="1134" t="str">
        <f t="shared" si="11"/>
        <v>朝向</v>
      </c>
      <c r="R28" s="1503" t="s">
        <v>8</v>
      </c>
      <c r="S28" s="1504">
        <f>F28</f>
        <v>100</v>
      </c>
      <c r="T28" s="1503" t="s">
        <v>8</v>
      </c>
      <c r="U28" s="1504">
        <f>H28</f>
        <v>100</v>
      </c>
      <c r="V28" s="1503" t="s">
        <v>8</v>
      </c>
      <c r="W28" s="1504">
        <f>J28</f>
        <v>100</v>
      </c>
      <c r="X28" s="1505"/>
      <c r="Y28" s="412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29"/>
      <c r="Q29" s="1507">
        <f t="shared" si="11"/>
        <v>111</v>
      </c>
      <c r="R29" s="1508" t="s">
        <v>8</v>
      </c>
      <c r="S29" s="1509">
        <f t="shared" ref="S29:S47" si="12">F29</f>
        <v>100</v>
      </c>
      <c r="T29" s="1508" t="s">
        <v>8</v>
      </c>
      <c r="U29" s="1509">
        <f t="shared" ref="U29:U47" si="13">H29</f>
        <v>100</v>
      </c>
      <c r="V29" s="1508" t="s">
        <v>8</v>
      </c>
      <c r="W29" s="1509">
        <f t="shared" ref="W29:W47" si="14">J29</f>
        <v>100</v>
      </c>
      <c r="X29" s="1502"/>
      <c r="Y29" s="412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29"/>
      <c r="Q30" s="1507">
        <f t="shared" si="11"/>
        <v>111</v>
      </c>
      <c r="R30" s="1508" t="s">
        <v>8</v>
      </c>
      <c r="S30" s="1509">
        <f t="shared" si="12"/>
        <v>100</v>
      </c>
      <c r="T30" s="1508" t="s">
        <v>8</v>
      </c>
      <c r="U30" s="1509">
        <f t="shared" si="13"/>
        <v>100</v>
      </c>
      <c r="V30" s="1508" t="s">
        <v>8</v>
      </c>
      <c r="W30" s="1509">
        <f t="shared" si="14"/>
        <v>100</v>
      </c>
      <c r="X30" s="1502"/>
      <c r="Y30" s="412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29"/>
      <c r="Q31" s="1507">
        <f t="shared" si="11"/>
        <v>111</v>
      </c>
      <c r="R31" s="1508" t="s">
        <v>8</v>
      </c>
      <c r="S31" s="1509">
        <f t="shared" si="12"/>
        <v>100</v>
      </c>
      <c r="T31" s="1508" t="s">
        <v>8</v>
      </c>
      <c r="U31" s="1509">
        <f t="shared" si="13"/>
        <v>100</v>
      </c>
      <c r="V31" s="1508" t="s">
        <v>8</v>
      </c>
      <c r="W31" s="1509">
        <f t="shared" si="14"/>
        <v>100</v>
      </c>
      <c r="X31" s="1502"/>
      <c r="Y31" s="412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29"/>
      <c r="Q32" s="1507">
        <f t="shared" si="11"/>
        <v>111</v>
      </c>
      <c r="R32" s="1508" t="s">
        <v>8</v>
      </c>
      <c r="S32" s="1509">
        <f t="shared" si="12"/>
        <v>100</v>
      </c>
      <c r="T32" s="1508" t="s">
        <v>8</v>
      </c>
      <c r="U32" s="1509">
        <f t="shared" si="13"/>
        <v>100</v>
      </c>
      <c r="V32" s="1508" t="s">
        <v>8</v>
      </c>
      <c r="W32" s="1509">
        <f t="shared" si="14"/>
        <v>100</v>
      </c>
      <c r="X32" s="1502"/>
      <c r="Y32" s="4129"/>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30" t="s">
        <v>544</v>
      </c>
      <c r="Q33" s="1507" t="str">
        <f t="shared" si="11"/>
        <v>建筑类型</v>
      </c>
      <c r="R33" s="1508" t="s">
        <v>8</v>
      </c>
      <c r="S33" s="1509">
        <f t="shared" si="12"/>
        <v>100</v>
      </c>
      <c r="T33" s="1508" t="s">
        <v>8</v>
      </c>
      <c r="U33" s="1509">
        <f t="shared" si="13"/>
        <v>100</v>
      </c>
      <c r="V33" s="1508" t="s">
        <v>8</v>
      </c>
      <c r="W33" s="1509">
        <f t="shared" si="14"/>
        <v>100</v>
      </c>
      <c r="X33" s="1502"/>
      <c r="Y33" s="413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31"/>
      <c r="Q34" s="1536" t="str">
        <f t="shared" si="11"/>
        <v>项目建筑规模</v>
      </c>
      <c r="R34" s="1512" t="s">
        <v>8</v>
      </c>
      <c r="S34" s="1513" t="e">
        <f t="shared" si="12"/>
        <v>#N/A</v>
      </c>
      <c r="T34" s="1512" t="s">
        <v>8</v>
      </c>
      <c r="U34" s="1513" t="e">
        <f t="shared" si="13"/>
        <v>#N/A</v>
      </c>
      <c r="V34" s="1512" t="s">
        <v>8</v>
      </c>
      <c r="W34" s="1513" t="e">
        <f t="shared" si="14"/>
        <v>#N/A</v>
      </c>
      <c r="X34" s="1514"/>
      <c r="Y34" s="413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31"/>
      <c r="Q35" s="1507" t="str">
        <f t="shared" si="11"/>
        <v>建筑结构</v>
      </c>
      <c r="R35" s="1508" t="s">
        <v>8</v>
      </c>
      <c r="S35" s="1509">
        <f t="shared" si="12"/>
        <v>100</v>
      </c>
      <c r="T35" s="1508" t="s">
        <v>8</v>
      </c>
      <c r="U35" s="1509">
        <f t="shared" si="13"/>
        <v>100</v>
      </c>
      <c r="V35" s="1508" t="s">
        <v>8</v>
      </c>
      <c r="W35" s="1509">
        <f t="shared" si="14"/>
        <v>100</v>
      </c>
      <c r="X35" s="1502"/>
      <c r="Y35" s="413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31"/>
      <c r="Q36" s="1507" t="str">
        <f t="shared" si="11"/>
        <v>公共部分装修</v>
      </c>
      <c r="R36" s="1508" t="s">
        <v>8</v>
      </c>
      <c r="S36" s="1509">
        <f t="shared" si="12"/>
        <v>100</v>
      </c>
      <c r="T36" s="1508" t="s">
        <v>8</v>
      </c>
      <c r="U36" s="1509">
        <f t="shared" si="13"/>
        <v>100</v>
      </c>
      <c r="V36" s="1508" t="s">
        <v>8</v>
      </c>
      <c r="W36" s="1509">
        <f t="shared" si="14"/>
        <v>100</v>
      </c>
      <c r="X36" s="1502"/>
      <c r="Y36" s="413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31"/>
      <c r="Q37" s="1507" t="str">
        <f t="shared" si="11"/>
        <v>成新度</v>
      </c>
      <c r="R37" s="1508" t="s">
        <v>8</v>
      </c>
      <c r="S37" s="1509" t="e">
        <f t="shared" si="12"/>
        <v>#N/A</v>
      </c>
      <c r="T37" s="1508" t="s">
        <v>8</v>
      </c>
      <c r="U37" s="1509" t="e">
        <f t="shared" si="13"/>
        <v>#N/A</v>
      </c>
      <c r="V37" s="1508" t="s">
        <v>8</v>
      </c>
      <c r="W37" s="1509" t="e">
        <f t="shared" si="14"/>
        <v>#N/A</v>
      </c>
      <c r="X37" s="1502"/>
      <c r="Y37" s="413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31"/>
      <c r="Q38" s="1134" t="str">
        <f t="shared" si="11"/>
        <v>写字楼等级</v>
      </c>
      <c r="R38" s="1503" t="s">
        <v>8</v>
      </c>
      <c r="S38" s="1504">
        <f t="shared" si="12"/>
        <v>100</v>
      </c>
      <c r="T38" s="1503" t="s">
        <v>8</v>
      </c>
      <c r="U38" s="1504">
        <f t="shared" si="13"/>
        <v>100</v>
      </c>
      <c r="V38" s="1503" t="s">
        <v>8</v>
      </c>
      <c r="W38" s="1504">
        <f t="shared" si="14"/>
        <v>100</v>
      </c>
      <c r="X38" s="1505"/>
      <c r="Y38" s="413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31" t="s">
        <v>544</v>
      </c>
      <c r="Q39" s="1507" t="str">
        <f t="shared" si="11"/>
        <v>物业管理</v>
      </c>
      <c r="R39" s="1508" t="s">
        <v>8</v>
      </c>
      <c r="S39" s="1509">
        <f t="shared" si="12"/>
        <v>100</v>
      </c>
      <c r="T39" s="1508" t="s">
        <v>8</v>
      </c>
      <c r="U39" s="1509">
        <f t="shared" si="13"/>
        <v>100</v>
      </c>
      <c r="V39" s="1508" t="s">
        <v>8</v>
      </c>
      <c r="W39" s="1509">
        <f t="shared" si="14"/>
        <v>100</v>
      </c>
      <c r="X39" s="1502"/>
      <c r="Y39" s="4131"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31"/>
      <c r="Q40" s="1507" t="str">
        <f t="shared" si="11"/>
        <v>市政基础设施</v>
      </c>
      <c r="R40" s="1508" t="s">
        <v>8</v>
      </c>
      <c r="S40" s="1509">
        <f t="shared" si="12"/>
        <v>100</v>
      </c>
      <c r="T40" s="1508" t="s">
        <v>8</v>
      </c>
      <c r="U40" s="1509">
        <f t="shared" si="13"/>
        <v>100</v>
      </c>
      <c r="V40" s="1508" t="s">
        <v>8</v>
      </c>
      <c r="W40" s="1509">
        <f t="shared" si="14"/>
        <v>100</v>
      </c>
      <c r="X40" s="1502"/>
      <c r="Y40" s="413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31"/>
      <c r="Q41" s="1507" t="str">
        <f t="shared" si="11"/>
        <v>层高</v>
      </c>
      <c r="R41" s="1508" t="s">
        <v>8</v>
      </c>
      <c r="S41" s="1509">
        <f t="shared" si="12"/>
        <v>100</v>
      </c>
      <c r="T41" s="1508" t="s">
        <v>8</v>
      </c>
      <c r="U41" s="1509">
        <f t="shared" si="13"/>
        <v>100</v>
      </c>
      <c r="V41" s="1508" t="s">
        <v>8</v>
      </c>
      <c r="W41" s="1509">
        <f t="shared" si="14"/>
        <v>100</v>
      </c>
      <c r="X41" s="1502"/>
      <c r="Y41" s="413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31"/>
      <c r="Q42" s="1536" t="str">
        <f t="shared" si="11"/>
        <v>单套建筑面积</v>
      </c>
      <c r="R42" s="1512" t="s">
        <v>8</v>
      </c>
      <c r="S42" s="1513">
        <f t="shared" si="12"/>
        <v>100</v>
      </c>
      <c r="T42" s="1512" t="s">
        <v>8</v>
      </c>
      <c r="U42" s="1513">
        <f t="shared" si="13"/>
        <v>100</v>
      </c>
      <c r="V42" s="1512" t="s">
        <v>8</v>
      </c>
      <c r="W42" s="1513">
        <f t="shared" si="14"/>
        <v>100</v>
      </c>
      <c r="X42" s="1514"/>
      <c r="Y42" s="413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31"/>
      <c r="Q43" s="1507" t="str">
        <f t="shared" si="11"/>
        <v>内部装修</v>
      </c>
      <c r="R43" s="1508" t="s">
        <v>8</v>
      </c>
      <c r="S43" s="1509">
        <f t="shared" si="12"/>
        <v>100</v>
      </c>
      <c r="T43" s="1508" t="s">
        <v>8</v>
      </c>
      <c r="U43" s="1509">
        <f t="shared" si="13"/>
        <v>100</v>
      </c>
      <c r="V43" s="1508" t="s">
        <v>8</v>
      </c>
      <c r="W43" s="1509">
        <f t="shared" si="14"/>
        <v>100</v>
      </c>
      <c r="X43" s="1502"/>
      <c r="Y43" s="413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31"/>
      <c r="Q44" s="1507" t="str">
        <f t="shared" si="11"/>
        <v>内部装修维护情况</v>
      </c>
      <c r="R44" s="1508" t="s">
        <v>8</v>
      </c>
      <c r="S44" s="1509">
        <f t="shared" si="12"/>
        <v>100</v>
      </c>
      <c r="T44" s="1508" t="s">
        <v>8</v>
      </c>
      <c r="U44" s="1509">
        <f t="shared" si="13"/>
        <v>100</v>
      </c>
      <c r="V44" s="1508" t="s">
        <v>8</v>
      </c>
      <c r="W44" s="1509">
        <f t="shared" si="14"/>
        <v>100</v>
      </c>
      <c r="X44" s="1502"/>
      <c r="Y44" s="413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31"/>
      <c r="Q45" s="1134">
        <f t="shared" si="11"/>
        <v>111</v>
      </c>
      <c r="R45" s="1503" t="s">
        <v>8</v>
      </c>
      <c r="S45" s="1504">
        <f t="shared" si="12"/>
        <v>100</v>
      </c>
      <c r="T45" s="1503" t="s">
        <v>8</v>
      </c>
      <c r="U45" s="1504">
        <f t="shared" si="13"/>
        <v>100</v>
      </c>
      <c r="V45" s="1503" t="s">
        <v>8</v>
      </c>
      <c r="W45" s="1504">
        <f t="shared" si="14"/>
        <v>100</v>
      </c>
      <c r="X45" s="1505"/>
      <c r="Y45" s="413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31"/>
      <c r="Q46" s="1507">
        <f t="shared" si="11"/>
        <v>111</v>
      </c>
      <c r="R46" s="1508" t="s">
        <v>8</v>
      </c>
      <c r="S46" s="1509">
        <f t="shared" si="12"/>
        <v>100</v>
      </c>
      <c r="T46" s="1508" t="s">
        <v>8</v>
      </c>
      <c r="U46" s="1509">
        <f t="shared" si="13"/>
        <v>100</v>
      </c>
      <c r="V46" s="1508" t="s">
        <v>8</v>
      </c>
      <c r="W46" s="1509">
        <f t="shared" si="14"/>
        <v>100</v>
      </c>
      <c r="X46" s="1502"/>
      <c r="Y46" s="413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194"/>
      <c r="Q47" s="1507">
        <f t="shared" si="11"/>
        <v>111</v>
      </c>
      <c r="R47" s="1508" t="s">
        <v>8</v>
      </c>
      <c r="S47" s="1509">
        <f t="shared" si="12"/>
        <v>100</v>
      </c>
      <c r="T47" s="1508" t="s">
        <v>8</v>
      </c>
      <c r="U47" s="1509">
        <f t="shared" si="13"/>
        <v>100</v>
      </c>
      <c r="V47" s="1508" t="s">
        <v>8</v>
      </c>
      <c r="W47" s="1509">
        <f t="shared" si="14"/>
        <v>100</v>
      </c>
      <c r="X47" s="1502"/>
      <c r="Y47" s="4194"/>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148" t="str">
        <f>A48</f>
        <v>成交单价（元/平方米）</v>
      </c>
      <c r="Q48" s="4126"/>
      <c r="R48" s="4193">
        <f>E48</f>
        <v>0</v>
      </c>
      <c r="S48" s="4193"/>
      <c r="T48" s="4193">
        <f>G48</f>
        <v>0</v>
      </c>
      <c r="U48" s="4193"/>
      <c r="V48" s="4193">
        <f>I48</f>
        <v>0</v>
      </c>
      <c r="W48" s="4193"/>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148" t="str">
        <f>A49</f>
        <v>比较价格（元/平方米）</v>
      </c>
      <c r="Q49" s="4126"/>
      <c r="R49" s="4193" t="e">
        <f>IF(F1="售价",ROUND(PRODUCT(R48,AA7:AA47),0),ROUND(PRODUCT(R48,AA7:AA47),1))</f>
        <v>#DIV/0!</v>
      </c>
      <c r="S49" s="4193"/>
      <c r="T49" s="4193" t="e">
        <f>IF(F1="售价",ROUND(PRODUCT(T48,AB7:AB47),0),ROUND(PRODUCT(T48,AB7:AB47),1))</f>
        <v>#DIV/0!</v>
      </c>
      <c r="U49" s="4193"/>
      <c r="V49" s="4193" t="e">
        <f>IF(F1="售价",ROUND(PRODUCT(V48,AC7:AC47),0),ROUND(PRODUCT(V48,AC7:AC47),1))</f>
        <v>#DIV/0!</v>
      </c>
      <c r="W49" s="4193"/>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198" t="str">
        <f>A50</f>
        <v>估价对象XX用房的比较价格（楼面单价，元/平方米）</v>
      </c>
      <c r="Q50" s="4148"/>
      <c r="R50" s="4192" t="e">
        <f>IF(F1="售价",ROUND(IF(D49="简单平均",AVERAGE(R49:V49),R49*F49+T49*H49+V49*J49),0),ROUND(IF(D49="简单平均",AVERAGE(R49:V49),R49*F49+T49*H49+V49*J49),1))</f>
        <v>#DIV/0!</v>
      </c>
      <c r="S50" s="4192"/>
      <c r="T50" s="4192"/>
      <c r="U50" s="4192"/>
      <c r="V50" s="4192"/>
      <c r="W50" s="4192"/>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32" t="s">
        <v>516</v>
      </c>
      <c r="D6" s="4133"/>
      <c r="E6" s="4190" t="s">
        <v>517</v>
      </c>
      <c r="F6" s="4191"/>
      <c r="G6" s="4132" t="s">
        <v>518</v>
      </c>
      <c r="H6" s="4133"/>
      <c r="I6" s="4132" t="s">
        <v>519</v>
      </c>
      <c r="J6" s="4133"/>
      <c r="K6" s="508" t="s">
        <v>520</v>
      </c>
      <c r="L6" s="2015"/>
      <c r="M6" s="2016"/>
      <c r="N6" s="2016"/>
      <c r="O6" s="2016"/>
      <c r="P6" s="4134" t="s">
        <v>521</v>
      </c>
      <c r="Q6" s="4135"/>
      <c r="R6" s="4120" t="s">
        <v>517</v>
      </c>
      <c r="S6" s="4121"/>
      <c r="T6" s="4120" t="s">
        <v>518</v>
      </c>
      <c r="U6" s="4121"/>
      <c r="V6" s="4140" t="s">
        <v>519</v>
      </c>
      <c r="W6" s="4140"/>
      <c r="X6" s="1502"/>
      <c r="Y6" s="4120" t="s">
        <v>521</v>
      </c>
      <c r="Z6" s="4121"/>
      <c r="AA6" s="4115" t="s">
        <v>517</v>
      </c>
      <c r="AB6" s="4116" t="s">
        <v>518</v>
      </c>
      <c r="AC6" s="4115" t="s">
        <v>519</v>
      </c>
    </row>
    <row r="7" spans="1:29" ht="15">
      <c r="A7" s="509"/>
      <c r="B7" s="510"/>
      <c r="C7" s="4143" t="s">
        <v>2897</v>
      </c>
      <c r="D7" s="4144"/>
      <c r="E7" s="4186" t="s">
        <v>2898</v>
      </c>
      <c r="F7" s="4187"/>
      <c r="G7" s="4143" t="s">
        <v>2899</v>
      </c>
      <c r="H7" s="4144"/>
      <c r="I7" s="4143" t="s">
        <v>2900</v>
      </c>
      <c r="J7" s="4144"/>
      <c r="K7" s="508"/>
      <c r="L7" s="2015"/>
      <c r="M7" s="2016"/>
      <c r="N7" s="2016"/>
      <c r="O7" s="2016"/>
      <c r="P7" s="4136"/>
      <c r="Q7" s="4137"/>
      <c r="R7" s="4122"/>
      <c r="S7" s="4123"/>
      <c r="T7" s="4122"/>
      <c r="U7" s="4123"/>
      <c r="V7" s="4140"/>
      <c r="W7" s="4140"/>
      <c r="X7" s="1502"/>
      <c r="Y7" s="4122"/>
      <c r="Z7" s="4123"/>
      <c r="AA7" s="4116"/>
      <c r="AB7" s="4116"/>
      <c r="AC7" s="4116"/>
    </row>
    <row r="8" spans="1:29" ht="15.75" thickBot="1">
      <c r="A8" s="511"/>
      <c r="B8" s="512"/>
      <c r="C8" s="4141" t="s">
        <v>2901</v>
      </c>
      <c r="D8" s="4142"/>
      <c r="E8" s="4188" t="s">
        <v>2901</v>
      </c>
      <c r="F8" s="4189"/>
      <c r="G8" s="4141" t="s">
        <v>2901</v>
      </c>
      <c r="H8" s="4142"/>
      <c r="I8" s="4141" t="s">
        <v>2901</v>
      </c>
      <c r="J8" s="4142"/>
      <c r="K8" s="508" t="s">
        <v>522</v>
      </c>
      <c r="L8" s="2015"/>
      <c r="M8" s="2016"/>
      <c r="N8" s="2016"/>
      <c r="O8" s="2016"/>
      <c r="P8" s="4138"/>
      <c r="Q8" s="4139"/>
      <c r="R8" s="4122"/>
      <c r="S8" s="4123"/>
      <c r="T8" s="4124"/>
      <c r="U8" s="4125"/>
      <c r="V8" s="4140"/>
      <c r="W8" s="4140"/>
      <c r="X8" s="1502"/>
      <c r="Y8" s="4124"/>
      <c r="Z8" s="4125"/>
      <c r="AA8" s="4117"/>
      <c r="AB8" s="4117"/>
      <c r="AC8" s="4117"/>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18" t="s">
        <v>524</v>
      </c>
      <c r="Q9" s="4127"/>
      <c r="R9" s="1503" t="s">
        <v>8</v>
      </c>
      <c r="S9" s="1504">
        <f t="shared" ref="S9:S17" si="0">F9</f>
        <v>0</v>
      </c>
      <c r="T9" s="1503" t="s">
        <v>8</v>
      </c>
      <c r="U9" s="1504">
        <f t="shared" ref="U9:U17" si="1">H9</f>
        <v>0</v>
      </c>
      <c r="V9" s="1503" t="s">
        <v>8</v>
      </c>
      <c r="W9" s="1504">
        <f t="shared" ref="W9:W17" si="2">J9</f>
        <v>0</v>
      </c>
      <c r="X9" s="1505"/>
      <c r="Y9" s="4118" t="s">
        <v>524</v>
      </c>
      <c r="Z9" s="4119"/>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18" t="s">
        <v>527</v>
      </c>
      <c r="Q10" s="4119"/>
      <c r="R10" s="1503" t="s">
        <v>8</v>
      </c>
      <c r="S10" s="1504">
        <f t="shared" si="0"/>
        <v>0</v>
      </c>
      <c r="T10" s="1503" t="s">
        <v>8</v>
      </c>
      <c r="U10" s="1504">
        <f t="shared" si="1"/>
        <v>0</v>
      </c>
      <c r="V10" s="1503" t="s">
        <v>8</v>
      </c>
      <c r="W10" s="1504">
        <f t="shared" si="2"/>
        <v>0</v>
      </c>
      <c r="X10" s="1505"/>
      <c r="Y10" s="4118" t="s">
        <v>527</v>
      </c>
      <c r="Z10" s="4119"/>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26" t="s">
        <v>529</v>
      </c>
      <c r="Q11" s="1134" t="str">
        <f t="shared" ref="Q11:Q17" si="6">B11</f>
        <v>用途</v>
      </c>
      <c r="R11" s="1503" t="s">
        <v>8</v>
      </c>
      <c r="S11" s="1504">
        <f t="shared" si="0"/>
        <v>100</v>
      </c>
      <c r="T11" s="1503" t="s">
        <v>8</v>
      </c>
      <c r="U11" s="1504">
        <f t="shared" si="1"/>
        <v>100</v>
      </c>
      <c r="V11" s="1503" t="s">
        <v>8</v>
      </c>
      <c r="W11" s="1504">
        <f t="shared" si="2"/>
        <v>100</v>
      </c>
      <c r="X11" s="1505"/>
      <c r="Y11" s="4049"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26"/>
      <c r="Q12" s="1134" t="str">
        <f t="shared" si="6"/>
        <v>土地使用年限（年）</v>
      </c>
      <c r="R12" s="1503" t="s">
        <v>8</v>
      </c>
      <c r="S12" s="1504">
        <f t="shared" si="0"/>
        <v>100</v>
      </c>
      <c r="T12" s="1503" t="s">
        <v>8</v>
      </c>
      <c r="U12" s="1504">
        <f t="shared" si="1"/>
        <v>100</v>
      </c>
      <c r="V12" s="1503" t="s">
        <v>8</v>
      </c>
      <c r="W12" s="1504">
        <f t="shared" si="2"/>
        <v>100</v>
      </c>
      <c r="X12" s="1505"/>
      <c r="Y12" s="4049"/>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26"/>
      <c r="Q13" s="1134" t="str">
        <f t="shared" si="6"/>
        <v>容积率</v>
      </c>
      <c r="R13" s="1503" t="s">
        <v>8</v>
      </c>
      <c r="S13" s="1504" t="e">
        <f t="shared" si="0"/>
        <v>#N/A</v>
      </c>
      <c r="T13" s="1503" t="s">
        <v>8</v>
      </c>
      <c r="U13" s="1504" t="e">
        <f t="shared" si="1"/>
        <v>#N/A</v>
      </c>
      <c r="V13" s="1503" t="s">
        <v>8</v>
      </c>
      <c r="W13" s="1504" t="e">
        <f t="shared" si="2"/>
        <v>#N/A</v>
      </c>
      <c r="X13" s="1505"/>
      <c r="Y13" s="4049"/>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26"/>
      <c r="Q14" s="1134">
        <f t="shared" si="6"/>
        <v>111</v>
      </c>
      <c r="R14" s="1503" t="s">
        <v>8</v>
      </c>
      <c r="S14" s="1504">
        <f t="shared" si="0"/>
        <v>100</v>
      </c>
      <c r="T14" s="1503" t="s">
        <v>8</v>
      </c>
      <c r="U14" s="1504">
        <f t="shared" si="1"/>
        <v>100</v>
      </c>
      <c r="V14" s="1503" t="s">
        <v>8</v>
      </c>
      <c r="W14" s="1504">
        <f t="shared" si="2"/>
        <v>100</v>
      </c>
      <c r="X14" s="1505"/>
      <c r="Y14" s="4049"/>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26"/>
      <c r="Q15" s="1134">
        <f t="shared" si="6"/>
        <v>111</v>
      </c>
      <c r="R15" s="1503" t="s">
        <v>8</v>
      </c>
      <c r="S15" s="1504">
        <f t="shared" si="0"/>
        <v>100</v>
      </c>
      <c r="T15" s="1503" t="s">
        <v>8</v>
      </c>
      <c r="U15" s="1504">
        <f t="shared" si="1"/>
        <v>100</v>
      </c>
      <c r="V15" s="1503" t="s">
        <v>8</v>
      </c>
      <c r="W15" s="1504">
        <f t="shared" si="2"/>
        <v>100</v>
      </c>
      <c r="X15" s="1505"/>
      <c r="Y15" s="4049"/>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26"/>
      <c r="Q16" s="1134">
        <f t="shared" si="6"/>
        <v>111</v>
      </c>
      <c r="R16" s="1503" t="s">
        <v>8</v>
      </c>
      <c r="S16" s="1504">
        <f t="shared" si="0"/>
        <v>100</v>
      </c>
      <c r="T16" s="1503" t="s">
        <v>8</v>
      </c>
      <c r="U16" s="1504">
        <f t="shared" si="1"/>
        <v>100</v>
      </c>
      <c r="V16" s="1503" t="s">
        <v>8</v>
      </c>
      <c r="W16" s="1504">
        <f t="shared" si="2"/>
        <v>100</v>
      </c>
      <c r="X16" s="1505"/>
      <c r="Y16" s="4049"/>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28" t="s">
        <v>534</v>
      </c>
      <c r="Q17" s="1507" t="str">
        <f t="shared" si="6"/>
        <v>产业集聚程度</v>
      </c>
      <c r="R17" s="1508" t="s">
        <v>8</v>
      </c>
      <c r="S17" s="1509">
        <f t="shared" si="0"/>
        <v>100</v>
      </c>
      <c r="T17" s="1508" t="s">
        <v>8</v>
      </c>
      <c r="U17" s="1509">
        <f t="shared" si="1"/>
        <v>100</v>
      </c>
      <c r="V17" s="1508" t="s">
        <v>8</v>
      </c>
      <c r="W17" s="1509">
        <f t="shared" si="2"/>
        <v>100</v>
      </c>
      <c r="X17" s="1502"/>
      <c r="Y17" s="412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29"/>
      <c r="Q18" s="1507"/>
      <c r="R18" s="1508"/>
      <c r="S18" s="1509"/>
      <c r="T18" s="1508"/>
      <c r="U18" s="1509"/>
      <c r="V18" s="1508"/>
      <c r="W18" s="1509"/>
      <c r="X18" s="1502"/>
      <c r="Y18" s="412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29"/>
      <c r="Q19" s="1507" t="str">
        <f>B19</f>
        <v>交通便捷度</v>
      </c>
      <c r="R19" s="1508" t="s">
        <v>8</v>
      </c>
      <c r="S19" s="1509">
        <f>F19</f>
        <v>100</v>
      </c>
      <c r="T19" s="1508" t="s">
        <v>8</v>
      </c>
      <c r="U19" s="1509">
        <f>H19</f>
        <v>100</v>
      </c>
      <c r="V19" s="1508" t="s">
        <v>8</v>
      </c>
      <c r="W19" s="1509">
        <f>J19</f>
        <v>100</v>
      </c>
      <c r="X19" s="1502"/>
      <c r="Y19" s="412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29"/>
      <c r="Q20" s="1507"/>
      <c r="R20" s="1508"/>
      <c r="S20" s="1509"/>
      <c r="T20" s="1508"/>
      <c r="U20" s="1509"/>
      <c r="V20" s="1508"/>
      <c r="W20" s="1509"/>
      <c r="X20" s="1502"/>
      <c r="Y20" s="412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29"/>
      <c r="Q21" s="1507" t="str">
        <f t="shared" ref="Q21:Q35" si="8">B21</f>
        <v>区域土地利用方向</v>
      </c>
      <c r="R21" s="1508" t="s">
        <v>8</v>
      </c>
      <c r="S21" s="1509">
        <f>F21</f>
        <v>100</v>
      </c>
      <c r="T21" s="1508" t="s">
        <v>8</v>
      </c>
      <c r="U21" s="1509">
        <f>H21</f>
        <v>100</v>
      </c>
      <c r="V21" s="1508" t="s">
        <v>8</v>
      </c>
      <c r="W21" s="1509">
        <f>J21</f>
        <v>100</v>
      </c>
      <c r="X21" s="1502"/>
      <c r="Y21" s="412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29"/>
      <c r="Q22" s="1507"/>
      <c r="R22" s="1508"/>
      <c r="S22" s="1509"/>
      <c r="T22" s="1508"/>
      <c r="U22" s="1509"/>
      <c r="V22" s="1508"/>
      <c r="W22" s="1509"/>
      <c r="X22" s="1502"/>
      <c r="Y22" s="412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29"/>
      <c r="Q23" s="1507" t="str">
        <f t="shared" si="8"/>
        <v>环境状况</v>
      </c>
      <c r="R23" s="1508" t="s">
        <v>8</v>
      </c>
      <c r="S23" s="1509">
        <f>F23</f>
        <v>100</v>
      </c>
      <c r="T23" s="1508" t="s">
        <v>8</v>
      </c>
      <c r="U23" s="1509">
        <f>H23</f>
        <v>100</v>
      </c>
      <c r="V23" s="1508" t="s">
        <v>8</v>
      </c>
      <c r="W23" s="1509">
        <f>J23</f>
        <v>100</v>
      </c>
      <c r="X23" s="1502"/>
      <c r="Y23" s="412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29"/>
      <c r="Q24" s="1507"/>
      <c r="R24" s="1508"/>
      <c r="S24" s="1509"/>
      <c r="T24" s="1508"/>
      <c r="U24" s="1509"/>
      <c r="V24" s="1508"/>
      <c r="W24" s="1509"/>
      <c r="X24" s="1502"/>
      <c r="Y24" s="4129"/>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29"/>
      <c r="Q25" s="1134" t="str">
        <f t="shared" si="8"/>
        <v>公共配套设施</v>
      </c>
      <c r="R25" s="1503" t="s">
        <v>8</v>
      </c>
      <c r="S25" s="1504">
        <f>F25</f>
        <v>100</v>
      </c>
      <c r="T25" s="1503" t="s">
        <v>8</v>
      </c>
      <c r="U25" s="1504">
        <f>H25</f>
        <v>100</v>
      </c>
      <c r="V25" s="1503" t="s">
        <v>8</v>
      </c>
      <c r="W25" s="1504">
        <f>J25</f>
        <v>100</v>
      </c>
      <c r="X25" s="1505"/>
      <c r="Y25" s="4129"/>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29"/>
      <c r="Q26" s="1134"/>
      <c r="R26" s="1503"/>
      <c r="S26" s="1504"/>
      <c r="T26" s="1503"/>
      <c r="U26" s="1504"/>
      <c r="V26" s="1503"/>
      <c r="W26" s="1504"/>
      <c r="X26" s="1505"/>
      <c r="Y26" s="4129"/>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29"/>
      <c r="Q27" s="2428" t="str">
        <f t="shared" ref="Q27" si="9">B27</f>
        <v>基础设施水平</v>
      </c>
      <c r="R27" s="1503" t="s">
        <v>8</v>
      </c>
      <c r="S27" s="1504">
        <f>F27</f>
        <v>100</v>
      </c>
      <c r="T27" s="1503" t="s">
        <v>8</v>
      </c>
      <c r="U27" s="1504">
        <f>H27</f>
        <v>100</v>
      </c>
      <c r="V27" s="1503" t="s">
        <v>8</v>
      </c>
      <c r="W27" s="1504">
        <f>J27</f>
        <v>100</v>
      </c>
      <c r="X27" s="1505"/>
      <c r="Y27" s="4129"/>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29"/>
      <c r="Q28" s="2428"/>
      <c r="R28" s="1503"/>
      <c r="S28" s="1504"/>
      <c r="T28" s="1503"/>
      <c r="U28" s="1504"/>
      <c r="V28" s="1503"/>
      <c r="W28" s="1504"/>
      <c r="X28" s="1505"/>
      <c r="Y28" s="4129"/>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2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29"/>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29"/>
      <c r="Q30" s="1507" t="str">
        <f t="shared" si="8"/>
        <v>毗邻道路的类型与等级</v>
      </c>
      <c r="R30" s="1508" t="s">
        <v>8</v>
      </c>
      <c r="S30" s="1509">
        <f t="shared" si="10"/>
        <v>100</v>
      </c>
      <c r="T30" s="1508" t="s">
        <v>8</v>
      </c>
      <c r="U30" s="1509">
        <f t="shared" si="11"/>
        <v>100</v>
      </c>
      <c r="V30" s="1508" t="s">
        <v>8</v>
      </c>
      <c r="W30" s="1509">
        <f t="shared" si="12"/>
        <v>100</v>
      </c>
      <c r="X30" s="1502"/>
      <c r="Y30" s="412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29"/>
      <c r="Q31" s="1507"/>
      <c r="R31" s="1508"/>
      <c r="S31" s="1509"/>
      <c r="T31" s="1508"/>
      <c r="U31" s="1509"/>
      <c r="V31" s="1508"/>
      <c r="W31" s="1509"/>
      <c r="X31" s="1502"/>
      <c r="Y31" s="4129"/>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29"/>
      <c r="Q32" s="1507" t="str">
        <f t="shared" si="8"/>
        <v>土地级别</v>
      </c>
      <c r="R32" s="1508" t="s">
        <v>8</v>
      </c>
      <c r="S32" s="1509">
        <f t="shared" si="10"/>
        <v>100</v>
      </c>
      <c r="T32" s="1508" t="s">
        <v>8</v>
      </c>
      <c r="U32" s="1509">
        <f t="shared" si="11"/>
        <v>100</v>
      </c>
      <c r="V32" s="1508" t="s">
        <v>8</v>
      </c>
      <c r="W32" s="1509">
        <f t="shared" si="12"/>
        <v>100</v>
      </c>
      <c r="X32" s="1502"/>
      <c r="Y32" s="412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29"/>
      <c r="Q33" s="1507">
        <f t="shared" si="8"/>
        <v>111</v>
      </c>
      <c r="R33" s="1508" t="s">
        <v>8</v>
      </c>
      <c r="S33" s="1509">
        <f t="shared" si="10"/>
        <v>100</v>
      </c>
      <c r="T33" s="1508" t="s">
        <v>8</v>
      </c>
      <c r="U33" s="1509">
        <f t="shared" si="11"/>
        <v>100</v>
      </c>
      <c r="V33" s="1508" t="s">
        <v>8</v>
      </c>
      <c r="W33" s="1509">
        <f t="shared" si="12"/>
        <v>100</v>
      </c>
      <c r="X33" s="1502"/>
      <c r="Y33" s="412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30" t="s">
        <v>544</v>
      </c>
      <c r="Q34" s="1507">
        <f t="shared" si="8"/>
        <v>111</v>
      </c>
      <c r="R34" s="1508" t="s">
        <v>8</v>
      </c>
      <c r="S34" s="1509">
        <f t="shared" si="10"/>
        <v>100</v>
      </c>
      <c r="T34" s="1508" t="s">
        <v>8</v>
      </c>
      <c r="U34" s="1509">
        <f t="shared" si="11"/>
        <v>100</v>
      </c>
      <c r="V34" s="1508" t="s">
        <v>8</v>
      </c>
      <c r="W34" s="1509">
        <f t="shared" si="12"/>
        <v>100</v>
      </c>
      <c r="X34" s="1502"/>
      <c r="Y34" s="4131"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31"/>
      <c r="Q35" s="1507">
        <f t="shared" si="8"/>
        <v>111</v>
      </c>
      <c r="R35" s="1512" t="s">
        <v>8</v>
      </c>
      <c r="S35" s="1513">
        <f t="shared" si="10"/>
        <v>100</v>
      </c>
      <c r="T35" s="1512" t="s">
        <v>8</v>
      </c>
      <c r="U35" s="1513">
        <f t="shared" si="11"/>
        <v>100</v>
      </c>
      <c r="V35" s="1512" t="s">
        <v>8</v>
      </c>
      <c r="W35" s="1513">
        <f t="shared" si="12"/>
        <v>100</v>
      </c>
      <c r="X35" s="1514"/>
      <c r="Y35" s="4131"/>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31"/>
      <c r="Q36" s="1507" t="str">
        <f>B36</f>
        <v>宗地面积</v>
      </c>
      <c r="R36" s="1508" t="s">
        <v>8</v>
      </c>
      <c r="S36" s="1509" t="e">
        <f t="shared" si="10"/>
        <v>#N/A</v>
      </c>
      <c r="T36" s="1508" t="s">
        <v>8</v>
      </c>
      <c r="U36" s="1509" t="e">
        <f t="shared" si="11"/>
        <v>#N/A</v>
      </c>
      <c r="V36" s="1508" t="s">
        <v>8</v>
      </c>
      <c r="W36" s="1509" t="e">
        <f t="shared" si="12"/>
        <v>#N/A</v>
      </c>
      <c r="X36" s="1502"/>
      <c r="Y36" s="413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31"/>
      <c r="Q37" s="1507" t="str">
        <f t="shared" ref="Q37:Q42" si="14">B37</f>
        <v>宗地形状</v>
      </c>
      <c r="R37" s="1508" t="s">
        <v>8</v>
      </c>
      <c r="S37" s="1509">
        <f t="shared" si="10"/>
        <v>100</v>
      </c>
      <c r="T37" s="1508" t="s">
        <v>8</v>
      </c>
      <c r="U37" s="1509">
        <f t="shared" si="11"/>
        <v>100</v>
      </c>
      <c r="V37" s="1508" t="s">
        <v>8</v>
      </c>
      <c r="W37" s="1509">
        <f t="shared" si="12"/>
        <v>100</v>
      </c>
      <c r="X37" s="1502"/>
      <c r="Y37" s="4131"/>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31"/>
      <c r="Q38" s="1507" t="str">
        <f t="shared" si="14"/>
        <v>宗地开发程度</v>
      </c>
      <c r="R38" s="1503" t="s">
        <v>8</v>
      </c>
      <c r="S38" s="1504">
        <f t="shared" si="10"/>
        <v>100</v>
      </c>
      <c r="T38" s="1503" t="s">
        <v>8</v>
      </c>
      <c r="U38" s="1504">
        <f t="shared" si="11"/>
        <v>100</v>
      </c>
      <c r="V38" s="1503" t="s">
        <v>8</v>
      </c>
      <c r="W38" s="1504">
        <f t="shared" si="12"/>
        <v>100</v>
      </c>
      <c r="X38" s="1505"/>
      <c r="Y38" s="413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31" t="s">
        <v>595</v>
      </c>
      <c r="Q39" s="1507" t="str">
        <f t="shared" si="14"/>
        <v>工程地质条件</v>
      </c>
      <c r="R39" s="1508" t="s">
        <v>8</v>
      </c>
      <c r="S39" s="1509">
        <f t="shared" si="10"/>
        <v>100</v>
      </c>
      <c r="T39" s="1508" t="s">
        <v>8</v>
      </c>
      <c r="U39" s="1509">
        <f t="shared" si="11"/>
        <v>100</v>
      </c>
      <c r="V39" s="1508" t="s">
        <v>8</v>
      </c>
      <c r="W39" s="1509">
        <f t="shared" si="12"/>
        <v>100</v>
      </c>
      <c r="X39" s="1502"/>
      <c r="Y39" s="413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31"/>
      <c r="Q40" s="1507">
        <f t="shared" si="14"/>
        <v>111</v>
      </c>
      <c r="R40" s="1508" t="s">
        <v>8</v>
      </c>
      <c r="S40" s="1509">
        <f t="shared" si="10"/>
        <v>100</v>
      </c>
      <c r="T40" s="1508" t="s">
        <v>8</v>
      </c>
      <c r="U40" s="1509">
        <f t="shared" si="11"/>
        <v>100</v>
      </c>
      <c r="V40" s="1508" t="s">
        <v>8</v>
      </c>
      <c r="W40" s="1509">
        <f t="shared" si="12"/>
        <v>100</v>
      </c>
      <c r="X40" s="1502"/>
      <c r="Y40" s="413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31"/>
      <c r="Q41" s="1507">
        <f t="shared" si="14"/>
        <v>111</v>
      </c>
      <c r="R41" s="1508" t="s">
        <v>8</v>
      </c>
      <c r="S41" s="1509">
        <f t="shared" si="10"/>
        <v>100</v>
      </c>
      <c r="T41" s="1508" t="s">
        <v>8</v>
      </c>
      <c r="U41" s="1509">
        <f t="shared" si="11"/>
        <v>100</v>
      </c>
      <c r="V41" s="1508" t="s">
        <v>8</v>
      </c>
      <c r="W41" s="1509">
        <f t="shared" si="12"/>
        <v>100</v>
      </c>
      <c r="X41" s="1502"/>
      <c r="Y41" s="413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31"/>
      <c r="Q42" s="1507">
        <f t="shared" si="14"/>
        <v>111</v>
      </c>
      <c r="R42" s="1512" t="s">
        <v>8</v>
      </c>
      <c r="S42" s="1513">
        <f t="shared" si="10"/>
        <v>100</v>
      </c>
      <c r="T42" s="1512" t="s">
        <v>8</v>
      </c>
      <c r="U42" s="1513">
        <f t="shared" si="11"/>
        <v>100</v>
      </c>
      <c r="V42" s="1512" t="s">
        <v>8</v>
      </c>
      <c r="W42" s="1513">
        <f t="shared" si="12"/>
        <v>100</v>
      </c>
      <c r="X42" s="1514"/>
      <c r="Y42" s="4131"/>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26" t="str">
        <f>A43</f>
        <v>成交单价</v>
      </c>
      <c r="Q43" s="4126"/>
      <c r="R43" s="4140">
        <f>E43</f>
        <v>0</v>
      </c>
      <c r="S43" s="4140"/>
      <c r="T43" s="4140">
        <f>G43</f>
        <v>0</v>
      </c>
      <c r="U43" s="4140"/>
      <c r="V43" s="4140">
        <f>I43</f>
        <v>0</v>
      </c>
      <c r="W43" s="4140"/>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26" t="str">
        <f>A44</f>
        <v>比较价格（元/平方米）</v>
      </c>
      <c r="Q44" s="4126"/>
      <c r="R44" s="4150" t="e">
        <f>ROUND(PRODUCT(R43,AA9:AA42),0)</f>
        <v>#DIV/0!</v>
      </c>
      <c r="S44" s="4150"/>
      <c r="T44" s="4150" t="e">
        <f>ROUND(PRODUCT(T43,AB9:AB42),0)</f>
        <v>#DIV/0!</v>
      </c>
      <c r="U44" s="4150"/>
      <c r="V44" s="4150" t="e">
        <f>ROUND(PRODUCT(V43,AC9:AC42),0)</f>
        <v>#DIV/0!</v>
      </c>
      <c r="W44" s="4150"/>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147" t="str">
        <f>A45</f>
        <v>估价对象XX用房的比较价格（楼面单价，元/平方米）</v>
      </c>
      <c r="Q45" s="4148"/>
      <c r="R45" s="4204" t="e">
        <f>ROUND(IF(D44="简单平均",AVERAGE(R44:W44),R44*F44+T44*H44+V44*J44),0)</f>
        <v>#DIV/0!</v>
      </c>
      <c r="S45" s="4204"/>
      <c r="T45" s="4204"/>
      <c r="U45" s="4204"/>
      <c r="V45" s="4204"/>
      <c r="W45" s="4204"/>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199" t="s">
        <v>2272</v>
      </c>
      <c r="H52" s="4200"/>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201"/>
      <c r="H53" s="4202"/>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203"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203"/>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203"/>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203"/>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39"/>
  <sheetViews>
    <sheetView topLeftCell="D14" workbookViewId="0">
      <selection activeCell="L9" sqref="L9"/>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205" t="s">
        <v>3095</v>
      </c>
      <c r="B1" s="4205"/>
      <c r="C1" s="4205"/>
      <c r="D1" s="4205"/>
      <c r="E1" s="4205"/>
      <c r="F1" s="4205"/>
      <c r="G1" s="4205"/>
      <c r="H1" s="4205"/>
      <c r="I1" s="4205"/>
      <c r="J1" s="4205"/>
    </row>
    <row r="2" spans="1:22">
      <c r="A2" s="3285"/>
      <c r="B2" s="3285"/>
      <c r="C2" s="3285"/>
      <c r="D2" s="3285"/>
      <c r="E2" s="3285"/>
      <c r="F2" s="3285"/>
      <c r="G2" s="3285"/>
      <c r="H2" s="3285"/>
      <c r="I2" s="3285"/>
      <c r="J2" s="3285"/>
      <c r="K2" s="3285"/>
      <c r="L2" s="3285"/>
      <c r="M2" s="3285"/>
      <c r="N2" s="3285"/>
    </row>
    <row r="3" spans="1:22" ht="15">
      <c r="A3" s="4206" t="s">
        <v>2361</v>
      </c>
      <c r="B3" s="4206"/>
      <c r="C3" s="4207" t="s">
        <v>3096</v>
      </c>
      <c r="D3" s="4207"/>
      <c r="E3" s="4207" t="s">
        <v>3097</v>
      </c>
      <c r="F3" s="4207"/>
      <c r="G3" s="4207" t="s">
        <v>3098</v>
      </c>
      <c r="H3" s="4207"/>
      <c r="I3" s="4207" t="s">
        <v>3099</v>
      </c>
      <c r="J3" s="4207"/>
      <c r="K3" s="4207" t="s">
        <v>3100</v>
      </c>
      <c r="L3" s="4207"/>
      <c r="M3" s="4207" t="s">
        <v>3101</v>
      </c>
      <c r="N3" s="4207"/>
      <c r="P3" s="1977"/>
      <c r="Q3" s="1977"/>
      <c r="R3" s="1977"/>
      <c r="S3" s="1977"/>
      <c r="T3" s="3286"/>
      <c r="U3" s="3287"/>
      <c r="V3" s="1977"/>
    </row>
    <row r="4" spans="1:22" ht="48.75" customHeight="1">
      <c r="A4" s="4206" t="s">
        <v>3102</v>
      </c>
      <c r="B4" s="4206"/>
      <c r="C4" s="4208"/>
      <c r="D4" s="4209"/>
      <c r="E4" s="4210" t="str">
        <f>[4]土地案例!F10</f>
        <v>顺义区高丽营镇于庄土地一级开发项目03-21、03-31地块</v>
      </c>
      <c r="F4" s="4209"/>
      <c r="G4" s="4210" t="str">
        <f>[4]土地案例!F12</f>
        <v>怀柔区怀柔镇04街区HR00-0004-6001、6002、6003、6004地块F2用地及0050地块供燃气用地</v>
      </c>
      <c r="H4" s="4209"/>
      <c r="I4" s="4210" t="str">
        <f>[4]土地案例!F14</f>
        <v>顺义区国际鲜花港土地一级开发项目A-01地块</v>
      </c>
      <c r="J4" s="4209"/>
      <c r="K4" s="4210" t="str">
        <f>[4]土地案例!F19</f>
        <v>顺义卫星城牛栏山组团东南部土地一级开发项目SY00-0017-6001、1103、1202等地块</v>
      </c>
      <c r="L4" s="4209"/>
      <c r="M4" s="4210" t="str">
        <f>[4]土地案例!F28</f>
        <v>怀柔区雁栖镇陈各庄村土地一级开发项目</v>
      </c>
      <c r="N4" s="4209"/>
      <c r="P4" s="3288"/>
      <c r="Q4" s="1977"/>
      <c r="R4" s="3288"/>
      <c r="S4" s="1977"/>
      <c r="T4" s="3286"/>
      <c r="U4" s="3287"/>
      <c r="V4" s="3287"/>
    </row>
    <row r="5" spans="1:22" ht="10.5" customHeight="1">
      <c r="A5" s="4206" t="s">
        <v>3103</v>
      </c>
      <c r="B5" s="4206"/>
      <c r="C5" s="4214" t="s">
        <v>3104</v>
      </c>
      <c r="D5" s="4209"/>
      <c r="E5" s="4208">
        <f>[5]橡树湾数据!H7</f>
        <v>109.08</v>
      </c>
      <c r="F5" s="4209"/>
      <c r="G5" s="4208">
        <f>[5]领秀硅谷数据!H6</f>
        <v>101.33</v>
      </c>
      <c r="H5" s="4209"/>
      <c r="I5" s="4208">
        <f>[5]毛纺厂西数据!H6</f>
        <v>110.5</v>
      </c>
      <c r="J5" s="4209"/>
      <c r="K5" s="4208">
        <f>[5]专家国际花园数据!H6</f>
        <v>102</v>
      </c>
      <c r="L5" s="4209"/>
      <c r="M5" s="4208">
        <f>[5]尚品公寓数据!H6</f>
        <v>98.25</v>
      </c>
      <c r="N5" s="4209"/>
      <c r="P5" s="3289"/>
      <c r="Q5" s="3290"/>
      <c r="R5" s="3291"/>
      <c r="S5" s="3290"/>
      <c r="T5" s="3286"/>
      <c r="U5" s="3287"/>
      <c r="V5" s="3287"/>
    </row>
    <row r="6" spans="1:22" ht="15">
      <c r="A6" s="4206" t="s">
        <v>3105</v>
      </c>
      <c r="B6" s="4206"/>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206" t="s">
        <v>3109</v>
      </c>
      <c r="B7" s="4206"/>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211" t="s">
        <v>3111</v>
      </c>
      <c r="B8" s="3298" t="s">
        <v>1646</v>
      </c>
      <c r="C8" s="3296" t="s">
        <v>3092</v>
      </c>
      <c r="D8" s="3296">
        <v>100</v>
      </c>
      <c r="E8" s="3296" t="s">
        <v>3094</v>
      </c>
      <c r="F8" s="3296">
        <v>125</v>
      </c>
      <c r="G8" s="3296" t="s">
        <v>3094</v>
      </c>
      <c r="H8" s="3296">
        <f>F8</f>
        <v>125</v>
      </c>
      <c r="I8" s="3296" t="s">
        <v>3094</v>
      </c>
      <c r="J8" s="3296">
        <f>H8</f>
        <v>125</v>
      </c>
      <c r="K8" s="3296" t="s">
        <v>3094</v>
      </c>
      <c r="L8" s="3296">
        <f>J8</f>
        <v>125</v>
      </c>
      <c r="M8" s="3296" t="s">
        <v>3092</v>
      </c>
      <c r="N8" s="3297">
        <v>100</v>
      </c>
      <c r="P8" s="3295"/>
      <c r="Q8" s="3290"/>
      <c r="R8" s="3299"/>
      <c r="S8" s="3290"/>
      <c r="T8" s="3286"/>
      <c r="U8" s="3287"/>
      <c r="V8" s="3287"/>
    </row>
    <row r="9" spans="1:22" ht="15">
      <c r="A9" s="4212"/>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212"/>
      <c r="B10" s="3298" t="s">
        <v>3113</v>
      </c>
      <c r="C10" s="3296" t="s">
        <v>3114</v>
      </c>
      <c r="D10" s="3296">
        <v>100</v>
      </c>
      <c r="E10" s="3296" t="s">
        <v>3115</v>
      </c>
      <c r="F10" s="3296">
        <v>125</v>
      </c>
      <c r="G10" s="3296" t="s">
        <v>3114</v>
      </c>
      <c r="H10" s="3296">
        <v>100</v>
      </c>
      <c r="I10" s="3296" t="s">
        <v>3116</v>
      </c>
      <c r="J10" s="3296">
        <v>115</v>
      </c>
      <c r="K10" s="3296" t="s">
        <v>3116</v>
      </c>
      <c r="L10" s="3296">
        <v>115</v>
      </c>
      <c r="M10" s="3296" t="s">
        <v>3114</v>
      </c>
      <c r="N10" s="3297">
        <v>100</v>
      </c>
      <c r="P10" s="3290"/>
      <c r="Q10" s="3290"/>
      <c r="R10" s="3290"/>
      <c r="S10" s="3290"/>
      <c r="T10" s="3286"/>
      <c r="U10" s="3287"/>
      <c r="V10" s="3287"/>
    </row>
    <row r="11" spans="1:22" ht="48">
      <c r="A11" s="4212"/>
      <c r="B11" s="3300" t="s">
        <v>3117</v>
      </c>
      <c r="C11" s="3298" t="s">
        <v>3118</v>
      </c>
      <c r="D11" s="3296">
        <v>100</v>
      </c>
      <c r="E11" s="3298" t="s">
        <v>3119</v>
      </c>
      <c r="F11" s="3906">
        <v>125</v>
      </c>
      <c r="G11" s="3298" t="s">
        <v>3119</v>
      </c>
      <c r="H11" s="3297">
        <f>F11</f>
        <v>125</v>
      </c>
      <c r="I11" s="3298" t="s">
        <v>3119</v>
      </c>
      <c r="J11" s="3297">
        <f>H11</f>
        <v>125</v>
      </c>
      <c r="K11" s="3298" t="s">
        <v>3119</v>
      </c>
      <c r="L11" s="3297">
        <f>J11</f>
        <v>125</v>
      </c>
      <c r="M11" s="3298" t="s">
        <v>3118</v>
      </c>
      <c r="N11" s="3297">
        <f>L11</f>
        <v>125</v>
      </c>
      <c r="P11" s="3290"/>
      <c r="Q11" s="3290"/>
      <c r="R11" s="3291"/>
      <c r="S11" s="3290"/>
      <c r="T11" s="3286"/>
      <c r="U11" s="3287"/>
      <c r="V11" s="3287"/>
    </row>
    <row r="12" spans="1:22" ht="31.5" hidden="1" customHeight="1">
      <c r="A12" s="4212"/>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213"/>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15" t="s">
        <v>3121</v>
      </c>
      <c r="B14" s="3300" t="s">
        <v>3122</v>
      </c>
      <c r="C14" s="3296" t="s">
        <v>3123</v>
      </c>
      <c r="D14" s="3297">
        <v>100</v>
      </c>
      <c r="E14" s="3296" t="s">
        <v>3124</v>
      </c>
      <c r="F14" s="3297">
        <v>125</v>
      </c>
      <c r="G14" s="3296" t="s">
        <v>3124</v>
      </c>
      <c r="H14" s="3297">
        <f>F14</f>
        <v>125</v>
      </c>
      <c r="I14" s="3296" t="s">
        <v>3124</v>
      </c>
      <c r="J14" s="3297">
        <f>H14</f>
        <v>125</v>
      </c>
      <c r="K14" s="3296" t="s">
        <v>3124</v>
      </c>
      <c r="L14" s="3297">
        <f>J14</f>
        <v>125</v>
      </c>
      <c r="M14" s="3296" t="s">
        <v>3124</v>
      </c>
      <c r="N14" s="3297">
        <f>L14</f>
        <v>125</v>
      </c>
    </row>
    <row r="15" spans="1:22" ht="24" customHeight="1">
      <c r="A15" s="4216"/>
      <c r="B15" s="3300" t="s">
        <v>3125</v>
      </c>
      <c r="C15" s="3296" t="s">
        <v>3126</v>
      </c>
      <c r="D15" s="3297">
        <v>100</v>
      </c>
      <c r="E15" s="3296" t="s">
        <v>3127</v>
      </c>
      <c r="F15" s="3297">
        <v>98</v>
      </c>
      <c r="G15" s="3296" t="s">
        <v>3127</v>
      </c>
      <c r="H15" s="3297">
        <v>98</v>
      </c>
      <c r="I15" s="3296" t="s">
        <v>3127</v>
      </c>
      <c r="J15" s="3297">
        <v>98</v>
      </c>
      <c r="K15" s="3296" t="s">
        <v>3127</v>
      </c>
      <c r="L15" s="3297">
        <v>98</v>
      </c>
      <c r="M15" s="3296" t="s">
        <v>3128</v>
      </c>
      <c r="N15" s="3297">
        <v>102</v>
      </c>
    </row>
    <row r="16" spans="1:22">
      <c r="A16" s="4216"/>
      <c r="B16" s="3300" t="s">
        <v>3129</v>
      </c>
      <c r="C16" s="3296" t="s">
        <v>3130</v>
      </c>
      <c r="D16" s="3297">
        <v>100</v>
      </c>
      <c r="E16" s="3296" t="s">
        <v>3131</v>
      </c>
      <c r="F16" s="3297">
        <v>125</v>
      </c>
      <c r="G16" s="3296" t="s">
        <v>3131</v>
      </c>
      <c r="H16" s="3297">
        <f>F16</f>
        <v>125</v>
      </c>
      <c r="I16" s="3296" t="s">
        <v>3131</v>
      </c>
      <c r="J16" s="3297">
        <f>H16</f>
        <v>125</v>
      </c>
      <c r="K16" s="3296" t="s">
        <v>3131</v>
      </c>
      <c r="L16" s="3297">
        <f>J16</f>
        <v>125</v>
      </c>
      <c r="M16" s="3296" t="s">
        <v>3131</v>
      </c>
      <c r="N16" s="3297">
        <f>L16</f>
        <v>125</v>
      </c>
      <c r="P16" s="3339" t="s">
        <v>3221</v>
      </c>
      <c r="Q16" s="2371"/>
      <c r="R16" s="2371"/>
      <c r="S16" s="3339" t="s">
        <v>3220</v>
      </c>
      <c r="T16" s="2371"/>
    </row>
    <row r="17" spans="1:20" ht="24">
      <c r="A17" s="4217"/>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211"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212"/>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212"/>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212"/>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212"/>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212"/>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213"/>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206" t="s">
        <v>3150</v>
      </c>
      <c r="B25" s="4206"/>
      <c r="C25" s="4207" t="s">
        <v>3151</v>
      </c>
      <c r="D25" s="4207"/>
      <c r="E25" s="4207">
        <f>ROUND([4]土地案例!N10,0)</f>
        <v>2307</v>
      </c>
      <c r="F25" s="4207"/>
      <c r="G25" s="4207">
        <v>4977</v>
      </c>
      <c r="H25" s="4207"/>
      <c r="I25" s="4207">
        <v>0</v>
      </c>
      <c r="J25" s="4207"/>
      <c r="K25" s="4207">
        <v>0</v>
      </c>
      <c r="L25" s="4207"/>
      <c r="M25" s="4207">
        <v>6096</v>
      </c>
      <c r="N25" s="4207"/>
      <c r="P25" s="3345" t="s">
        <v>3205</v>
      </c>
      <c r="Q25" s="3344">
        <f>地价!Q7</f>
        <v>7.000000000000001E-4</v>
      </c>
      <c r="R25" s="3344">
        <f t="shared" si="0"/>
        <v>1.0006999999999999</v>
      </c>
      <c r="S25" s="2371">
        <f t="shared" si="1"/>
        <v>99.930048965723998</v>
      </c>
      <c r="T25" s="2371"/>
    </row>
    <row r="26" spans="1:20">
      <c r="A26" s="4206" t="s">
        <v>3152</v>
      </c>
      <c r="B26" s="4206"/>
      <c r="C26" s="4207" t="s">
        <v>3151</v>
      </c>
      <c r="D26" s="4207"/>
      <c r="E26" s="4219">
        <f>ROUND(E25*POWER(100,COUNT(F6:F24))/PRODUCT(F6:F24),0)</f>
        <v>769</v>
      </c>
      <c r="F26" s="4219"/>
      <c r="G26" s="4219">
        <f>ROUND(G25*POWER(100,COUNT(H6:H24))/PRODUCT(H6:H24),0)</f>
        <v>2033</v>
      </c>
      <c r="H26" s="4219"/>
      <c r="I26" s="4219">
        <f>ROUND(I25*POWER(100,COUNT(J6:J24))/PRODUCT(J6:J24),0)</f>
        <v>0</v>
      </c>
      <c r="J26" s="4219"/>
      <c r="K26" s="4219">
        <f>ROUND(K25*POWER(100,COUNT(L6:L24))/PRODUCT(L6:L24),0)</f>
        <v>0</v>
      </c>
      <c r="L26" s="4219"/>
      <c r="M26" s="4219">
        <f>ROUND(M25*POWER(100,COUNT(N6:N24))/PRODUCT(N6:N24),0)</f>
        <v>3164</v>
      </c>
      <c r="N26" s="4219"/>
      <c r="P26" s="3345" t="s">
        <v>3206</v>
      </c>
      <c r="Q26" s="3344">
        <f>地价!Q8</f>
        <v>4.6999999999999993E-3</v>
      </c>
      <c r="R26" s="3344">
        <f t="shared" si="0"/>
        <v>1.0046999999999999</v>
      </c>
      <c r="S26" s="2371">
        <f t="shared" si="1"/>
        <v>99.532198666268542</v>
      </c>
      <c r="T26" s="2371"/>
    </row>
    <row r="27" spans="1:20">
      <c r="A27" s="4218" t="str">
        <f>CONCATENATE("估价对象比较价值=(",TEXT(E26,"G/通用格式"),"+",TEXT(G26,"G/通用格式"),"+",TEXT(I26,"G/通用格式"),"+",TEXT(K26,"G/通用格式"),"+",TEXT(M26,"G/通用格式"),")","/",5,"=",ROUND((E26+G26+I26+K26+M26)/5,0))</f>
        <v>估价对象比较价值=(769+2033+0+0+3164)/5=1193</v>
      </c>
      <c r="B27" s="4218"/>
      <c r="C27" s="4218"/>
      <c r="D27" s="4218"/>
      <c r="E27" s="4218"/>
      <c r="F27" s="4218"/>
      <c r="G27" s="4218"/>
      <c r="H27" s="4218"/>
      <c r="I27" s="4218"/>
      <c r="J27" s="4218"/>
      <c r="K27" s="3322">
        <f>ROUND((E26+G26+I26+K26+M26)/3,0)</f>
        <v>1989</v>
      </c>
      <c r="P27" s="3345" t="s">
        <v>3207</v>
      </c>
      <c r="Q27" s="3344">
        <f>地价!Q9</f>
        <v>2.7000000000000001E-3</v>
      </c>
      <c r="R27" s="3344">
        <f t="shared" si="0"/>
        <v>1.0026999999999999</v>
      </c>
      <c r="S27" s="2371">
        <f t="shared" si="1"/>
        <v>99.730727037000108</v>
      </c>
      <c r="T27" s="2371"/>
    </row>
    <row r="28" spans="1:20">
      <c r="L28" s="3284">
        <f>(E26+G26+I26+K26)/4</f>
        <v>700.5</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0:20">
      <c r="P33" s="3345" t="s">
        <v>3213</v>
      </c>
      <c r="Q33" s="3344">
        <f>地价!Q15</f>
        <v>1.7399999999999999E-2</v>
      </c>
      <c r="R33" s="3344">
        <f t="shared" si="0"/>
        <v>1.0174000000000001</v>
      </c>
      <c r="S33" s="2371">
        <f t="shared" si="1"/>
        <v>98.289758207194808</v>
      </c>
      <c r="T33" s="2371"/>
    </row>
    <row r="34" spans="10:20">
      <c r="P34" s="3345" t="s">
        <v>3214</v>
      </c>
      <c r="Q34" s="3344">
        <f>地价!Q16</f>
        <v>2.4399999999999998E-2</v>
      </c>
      <c r="R34" s="3344">
        <f t="shared" si="0"/>
        <v>1.0244</v>
      </c>
      <c r="S34" s="2371">
        <f t="shared" si="1"/>
        <v>97.618117922686451</v>
      </c>
      <c r="T34" s="2371"/>
    </row>
    <row r="35" spans="10:20">
      <c r="J35" s="3908"/>
      <c r="P35" s="3345" t="s">
        <v>3215</v>
      </c>
      <c r="Q35" s="3344">
        <f>地价!Q17</f>
        <v>2.0099999999999996E-2</v>
      </c>
      <c r="R35" s="3344">
        <f t="shared" si="0"/>
        <v>1.0201</v>
      </c>
      <c r="S35" s="2371">
        <f t="shared" si="1"/>
        <v>98.029604940692082</v>
      </c>
      <c r="T35" s="2371"/>
    </row>
    <row r="36" spans="10:20">
      <c r="P36" s="3345" t="s">
        <v>3216</v>
      </c>
      <c r="Q36" s="3344">
        <f>地价!Q18</f>
        <v>1.43E-2</v>
      </c>
      <c r="R36" s="3344">
        <f t="shared" si="0"/>
        <v>1.0143</v>
      </c>
      <c r="S36" s="2371">
        <f t="shared" si="1"/>
        <v>98.590160701961949</v>
      </c>
      <c r="T36" s="2371"/>
    </row>
    <row r="37" spans="10:20">
      <c r="P37" s="3340" t="s">
        <v>3217</v>
      </c>
      <c r="Q37" s="3341">
        <f>地价!Q19</f>
        <v>1.72E-2</v>
      </c>
      <c r="R37" s="3341">
        <f t="shared" si="0"/>
        <v>1.0172000000000001</v>
      </c>
      <c r="S37" s="3342">
        <f t="shared" si="1"/>
        <v>98.309083759339359</v>
      </c>
      <c r="T37" s="2371">
        <v>98.3</v>
      </c>
    </row>
    <row r="38" spans="10:20">
      <c r="P38" s="3340" t="s">
        <v>3218</v>
      </c>
      <c r="Q38" s="3341">
        <f>地价!Q20</f>
        <v>1.6799999999999999E-2</v>
      </c>
      <c r="R38" s="3341">
        <f t="shared" si="0"/>
        <v>1.0167999999999999</v>
      </c>
      <c r="S38" s="3342">
        <f t="shared" si="1"/>
        <v>98.347757671125109</v>
      </c>
      <c r="T38" s="2371">
        <v>98.3</v>
      </c>
    </row>
    <row r="39" spans="10:20">
      <c r="P39" s="3340" t="s">
        <v>3219</v>
      </c>
      <c r="Q39" s="3341">
        <f>地价!Q21</f>
        <v>1.5800000000000002E-2</v>
      </c>
      <c r="R39" s="3341">
        <f t="shared" si="0"/>
        <v>1.0158</v>
      </c>
      <c r="S39" s="3342">
        <f t="shared" si="1"/>
        <v>98.444575703878712</v>
      </c>
      <c r="T39" s="2371">
        <v>98.4</v>
      </c>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20" t="s">
        <v>3153</v>
      </c>
      <c r="B1" s="4221"/>
      <c r="C1" s="4221"/>
      <c r="D1" s="4221"/>
      <c r="E1" s="4221"/>
      <c r="F1" s="4221"/>
      <c r="G1" s="4221"/>
      <c r="H1" s="4221"/>
    </row>
    <row r="2" spans="1:8">
      <c r="A2" s="4222" t="s">
        <v>3154</v>
      </c>
      <c r="B2" s="4222" t="s">
        <v>3155</v>
      </c>
      <c r="C2" s="4224" t="s">
        <v>3156</v>
      </c>
      <c r="D2" s="4222" t="s">
        <v>3102</v>
      </c>
      <c r="E2" s="4226" t="s">
        <v>3157</v>
      </c>
      <c r="F2" s="4228" t="s">
        <v>3158</v>
      </c>
      <c r="G2" s="4228"/>
      <c r="H2" s="3303"/>
    </row>
    <row r="3" spans="1:8">
      <c r="A3" s="4223"/>
      <c r="B3" s="4223"/>
      <c r="C3" s="4225"/>
      <c r="D3" s="4223"/>
      <c r="E3" s="4227"/>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32" t="s">
        <v>792</v>
      </c>
      <c r="D4" s="4133"/>
      <c r="E4" s="4132" t="s">
        <v>793</v>
      </c>
      <c r="F4" s="4133"/>
      <c r="G4" s="4132" t="s">
        <v>794</v>
      </c>
      <c r="H4" s="4133"/>
      <c r="I4" s="4132" t="s">
        <v>795</v>
      </c>
      <c r="J4" s="4133"/>
      <c r="K4" s="508" t="s">
        <v>796</v>
      </c>
      <c r="L4" s="2015"/>
      <c r="M4" s="2016"/>
      <c r="N4" s="2016"/>
      <c r="O4" s="2016"/>
      <c r="P4" s="4134" t="s">
        <v>797</v>
      </c>
      <c r="Q4" s="4135"/>
      <c r="R4" s="4120" t="s">
        <v>793</v>
      </c>
      <c r="S4" s="4121"/>
      <c r="T4" s="4120" t="s">
        <v>794</v>
      </c>
      <c r="U4" s="4121"/>
      <c r="V4" s="4140" t="s">
        <v>795</v>
      </c>
      <c r="W4" s="4140"/>
      <c r="X4" s="1502"/>
      <c r="Y4" s="4120" t="s">
        <v>797</v>
      </c>
      <c r="Z4" s="4121"/>
      <c r="AA4" s="4115" t="s">
        <v>793</v>
      </c>
      <c r="AB4" s="4116" t="s">
        <v>794</v>
      </c>
      <c r="AC4" s="4115" t="s">
        <v>795</v>
      </c>
    </row>
    <row r="5" spans="1:29" ht="15">
      <c r="A5" s="509"/>
      <c r="B5" s="510"/>
      <c r="C5" s="4143" t="s">
        <v>2897</v>
      </c>
      <c r="D5" s="4144"/>
      <c r="E5" s="4143" t="s">
        <v>2898</v>
      </c>
      <c r="F5" s="4144"/>
      <c r="G5" s="4143" t="s">
        <v>2899</v>
      </c>
      <c r="H5" s="4144"/>
      <c r="I5" s="4143" t="s">
        <v>2900</v>
      </c>
      <c r="J5" s="4144"/>
      <c r="K5" s="508"/>
      <c r="L5" s="2015"/>
      <c r="M5" s="2016"/>
      <c r="N5" s="2016"/>
      <c r="O5" s="2016"/>
      <c r="P5" s="4136"/>
      <c r="Q5" s="4137"/>
      <c r="R5" s="4122"/>
      <c r="S5" s="4123"/>
      <c r="T5" s="4122"/>
      <c r="U5" s="4123"/>
      <c r="V5" s="4140"/>
      <c r="W5" s="4140"/>
      <c r="X5" s="1502"/>
      <c r="Y5" s="4122"/>
      <c r="Z5" s="4123"/>
      <c r="AA5" s="4116"/>
      <c r="AB5" s="4116"/>
      <c r="AC5" s="4116"/>
    </row>
    <row r="6" spans="1:29" ht="15.75" thickBot="1">
      <c r="A6" s="511"/>
      <c r="B6" s="512"/>
      <c r="C6" s="4141" t="s">
        <v>2901</v>
      </c>
      <c r="D6" s="4142"/>
      <c r="E6" s="4145" t="s">
        <v>2901</v>
      </c>
      <c r="F6" s="4146"/>
      <c r="G6" s="4141" t="s">
        <v>2901</v>
      </c>
      <c r="H6" s="4142"/>
      <c r="I6" s="4141" t="s">
        <v>2901</v>
      </c>
      <c r="J6" s="4142"/>
      <c r="K6" s="508" t="s">
        <v>522</v>
      </c>
      <c r="L6" s="2015"/>
      <c r="M6" s="2016"/>
      <c r="N6" s="2016"/>
      <c r="O6" s="2016"/>
      <c r="P6" s="4138"/>
      <c r="Q6" s="4139"/>
      <c r="R6" s="4122"/>
      <c r="S6" s="4123"/>
      <c r="T6" s="4124"/>
      <c r="U6" s="4125"/>
      <c r="V6" s="4140"/>
      <c r="W6" s="4140"/>
      <c r="X6" s="1502"/>
      <c r="Y6" s="4124"/>
      <c r="Z6" s="4125"/>
      <c r="AA6" s="4117"/>
      <c r="AB6" s="4117"/>
      <c r="AC6" s="4117"/>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18" t="s">
        <v>524</v>
      </c>
      <c r="Q7" s="4127"/>
      <c r="R7" s="1503" t="s">
        <v>8</v>
      </c>
      <c r="S7" s="1504">
        <f t="shared" ref="S7:S14" si="0">F7</f>
        <v>0</v>
      </c>
      <c r="T7" s="1503" t="s">
        <v>8</v>
      </c>
      <c r="U7" s="1504">
        <f t="shared" ref="U7:U14" si="1">H7</f>
        <v>0</v>
      </c>
      <c r="V7" s="1503" t="s">
        <v>8</v>
      </c>
      <c r="W7" s="1504">
        <f t="shared" ref="W7:W14"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18" t="s">
        <v>527</v>
      </c>
      <c r="Q8" s="4119"/>
      <c r="R8" s="1503" t="s">
        <v>8</v>
      </c>
      <c r="S8" s="1504">
        <f t="shared" si="0"/>
        <v>0</v>
      </c>
      <c r="T8" s="1503" t="s">
        <v>8</v>
      </c>
      <c r="U8" s="1504">
        <f t="shared" si="1"/>
        <v>0</v>
      </c>
      <c r="V8" s="1503" t="s">
        <v>8</v>
      </c>
      <c r="W8" s="1504">
        <f t="shared" si="2"/>
        <v>0</v>
      </c>
      <c r="X8" s="1505"/>
      <c r="Y8" s="4118" t="s">
        <v>527</v>
      </c>
      <c r="Z8" s="4119"/>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26" t="s">
        <v>529</v>
      </c>
      <c r="Q9" s="1134" t="str">
        <f t="shared" ref="Q9:Q14" si="6">B9</f>
        <v>用途</v>
      </c>
      <c r="R9" s="1503" t="s">
        <v>8</v>
      </c>
      <c r="S9" s="1504">
        <f t="shared" si="0"/>
        <v>100</v>
      </c>
      <c r="T9" s="1503" t="s">
        <v>8</v>
      </c>
      <c r="U9" s="1504">
        <f t="shared" si="1"/>
        <v>100</v>
      </c>
      <c r="V9" s="1503" t="s">
        <v>8</v>
      </c>
      <c r="W9" s="1504">
        <f t="shared" si="2"/>
        <v>100</v>
      </c>
      <c r="X9" s="1505"/>
      <c r="Y9" s="4049"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26"/>
      <c r="Q11" s="1134">
        <f t="shared" si="6"/>
        <v>111</v>
      </c>
      <c r="R11" s="1503" t="s">
        <v>8</v>
      </c>
      <c r="S11" s="1504">
        <f t="shared" si="0"/>
        <v>100</v>
      </c>
      <c r="T11" s="1503" t="s">
        <v>8</v>
      </c>
      <c r="U11" s="1504">
        <f t="shared" si="1"/>
        <v>100</v>
      </c>
      <c r="V11" s="1503" t="s">
        <v>8</v>
      </c>
      <c r="W11" s="1504">
        <f t="shared" si="2"/>
        <v>100</v>
      </c>
      <c r="X11" s="1505"/>
      <c r="Y11" s="4049"/>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26"/>
      <c r="Q12" s="1134">
        <f t="shared" si="6"/>
        <v>111</v>
      </c>
      <c r="R12" s="1503" t="s">
        <v>8</v>
      </c>
      <c r="S12" s="1504">
        <f t="shared" si="0"/>
        <v>100</v>
      </c>
      <c r="T12" s="1503" t="s">
        <v>8</v>
      </c>
      <c r="U12" s="1504">
        <f t="shared" si="1"/>
        <v>100</v>
      </c>
      <c r="V12" s="1503" t="s">
        <v>8</v>
      </c>
      <c r="W12" s="1504">
        <f t="shared" si="2"/>
        <v>100</v>
      </c>
      <c r="X12" s="1505"/>
      <c r="Y12" s="4049"/>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26"/>
      <c r="Q13" s="1134">
        <f t="shared" si="6"/>
        <v>111</v>
      </c>
      <c r="R13" s="1503" t="s">
        <v>8</v>
      </c>
      <c r="S13" s="1504">
        <f t="shared" si="0"/>
        <v>100</v>
      </c>
      <c r="T13" s="1503" t="s">
        <v>8</v>
      </c>
      <c r="U13" s="1504">
        <f t="shared" si="1"/>
        <v>100</v>
      </c>
      <c r="V13" s="1503" t="s">
        <v>8</v>
      </c>
      <c r="W13" s="1504">
        <f t="shared" si="2"/>
        <v>100</v>
      </c>
      <c r="X13" s="1505"/>
      <c r="Y13" s="4049"/>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28" t="s">
        <v>534</v>
      </c>
      <c r="Q14" s="1507" t="str">
        <f t="shared" si="6"/>
        <v>交通便捷度</v>
      </c>
      <c r="R14" s="1508" t="s">
        <v>8</v>
      </c>
      <c r="S14" s="1509">
        <f t="shared" si="0"/>
        <v>100</v>
      </c>
      <c r="T14" s="1508" t="s">
        <v>8</v>
      </c>
      <c r="U14" s="1509">
        <f t="shared" si="1"/>
        <v>100</v>
      </c>
      <c r="V14" s="1508" t="s">
        <v>8</v>
      </c>
      <c r="W14" s="1509">
        <f t="shared" si="2"/>
        <v>100</v>
      </c>
      <c r="X14" s="1502"/>
      <c r="Y14" s="412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29"/>
      <c r="Q15" s="1507"/>
      <c r="R15" s="1508"/>
      <c r="S15" s="1509"/>
      <c r="T15" s="1508"/>
      <c r="U15" s="1509"/>
      <c r="V15" s="1508"/>
      <c r="W15" s="1509"/>
      <c r="X15" s="1502"/>
      <c r="Y15" s="4129"/>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29"/>
      <c r="Q16" s="1507" t="str">
        <f>B16</f>
        <v>公共配套设施</v>
      </c>
      <c r="R16" s="1508" t="s">
        <v>8</v>
      </c>
      <c r="S16" s="1509">
        <f>F16</f>
        <v>100</v>
      </c>
      <c r="T16" s="1508" t="s">
        <v>8</v>
      </c>
      <c r="U16" s="1509">
        <f>H16</f>
        <v>100</v>
      </c>
      <c r="V16" s="1508" t="s">
        <v>8</v>
      </c>
      <c r="W16" s="1509">
        <f>J16</f>
        <v>100</v>
      </c>
      <c r="X16" s="1502"/>
      <c r="Y16" s="412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29"/>
      <c r="Q17" s="1507"/>
      <c r="R17" s="1508"/>
      <c r="S17" s="1509"/>
      <c r="T17" s="1508"/>
      <c r="U17" s="1509"/>
      <c r="V17" s="1508"/>
      <c r="W17" s="1509"/>
      <c r="X17" s="1502"/>
      <c r="Y17" s="4129"/>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29"/>
      <c r="Q18" s="2429" t="str">
        <f>B18</f>
        <v>基础设施水平</v>
      </c>
      <c r="R18" s="1508" t="s">
        <v>8</v>
      </c>
      <c r="S18" s="1509">
        <f>F18</f>
        <v>100</v>
      </c>
      <c r="T18" s="1508" t="s">
        <v>8</v>
      </c>
      <c r="U18" s="1509">
        <f>H18</f>
        <v>100</v>
      </c>
      <c r="V18" s="1508" t="s">
        <v>8</v>
      </c>
      <c r="W18" s="1509">
        <f>J18</f>
        <v>100</v>
      </c>
      <c r="X18" s="2431"/>
      <c r="Y18" s="4129"/>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29"/>
      <c r="Q19" s="2429"/>
      <c r="R19" s="1508"/>
      <c r="S19" s="1509"/>
      <c r="T19" s="1508"/>
      <c r="U19" s="1509"/>
      <c r="V19" s="1508"/>
      <c r="W19" s="1509"/>
      <c r="X19" s="2431"/>
      <c r="Y19" s="4129"/>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29"/>
      <c r="Q20" s="1507" t="str">
        <f>B20</f>
        <v>自然及人文环境</v>
      </c>
      <c r="R20" s="1508" t="s">
        <v>8</v>
      </c>
      <c r="S20" s="1509">
        <f>F20</f>
        <v>100</v>
      </c>
      <c r="T20" s="1508" t="s">
        <v>8</v>
      </c>
      <c r="U20" s="1509">
        <f>H20</f>
        <v>100</v>
      </c>
      <c r="V20" s="1508" t="s">
        <v>8</v>
      </c>
      <c r="W20" s="1509">
        <f>J20</f>
        <v>100</v>
      </c>
      <c r="X20" s="1502"/>
      <c r="Y20" s="412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29"/>
      <c r="Q21" s="1507"/>
      <c r="R21" s="1508"/>
      <c r="S21" s="1509"/>
      <c r="T21" s="1508"/>
      <c r="U21" s="1509"/>
      <c r="V21" s="1508"/>
      <c r="W21" s="1509"/>
      <c r="X21" s="1502"/>
      <c r="Y21" s="412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29"/>
      <c r="Q22" s="1507" t="str">
        <f>B22</f>
        <v>楼层</v>
      </c>
      <c r="R22" s="1508" t="s">
        <v>8</v>
      </c>
      <c r="S22" s="1509">
        <f>F22</f>
        <v>100</v>
      </c>
      <c r="T22" s="1508" t="s">
        <v>8</v>
      </c>
      <c r="U22" s="1509">
        <f>H22</f>
        <v>100</v>
      </c>
      <c r="V22" s="1508" t="s">
        <v>8</v>
      </c>
      <c r="W22" s="1509">
        <f>J22</f>
        <v>100</v>
      </c>
      <c r="X22" s="1502"/>
      <c r="Y22" s="412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29"/>
      <c r="Q23" s="1507">
        <f>B23</f>
        <v>111</v>
      </c>
      <c r="R23" s="1508" t="s">
        <v>8</v>
      </c>
      <c r="S23" s="1509">
        <f>F23</f>
        <v>100</v>
      </c>
      <c r="T23" s="1508" t="s">
        <v>8</v>
      </c>
      <c r="U23" s="1509">
        <f>H23</f>
        <v>100</v>
      </c>
      <c r="V23" s="1508" t="s">
        <v>8</v>
      </c>
      <c r="W23" s="1509">
        <f>J23</f>
        <v>100</v>
      </c>
      <c r="X23" s="1502"/>
      <c r="Y23" s="412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29"/>
      <c r="Q24" s="1507">
        <f t="shared" ref="Q24:Q36" si="11">B24</f>
        <v>111</v>
      </c>
      <c r="R24" s="1508" t="s">
        <v>8</v>
      </c>
      <c r="S24" s="1509">
        <f>F24</f>
        <v>100</v>
      </c>
      <c r="T24" s="1508" t="s">
        <v>8</v>
      </c>
      <c r="U24" s="1509">
        <f>H24</f>
        <v>100</v>
      </c>
      <c r="V24" s="1508" t="s">
        <v>8</v>
      </c>
      <c r="W24" s="1509">
        <f>J24</f>
        <v>100</v>
      </c>
      <c r="X24" s="1502"/>
      <c r="Y24" s="412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29"/>
      <c r="Q25" s="1134">
        <f t="shared" si="11"/>
        <v>111</v>
      </c>
      <c r="R25" s="1503" t="s">
        <v>8</v>
      </c>
      <c r="S25" s="1504">
        <f>F25</f>
        <v>100</v>
      </c>
      <c r="T25" s="1503" t="s">
        <v>8</v>
      </c>
      <c r="U25" s="1504">
        <f>H25</f>
        <v>100</v>
      </c>
      <c r="V25" s="1503" t="s">
        <v>8</v>
      </c>
      <c r="W25" s="1504">
        <f>J25</f>
        <v>100</v>
      </c>
      <c r="X25" s="1505"/>
      <c r="Y25" s="4129"/>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3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3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31"/>
      <c r="Q27" s="1536" t="str">
        <f t="shared" si="11"/>
        <v>项目停车位配比</v>
      </c>
      <c r="R27" s="1512" t="s">
        <v>8</v>
      </c>
      <c r="S27" s="1513">
        <f t="shared" si="12"/>
        <v>100</v>
      </c>
      <c r="T27" s="1512" t="s">
        <v>8</v>
      </c>
      <c r="U27" s="1513">
        <f t="shared" si="13"/>
        <v>100</v>
      </c>
      <c r="V27" s="1512" t="s">
        <v>8</v>
      </c>
      <c r="W27" s="1513">
        <f t="shared" si="14"/>
        <v>100</v>
      </c>
      <c r="X27" s="1514"/>
      <c r="Y27" s="413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31"/>
      <c r="Q28" s="1507" t="str">
        <f t="shared" si="11"/>
        <v>公共部分装修</v>
      </c>
      <c r="R28" s="1508" t="s">
        <v>8</v>
      </c>
      <c r="S28" s="1509">
        <f t="shared" si="12"/>
        <v>100</v>
      </c>
      <c r="T28" s="1508" t="s">
        <v>8</v>
      </c>
      <c r="U28" s="1509">
        <f t="shared" si="13"/>
        <v>100</v>
      </c>
      <c r="V28" s="1508" t="s">
        <v>8</v>
      </c>
      <c r="W28" s="1509">
        <f t="shared" si="14"/>
        <v>100</v>
      </c>
      <c r="X28" s="1502"/>
      <c r="Y28" s="413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31"/>
      <c r="Q29" s="1507" t="str">
        <f t="shared" si="11"/>
        <v>成新率</v>
      </c>
      <c r="R29" s="1508" t="s">
        <v>8</v>
      </c>
      <c r="S29" s="1509" t="e">
        <f t="shared" si="12"/>
        <v>#N/A</v>
      </c>
      <c r="T29" s="1508" t="s">
        <v>8</v>
      </c>
      <c r="U29" s="1509" t="e">
        <f t="shared" si="13"/>
        <v>#N/A</v>
      </c>
      <c r="V29" s="1508" t="s">
        <v>8</v>
      </c>
      <c r="W29" s="1509" t="e">
        <f t="shared" si="14"/>
        <v>#N/A</v>
      </c>
      <c r="X29" s="1502"/>
      <c r="Y29" s="413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31"/>
      <c r="Q30" s="1507" t="str">
        <f t="shared" si="11"/>
        <v>物业等级</v>
      </c>
      <c r="R30" s="1508" t="s">
        <v>8</v>
      </c>
      <c r="S30" s="1509">
        <f t="shared" si="12"/>
        <v>100</v>
      </c>
      <c r="T30" s="1508" t="s">
        <v>8</v>
      </c>
      <c r="U30" s="1509">
        <f t="shared" si="13"/>
        <v>100</v>
      </c>
      <c r="V30" s="1508" t="s">
        <v>8</v>
      </c>
      <c r="W30" s="1509">
        <f t="shared" si="14"/>
        <v>100</v>
      </c>
      <c r="X30" s="1502"/>
      <c r="Y30" s="413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31"/>
      <c r="Q31" s="1134" t="str">
        <f t="shared" si="11"/>
        <v>停车位面积</v>
      </c>
      <c r="R31" s="1503" t="s">
        <v>8</v>
      </c>
      <c r="S31" s="1504" t="e">
        <f t="shared" si="12"/>
        <v>#N/A</v>
      </c>
      <c r="T31" s="1503" t="s">
        <v>8</v>
      </c>
      <c r="U31" s="1504" t="e">
        <f t="shared" si="13"/>
        <v>#N/A</v>
      </c>
      <c r="V31" s="1503" t="s">
        <v>8</v>
      </c>
      <c r="W31" s="1504" t="e">
        <f t="shared" si="14"/>
        <v>#N/A</v>
      </c>
      <c r="X31" s="1505"/>
      <c r="Y31" s="413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31" t="s">
        <v>544</v>
      </c>
      <c r="Q32" s="1507" t="str">
        <f t="shared" si="11"/>
        <v>车位类型</v>
      </c>
      <c r="R32" s="1508" t="s">
        <v>8</v>
      </c>
      <c r="S32" s="1509">
        <f t="shared" si="12"/>
        <v>100</v>
      </c>
      <c r="T32" s="1508" t="s">
        <v>8</v>
      </c>
      <c r="U32" s="1509">
        <f t="shared" si="13"/>
        <v>100</v>
      </c>
      <c r="V32" s="1508" t="s">
        <v>8</v>
      </c>
      <c r="W32" s="1509">
        <f t="shared" si="14"/>
        <v>100</v>
      </c>
      <c r="X32" s="1502"/>
      <c r="Y32" s="413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31"/>
      <c r="Q33" s="1507" t="str">
        <f t="shared" si="11"/>
        <v>是否直接入户</v>
      </c>
      <c r="R33" s="1508" t="s">
        <v>8</v>
      </c>
      <c r="S33" s="1509">
        <f t="shared" si="12"/>
        <v>100</v>
      </c>
      <c r="T33" s="1508" t="s">
        <v>8</v>
      </c>
      <c r="U33" s="1509">
        <f t="shared" si="13"/>
        <v>100</v>
      </c>
      <c r="V33" s="1508" t="s">
        <v>8</v>
      </c>
      <c r="W33" s="1509">
        <f t="shared" si="14"/>
        <v>100</v>
      </c>
      <c r="X33" s="1502"/>
      <c r="Y33" s="413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31"/>
      <c r="Q34" s="1507">
        <f t="shared" si="11"/>
        <v>111</v>
      </c>
      <c r="R34" s="1508" t="s">
        <v>8</v>
      </c>
      <c r="S34" s="1509">
        <f t="shared" si="12"/>
        <v>100</v>
      </c>
      <c r="T34" s="1508" t="s">
        <v>8</v>
      </c>
      <c r="U34" s="1509">
        <f t="shared" si="13"/>
        <v>100</v>
      </c>
      <c r="V34" s="1508" t="s">
        <v>8</v>
      </c>
      <c r="W34" s="1509">
        <f t="shared" si="14"/>
        <v>100</v>
      </c>
      <c r="X34" s="1502"/>
      <c r="Y34" s="413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31"/>
      <c r="Q35" s="1536">
        <f t="shared" si="11"/>
        <v>111</v>
      </c>
      <c r="R35" s="1512" t="s">
        <v>8</v>
      </c>
      <c r="S35" s="1513">
        <f t="shared" si="12"/>
        <v>100</v>
      </c>
      <c r="T35" s="1512" t="s">
        <v>8</v>
      </c>
      <c r="U35" s="1513">
        <f t="shared" si="13"/>
        <v>100</v>
      </c>
      <c r="V35" s="1512" t="s">
        <v>8</v>
      </c>
      <c r="W35" s="1513">
        <f t="shared" si="14"/>
        <v>100</v>
      </c>
      <c r="X35" s="1514"/>
      <c r="Y35" s="413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31"/>
      <c r="Q36" s="1507">
        <f t="shared" si="11"/>
        <v>111</v>
      </c>
      <c r="R36" s="1508" t="s">
        <v>8</v>
      </c>
      <c r="S36" s="1509">
        <f t="shared" si="12"/>
        <v>100</v>
      </c>
      <c r="T36" s="1508" t="s">
        <v>8</v>
      </c>
      <c r="U36" s="1509">
        <f t="shared" si="13"/>
        <v>100</v>
      </c>
      <c r="V36" s="1508" t="s">
        <v>8</v>
      </c>
      <c r="W36" s="1509">
        <f t="shared" si="14"/>
        <v>100</v>
      </c>
      <c r="X36" s="1502"/>
      <c r="Y36" s="4131"/>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26" t="str">
        <f>A37</f>
        <v>成交单价</v>
      </c>
      <c r="Q37" s="4126"/>
      <c r="R37" s="4193">
        <f>E37</f>
        <v>0</v>
      </c>
      <c r="S37" s="4193"/>
      <c r="T37" s="4193">
        <f>G37</f>
        <v>0</v>
      </c>
      <c r="U37" s="4193"/>
      <c r="V37" s="4193">
        <f>I37</f>
        <v>0</v>
      </c>
      <c r="W37" s="4193"/>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26" t="str">
        <f>A38</f>
        <v>比较价格（元/平方米）</v>
      </c>
      <c r="Q38" s="4126"/>
      <c r="R38" s="4193" t="e">
        <f>IF(F1="售价",ROUND(PRODUCT(R37,AA7:AA36),0),ROUND(PRODUCT(R37,AA7:AA36),1))</f>
        <v>#DIV/0!</v>
      </c>
      <c r="S38" s="4193"/>
      <c r="T38" s="4193" t="e">
        <f>IF(F1="售价",ROUND(PRODUCT(T37,AB7:AB36),0),ROUND(PRODUCT(T37,AB7:AB36),1))</f>
        <v>#DIV/0!</v>
      </c>
      <c r="U38" s="4193"/>
      <c r="V38" s="4193" t="e">
        <f>IF(F1="售价",ROUND(PRODUCT(V37,AC7:AC36),0),ROUND(PRODUCT(V37,AC7:AC36),1))</f>
        <v>#DIV/0!</v>
      </c>
      <c r="W38" s="4193"/>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147" t="str">
        <f>A39</f>
        <v>估价对象XX用房的比较价格（楼面单价，元/平方米）</v>
      </c>
      <c r="Q39" s="4148"/>
      <c r="R39" s="4192" t="e">
        <f>IF(F1="售价",ROUND(IF(D38="简单平均",AVERAGE(R38:W38),R38*F38+T38*H38+V38*J38),0),ROUND(IF(D38="简单平均",AVERAGE(R38:V38),R38*F38+T38*H38+V38*J38),1))</f>
        <v>#DIV/0!</v>
      </c>
      <c r="S39" s="4192"/>
      <c r="T39" s="4192"/>
      <c r="U39" s="4192"/>
      <c r="V39" s="4192"/>
      <c r="W39" s="4192"/>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32" t="s">
        <v>792</v>
      </c>
      <c r="D4" s="4133"/>
      <c r="E4" s="4190" t="s">
        <v>793</v>
      </c>
      <c r="F4" s="4191"/>
      <c r="G4" s="4132" t="s">
        <v>794</v>
      </c>
      <c r="H4" s="4133"/>
      <c r="I4" s="4132" t="s">
        <v>795</v>
      </c>
      <c r="J4" s="4133"/>
      <c r="K4" s="508" t="s">
        <v>796</v>
      </c>
      <c r="L4" s="2015"/>
      <c r="M4" s="2016"/>
      <c r="N4" s="2016"/>
      <c r="O4" s="2016"/>
      <c r="P4" s="4134" t="s">
        <v>797</v>
      </c>
      <c r="Q4" s="4135"/>
      <c r="R4" s="4120" t="s">
        <v>793</v>
      </c>
      <c r="S4" s="4121"/>
      <c r="T4" s="4120" t="s">
        <v>794</v>
      </c>
      <c r="U4" s="4121"/>
      <c r="V4" s="4140" t="s">
        <v>795</v>
      </c>
      <c r="W4" s="4140"/>
      <c r="X4" s="1502"/>
      <c r="Y4" s="4120" t="s">
        <v>797</v>
      </c>
      <c r="Z4" s="4121"/>
      <c r="AA4" s="4115" t="s">
        <v>793</v>
      </c>
      <c r="AB4" s="4116" t="s">
        <v>794</v>
      </c>
      <c r="AC4" s="4115" t="s">
        <v>795</v>
      </c>
    </row>
    <row r="5" spans="1:29" ht="15">
      <c r="A5" s="509"/>
      <c r="B5" s="510"/>
      <c r="C5" s="4143" t="s">
        <v>2897</v>
      </c>
      <c r="D5" s="4144"/>
      <c r="E5" s="4186" t="s">
        <v>2898</v>
      </c>
      <c r="F5" s="4187"/>
      <c r="G5" s="4143" t="s">
        <v>2899</v>
      </c>
      <c r="H5" s="4144"/>
      <c r="I5" s="4143" t="s">
        <v>2900</v>
      </c>
      <c r="J5" s="4144"/>
      <c r="K5" s="508"/>
      <c r="L5" s="2015"/>
      <c r="M5" s="2016"/>
      <c r="N5" s="2016"/>
      <c r="O5" s="2016"/>
      <c r="P5" s="4136"/>
      <c r="Q5" s="4137"/>
      <c r="R5" s="4122"/>
      <c r="S5" s="4123"/>
      <c r="T5" s="4122"/>
      <c r="U5" s="4123"/>
      <c r="V5" s="4140"/>
      <c r="W5" s="4140"/>
      <c r="X5" s="1502"/>
      <c r="Y5" s="4122"/>
      <c r="Z5" s="4123"/>
      <c r="AA5" s="4116"/>
      <c r="AB5" s="4116"/>
      <c r="AC5" s="4116"/>
    </row>
    <row r="6" spans="1:29" ht="15.75" thickBot="1">
      <c r="A6" s="511"/>
      <c r="B6" s="512"/>
      <c r="C6" s="4141" t="s">
        <v>2901</v>
      </c>
      <c r="D6" s="4142"/>
      <c r="E6" s="4188" t="s">
        <v>2901</v>
      </c>
      <c r="F6" s="4189"/>
      <c r="G6" s="4141" t="s">
        <v>2901</v>
      </c>
      <c r="H6" s="4142"/>
      <c r="I6" s="4141" t="s">
        <v>2901</v>
      </c>
      <c r="J6" s="4142"/>
      <c r="K6" s="508" t="s">
        <v>522</v>
      </c>
      <c r="L6" s="2015"/>
      <c r="M6" s="2016"/>
      <c r="N6" s="2016"/>
      <c r="O6" s="2016"/>
      <c r="P6" s="4138"/>
      <c r="Q6" s="4139"/>
      <c r="R6" s="4122"/>
      <c r="S6" s="4123"/>
      <c r="T6" s="4124"/>
      <c r="U6" s="4125"/>
      <c r="V6" s="4140"/>
      <c r="W6" s="4140"/>
      <c r="X6" s="1502"/>
      <c r="Y6" s="4124"/>
      <c r="Z6" s="4125"/>
      <c r="AA6" s="4117"/>
      <c r="AB6" s="4117"/>
      <c r="AC6" s="4117"/>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18" t="s">
        <v>524</v>
      </c>
      <c r="Q7" s="4127"/>
      <c r="R7" s="1503" t="s">
        <v>8</v>
      </c>
      <c r="S7" s="1504">
        <f t="shared" ref="S7:S14" si="0">F7</f>
        <v>0</v>
      </c>
      <c r="T7" s="1503" t="s">
        <v>8</v>
      </c>
      <c r="U7" s="1504">
        <f t="shared" ref="U7:U14" si="1">H7</f>
        <v>0</v>
      </c>
      <c r="V7" s="1503" t="s">
        <v>8</v>
      </c>
      <c r="W7" s="1504">
        <f t="shared" ref="W7:W14"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18" t="s">
        <v>527</v>
      </c>
      <c r="Q8" s="4119"/>
      <c r="R8" s="1503" t="s">
        <v>8</v>
      </c>
      <c r="S8" s="1504">
        <f t="shared" si="0"/>
        <v>0</v>
      </c>
      <c r="T8" s="1503" t="s">
        <v>8</v>
      </c>
      <c r="U8" s="1504">
        <f t="shared" si="1"/>
        <v>0</v>
      </c>
      <c r="V8" s="1503" t="s">
        <v>8</v>
      </c>
      <c r="W8" s="1504">
        <f t="shared" si="2"/>
        <v>0</v>
      </c>
      <c r="X8" s="1505"/>
      <c r="Y8" s="4118" t="s">
        <v>527</v>
      </c>
      <c r="Z8" s="4119"/>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26" t="s">
        <v>529</v>
      </c>
      <c r="Q9" s="1134" t="str">
        <f t="shared" ref="Q9:Q14" si="6">B9</f>
        <v>用途</v>
      </c>
      <c r="R9" s="1503" t="s">
        <v>8</v>
      </c>
      <c r="S9" s="1504">
        <f t="shared" si="0"/>
        <v>100</v>
      </c>
      <c r="T9" s="1503" t="s">
        <v>8</v>
      </c>
      <c r="U9" s="1504">
        <f t="shared" si="1"/>
        <v>100</v>
      </c>
      <c r="V9" s="1503" t="s">
        <v>8</v>
      </c>
      <c r="W9" s="1504">
        <f t="shared" si="2"/>
        <v>100</v>
      </c>
      <c r="X9" s="1505"/>
      <c r="Y9" s="4049"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26"/>
      <c r="Q11" s="1134">
        <f t="shared" si="6"/>
        <v>111</v>
      </c>
      <c r="R11" s="1503" t="s">
        <v>8</v>
      </c>
      <c r="S11" s="1504">
        <f t="shared" si="0"/>
        <v>100</v>
      </c>
      <c r="T11" s="1503" t="s">
        <v>8</v>
      </c>
      <c r="U11" s="1504">
        <f t="shared" si="1"/>
        <v>100</v>
      </c>
      <c r="V11" s="1503" t="s">
        <v>8</v>
      </c>
      <c r="W11" s="1504">
        <f t="shared" si="2"/>
        <v>100</v>
      </c>
      <c r="X11" s="1505"/>
      <c r="Y11" s="4049"/>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26"/>
      <c r="Q12" s="1134">
        <f t="shared" si="6"/>
        <v>111</v>
      </c>
      <c r="R12" s="1503" t="s">
        <v>8</v>
      </c>
      <c r="S12" s="1504">
        <f t="shared" si="0"/>
        <v>100</v>
      </c>
      <c r="T12" s="1503" t="s">
        <v>8</v>
      </c>
      <c r="U12" s="1504">
        <f t="shared" si="1"/>
        <v>100</v>
      </c>
      <c r="V12" s="1503" t="s">
        <v>8</v>
      </c>
      <c r="W12" s="1504">
        <f t="shared" si="2"/>
        <v>100</v>
      </c>
      <c r="X12" s="1505"/>
      <c r="Y12" s="4049"/>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26"/>
      <c r="Q13" s="1134">
        <f t="shared" si="6"/>
        <v>111</v>
      </c>
      <c r="R13" s="1503" t="s">
        <v>8</v>
      </c>
      <c r="S13" s="1504">
        <f t="shared" si="0"/>
        <v>100</v>
      </c>
      <c r="T13" s="1503" t="s">
        <v>8</v>
      </c>
      <c r="U13" s="1504">
        <f t="shared" si="1"/>
        <v>100</v>
      </c>
      <c r="V13" s="1503" t="s">
        <v>8</v>
      </c>
      <c r="W13" s="1504">
        <f t="shared" si="2"/>
        <v>100</v>
      </c>
      <c r="X13" s="1505"/>
      <c r="Y13" s="4049"/>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28" t="s">
        <v>534</v>
      </c>
      <c r="Q14" s="1507" t="str">
        <f t="shared" si="6"/>
        <v>交通便捷度</v>
      </c>
      <c r="R14" s="1508" t="s">
        <v>8</v>
      </c>
      <c r="S14" s="1509">
        <f t="shared" si="0"/>
        <v>100</v>
      </c>
      <c r="T14" s="1508" t="s">
        <v>8</v>
      </c>
      <c r="U14" s="1509">
        <f t="shared" si="1"/>
        <v>100</v>
      </c>
      <c r="V14" s="1508" t="s">
        <v>8</v>
      </c>
      <c r="W14" s="1509">
        <f t="shared" si="2"/>
        <v>100</v>
      </c>
      <c r="X14" s="1502"/>
      <c r="Y14" s="412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29"/>
      <c r="Q15" s="1507"/>
      <c r="R15" s="1508"/>
      <c r="S15" s="1509"/>
      <c r="T15" s="1508"/>
      <c r="U15" s="1509"/>
      <c r="V15" s="1508"/>
      <c r="W15" s="1509"/>
      <c r="X15" s="1502"/>
      <c r="Y15" s="4129"/>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29"/>
      <c r="Q16" s="1507" t="str">
        <f>B16</f>
        <v>公共配套设施</v>
      </c>
      <c r="R16" s="1508" t="s">
        <v>8</v>
      </c>
      <c r="S16" s="1509">
        <f>F16</f>
        <v>100</v>
      </c>
      <c r="T16" s="1508" t="s">
        <v>8</v>
      </c>
      <c r="U16" s="1509">
        <f>H16</f>
        <v>100</v>
      </c>
      <c r="V16" s="1508" t="s">
        <v>8</v>
      </c>
      <c r="W16" s="1509">
        <f>J16</f>
        <v>100</v>
      </c>
      <c r="X16" s="1502"/>
      <c r="Y16" s="412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29"/>
      <c r="Q17" s="1507"/>
      <c r="R17" s="1508"/>
      <c r="S17" s="1509"/>
      <c r="T17" s="1508"/>
      <c r="U17" s="1509"/>
      <c r="V17" s="1508"/>
      <c r="W17" s="1509"/>
      <c r="X17" s="1502"/>
      <c r="Y17" s="4129"/>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29"/>
      <c r="Q18" s="2429" t="str">
        <f>B18</f>
        <v>基础设施水平</v>
      </c>
      <c r="R18" s="1508" t="s">
        <v>8</v>
      </c>
      <c r="S18" s="1509">
        <f>F18</f>
        <v>100</v>
      </c>
      <c r="T18" s="1508" t="s">
        <v>8</v>
      </c>
      <c r="U18" s="1509">
        <f>H18</f>
        <v>100</v>
      </c>
      <c r="V18" s="1508" t="s">
        <v>8</v>
      </c>
      <c r="W18" s="1509">
        <f>J18</f>
        <v>100</v>
      </c>
      <c r="X18" s="2431"/>
      <c r="Y18" s="4129"/>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29"/>
      <c r="Q19" s="2429"/>
      <c r="R19" s="1508"/>
      <c r="S19" s="1509"/>
      <c r="T19" s="1508"/>
      <c r="U19" s="1509"/>
      <c r="V19" s="1508"/>
      <c r="W19" s="1509"/>
      <c r="X19" s="2431"/>
      <c r="Y19" s="4129"/>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29"/>
      <c r="Q20" s="1507" t="str">
        <f>B20</f>
        <v>自然及人文环境</v>
      </c>
      <c r="R20" s="1508" t="s">
        <v>8</v>
      </c>
      <c r="S20" s="1509">
        <f>F20</f>
        <v>100</v>
      </c>
      <c r="T20" s="1508" t="s">
        <v>8</v>
      </c>
      <c r="U20" s="1509">
        <f>H20</f>
        <v>100</v>
      </c>
      <c r="V20" s="1508" t="s">
        <v>8</v>
      </c>
      <c r="W20" s="1509">
        <f>J20</f>
        <v>100</v>
      </c>
      <c r="X20" s="1502"/>
      <c r="Y20" s="412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29"/>
      <c r="Q21" s="1507"/>
      <c r="R21" s="1508"/>
      <c r="S21" s="1509"/>
      <c r="T21" s="1508"/>
      <c r="U21" s="1509"/>
      <c r="V21" s="1508"/>
      <c r="W21" s="1509"/>
      <c r="X21" s="1502"/>
      <c r="Y21" s="412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29"/>
      <c r="Q22" s="1507" t="str">
        <f>B22</f>
        <v>楼层</v>
      </c>
      <c r="R22" s="1508" t="s">
        <v>8</v>
      </c>
      <c r="S22" s="1509">
        <f>F22</f>
        <v>100</v>
      </c>
      <c r="T22" s="1508" t="s">
        <v>8</v>
      </c>
      <c r="U22" s="1509">
        <f>H22</f>
        <v>100</v>
      </c>
      <c r="V22" s="1508" t="s">
        <v>8</v>
      </c>
      <c r="W22" s="1509">
        <f>J22</f>
        <v>100</v>
      </c>
      <c r="X22" s="1502"/>
      <c r="Y22" s="412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29"/>
      <c r="Q23" s="1507">
        <f>B23</f>
        <v>111</v>
      </c>
      <c r="R23" s="1508" t="s">
        <v>8</v>
      </c>
      <c r="S23" s="1509">
        <f>F23</f>
        <v>100</v>
      </c>
      <c r="T23" s="1508" t="s">
        <v>8</v>
      </c>
      <c r="U23" s="1509">
        <f>H23</f>
        <v>100</v>
      </c>
      <c r="V23" s="1508" t="s">
        <v>8</v>
      </c>
      <c r="W23" s="1509">
        <f>J23</f>
        <v>100</v>
      </c>
      <c r="X23" s="1502"/>
      <c r="Y23" s="412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29"/>
      <c r="Q24" s="1507">
        <f t="shared" ref="Q24:Q34" si="11">B24</f>
        <v>111</v>
      </c>
      <c r="R24" s="1508" t="s">
        <v>8</v>
      </c>
      <c r="S24" s="1509">
        <f>F24</f>
        <v>100</v>
      </c>
      <c r="T24" s="1508" t="s">
        <v>8</v>
      </c>
      <c r="U24" s="1509">
        <f>H24</f>
        <v>100</v>
      </c>
      <c r="V24" s="1508" t="s">
        <v>8</v>
      </c>
      <c r="W24" s="1509">
        <f>J24</f>
        <v>100</v>
      </c>
      <c r="X24" s="1502"/>
      <c r="Y24" s="412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29"/>
      <c r="Q25" s="1134">
        <f t="shared" si="11"/>
        <v>111</v>
      </c>
      <c r="R25" s="1503" t="s">
        <v>8</v>
      </c>
      <c r="S25" s="1504">
        <f>F25</f>
        <v>100</v>
      </c>
      <c r="T25" s="1503" t="s">
        <v>8</v>
      </c>
      <c r="U25" s="1504">
        <f>H25</f>
        <v>100</v>
      </c>
      <c r="V25" s="1503" t="s">
        <v>8</v>
      </c>
      <c r="W25" s="1504">
        <f>J25</f>
        <v>100</v>
      </c>
      <c r="X25" s="1505"/>
      <c r="Y25" s="4129"/>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3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3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31"/>
      <c r="Q27" s="1536" t="str">
        <f t="shared" si="11"/>
        <v>成新率</v>
      </c>
      <c r="R27" s="1512" t="s">
        <v>8</v>
      </c>
      <c r="S27" s="1513" t="e">
        <f t="shared" si="12"/>
        <v>#N/A</v>
      </c>
      <c r="T27" s="1512" t="s">
        <v>8</v>
      </c>
      <c r="U27" s="1513" t="e">
        <f t="shared" si="13"/>
        <v>#N/A</v>
      </c>
      <c r="V27" s="1512" t="s">
        <v>8</v>
      </c>
      <c r="W27" s="1513" t="e">
        <f t="shared" si="14"/>
        <v>#N/A</v>
      </c>
      <c r="X27" s="1514"/>
      <c r="Y27" s="413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31"/>
      <c r="Q28" s="1507" t="str">
        <f t="shared" si="11"/>
        <v>物业等级</v>
      </c>
      <c r="R28" s="1508" t="s">
        <v>8</v>
      </c>
      <c r="S28" s="1509">
        <f t="shared" si="12"/>
        <v>100</v>
      </c>
      <c r="T28" s="1508" t="s">
        <v>8</v>
      </c>
      <c r="U28" s="1509">
        <f t="shared" si="13"/>
        <v>100</v>
      </c>
      <c r="V28" s="1508" t="s">
        <v>8</v>
      </c>
      <c r="W28" s="1509">
        <f t="shared" si="14"/>
        <v>100</v>
      </c>
      <c r="X28" s="1502"/>
      <c r="Y28" s="413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31"/>
      <c r="Q29" s="1507" t="str">
        <f t="shared" si="11"/>
        <v>有无电梯</v>
      </c>
      <c r="R29" s="1508" t="s">
        <v>8</v>
      </c>
      <c r="S29" s="1509">
        <f t="shared" si="12"/>
        <v>100</v>
      </c>
      <c r="T29" s="1508" t="s">
        <v>8</v>
      </c>
      <c r="U29" s="1509">
        <f t="shared" si="13"/>
        <v>100</v>
      </c>
      <c r="V29" s="1508" t="s">
        <v>8</v>
      </c>
      <c r="W29" s="1509">
        <f t="shared" si="14"/>
        <v>100</v>
      </c>
      <c r="X29" s="1502"/>
      <c r="Y29" s="413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31"/>
      <c r="Q30" s="1507" t="str">
        <f t="shared" si="11"/>
        <v>建筑面积</v>
      </c>
      <c r="R30" s="1508" t="s">
        <v>8</v>
      </c>
      <c r="S30" s="1509" t="e">
        <f t="shared" si="12"/>
        <v>#N/A</v>
      </c>
      <c r="T30" s="1508" t="s">
        <v>8</v>
      </c>
      <c r="U30" s="1509" t="e">
        <f t="shared" si="13"/>
        <v>#N/A</v>
      </c>
      <c r="V30" s="1508" t="s">
        <v>8</v>
      </c>
      <c r="W30" s="1509" t="e">
        <f t="shared" si="14"/>
        <v>#N/A</v>
      </c>
      <c r="X30" s="1502"/>
      <c r="Y30" s="413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31"/>
      <c r="Q31" s="1134" t="str">
        <f t="shared" si="11"/>
        <v>是否封闭</v>
      </c>
      <c r="R31" s="1503" t="s">
        <v>8</v>
      </c>
      <c r="S31" s="1504">
        <f t="shared" si="12"/>
        <v>100</v>
      </c>
      <c r="T31" s="1503" t="s">
        <v>8</v>
      </c>
      <c r="U31" s="1504">
        <f t="shared" si="13"/>
        <v>100</v>
      </c>
      <c r="V31" s="1503" t="s">
        <v>8</v>
      </c>
      <c r="W31" s="1504">
        <f t="shared" si="14"/>
        <v>100</v>
      </c>
      <c r="X31" s="1505"/>
      <c r="Y31" s="413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31" t="s">
        <v>544</v>
      </c>
      <c r="Q32" s="1507">
        <f t="shared" si="11"/>
        <v>111</v>
      </c>
      <c r="R32" s="1508" t="s">
        <v>8</v>
      </c>
      <c r="S32" s="1509">
        <f t="shared" si="12"/>
        <v>100</v>
      </c>
      <c r="T32" s="1508" t="s">
        <v>8</v>
      </c>
      <c r="U32" s="1509">
        <f t="shared" si="13"/>
        <v>100</v>
      </c>
      <c r="V32" s="1508" t="s">
        <v>8</v>
      </c>
      <c r="W32" s="1509">
        <f t="shared" si="14"/>
        <v>100</v>
      </c>
      <c r="X32" s="1502"/>
      <c r="Y32" s="413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31"/>
      <c r="Q33" s="1507">
        <f t="shared" si="11"/>
        <v>111</v>
      </c>
      <c r="R33" s="1508" t="s">
        <v>8</v>
      </c>
      <c r="S33" s="1509">
        <f t="shared" si="12"/>
        <v>100</v>
      </c>
      <c r="T33" s="1508" t="s">
        <v>8</v>
      </c>
      <c r="U33" s="1509">
        <f t="shared" si="13"/>
        <v>100</v>
      </c>
      <c r="V33" s="1508" t="s">
        <v>8</v>
      </c>
      <c r="W33" s="1509">
        <f t="shared" si="14"/>
        <v>100</v>
      </c>
      <c r="X33" s="1502"/>
      <c r="Y33" s="413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31"/>
      <c r="Q34" s="1507">
        <f t="shared" si="11"/>
        <v>111</v>
      </c>
      <c r="R34" s="1508" t="s">
        <v>8</v>
      </c>
      <c r="S34" s="1509">
        <f t="shared" si="12"/>
        <v>100</v>
      </c>
      <c r="T34" s="1508" t="s">
        <v>8</v>
      </c>
      <c r="U34" s="1509">
        <f t="shared" si="13"/>
        <v>100</v>
      </c>
      <c r="V34" s="1508" t="s">
        <v>8</v>
      </c>
      <c r="W34" s="1509">
        <f t="shared" si="14"/>
        <v>100</v>
      </c>
      <c r="X34" s="1502"/>
      <c r="Y34" s="4131"/>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26" t="str">
        <f>A35</f>
        <v>成交单价（元/平方米）</v>
      </c>
      <c r="Q35" s="4126"/>
      <c r="R35" s="4193">
        <f>E35</f>
        <v>0</v>
      </c>
      <c r="S35" s="4193"/>
      <c r="T35" s="4193">
        <f>G35</f>
        <v>0</v>
      </c>
      <c r="U35" s="4193"/>
      <c r="V35" s="4193">
        <f>I35</f>
        <v>0</v>
      </c>
      <c r="W35" s="4193"/>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26" t="str">
        <f>A36</f>
        <v>比较价格（元/平方米）</v>
      </c>
      <c r="Q36" s="4126"/>
      <c r="R36" s="4193" t="e">
        <f>IF(F1="售价",ROUND(PRODUCT(R35,AA7:AA34),0),ROUND(PRODUCT(R35,AA7:AA34),1))</f>
        <v>#DIV/0!</v>
      </c>
      <c r="S36" s="4193"/>
      <c r="T36" s="4193" t="e">
        <f>IF(F1="售价",ROUND(PRODUCT(T35,AB7:AB34),0),ROUND(PRODUCT(T35,AB7:AB34),1))</f>
        <v>#DIV/0!</v>
      </c>
      <c r="U36" s="4193"/>
      <c r="V36" s="4193" t="e">
        <f>IF(F1="售价",ROUND(PRODUCT(V35,AC7:AC34),0),ROUND(PRODUCT(V35,AC7:AC34),1))</f>
        <v>#DIV/0!</v>
      </c>
      <c r="W36" s="4193"/>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147" t="str">
        <f>A37</f>
        <v>估价对象XX用房的比较价格（楼面单价，元/平方米）</v>
      </c>
      <c r="Q37" s="4148"/>
      <c r="R37" s="4192" t="e">
        <f>IF(F1="售价",ROUND(IF(D36="简单平均",AVERAGE(R36:W36),R36*F36+T36*H36+V36*J36),0),ROUND(IF(D36="简单平均",AVERAGE(R36:V36),R36*F36+T36*H36+V36*J36),1))</f>
        <v>#DIV/0!</v>
      </c>
      <c r="S37" s="4192"/>
      <c r="T37" s="4192"/>
      <c r="U37" s="4192"/>
      <c r="V37" s="4192"/>
      <c r="W37" s="4192"/>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32" t="s">
        <v>2292</v>
      </c>
      <c r="D1" s="4233"/>
      <c r="E1" s="4233"/>
      <c r="F1" s="4233"/>
      <c r="G1" s="4233"/>
      <c r="H1" s="4233"/>
      <c r="I1" s="4233"/>
      <c r="J1" s="4233"/>
      <c r="K1" s="4233"/>
      <c r="L1" s="4233"/>
      <c r="M1" s="4233"/>
      <c r="N1" s="4233"/>
      <c r="O1" s="4233"/>
      <c r="P1" s="4233"/>
      <c r="Q1" s="4233"/>
      <c r="R1" s="4233"/>
      <c r="S1" s="4234"/>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29" t="s">
        <v>20</v>
      </c>
      <c r="D22" s="4230"/>
      <c r="E22" s="4230"/>
      <c r="F22" s="4230"/>
      <c r="G22" s="4230"/>
      <c r="H22" s="4230"/>
      <c r="I22" s="4230"/>
      <c r="J22" s="4230"/>
      <c r="K22" s="4230"/>
      <c r="L22" s="4230"/>
      <c r="M22" s="4230"/>
      <c r="N22" s="4230"/>
      <c r="O22" s="4230"/>
      <c r="P22" s="4230"/>
      <c r="Q22" s="4231"/>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2824</v>
      </c>
      <c r="B1" s="3185">
        <f>SUM(B14:B23)</f>
        <v>26088.75</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1973</v>
      </c>
      <c r="C5" s="3185">
        <f ca="1">ROUND(B5*10000/$B$1,0)</f>
        <v>756</v>
      </c>
      <c r="D5" s="3185">
        <f ca="1">ROUND(B5*10000/$B$2,0)</f>
        <v>756</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26088.75</v>
      </c>
      <c r="C14" s="3191">
        <f>结果表!K38</f>
        <v>26088.75</v>
      </c>
      <c r="D14" s="3191">
        <f ca="1">结果表!C42</f>
        <v>1973</v>
      </c>
      <c r="E14" s="3191">
        <f ca="1">ROUND(D14*10000/B14,0)</f>
        <v>756</v>
      </c>
      <c r="F14" s="3191">
        <f ca="1">ROUND(D14*10000/C14,0)</f>
        <v>756</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37" t="s">
        <v>2557</v>
      </c>
      <c r="C1" s="4237"/>
      <c r="D1" s="4237"/>
      <c r="E1" s="4237"/>
      <c r="F1" s="4237"/>
      <c r="G1" s="4236" t="s">
        <v>2558</v>
      </c>
      <c r="H1" s="4236"/>
      <c r="I1" s="4236"/>
      <c r="J1" s="4236"/>
      <c r="K1" s="4236"/>
      <c r="L1" s="4236"/>
      <c r="N1" s="4236" t="s">
        <v>2559</v>
      </c>
      <c r="O1" s="4236"/>
      <c r="P1" s="4236"/>
      <c r="Q1" s="4236"/>
      <c r="S1" s="4236" t="s">
        <v>2560</v>
      </c>
      <c r="T1" s="4236"/>
      <c r="U1" s="4236"/>
      <c r="V1" s="4236"/>
      <c r="X1" s="4235" t="s">
        <v>2620</v>
      </c>
      <c r="Y1" s="4236"/>
      <c r="Z1" s="4236"/>
      <c r="AA1" s="4236"/>
      <c r="AB1" s="4236"/>
      <c r="AD1" s="4235" t="s">
        <v>2624</v>
      </c>
      <c r="AE1" s="4236"/>
      <c r="AF1" s="4236"/>
      <c r="AG1" s="4236"/>
      <c r="AH1" s="4236"/>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3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3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39"/>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4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4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3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3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4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4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3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3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4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3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3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3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4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3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3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3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4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4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4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4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4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3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3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3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4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3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3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3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4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3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3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3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4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3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3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3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4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3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3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3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4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3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3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3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4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3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3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3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4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3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3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3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4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3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3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3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4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3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3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39">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4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3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3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39">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4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Y15"/>
  <sheetViews>
    <sheetView tabSelected="1" topLeftCell="A4" workbookViewId="0">
      <selection activeCell="M7" sqref="M7"/>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4.875" customWidth="1"/>
    <col min="16" max="16" width="13.375" customWidth="1"/>
    <col min="17" max="17" width="8.37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46" t="s">
        <v>4088</v>
      </c>
      <c r="B2" s="4247"/>
      <c r="C2" s="4247"/>
      <c r="D2" s="4247"/>
      <c r="E2" s="4247"/>
      <c r="F2" s="4247"/>
      <c r="G2" s="4247"/>
      <c r="H2" s="4247"/>
      <c r="I2" s="4247"/>
      <c r="J2" s="4247"/>
      <c r="K2" s="4247"/>
      <c r="L2" s="4247"/>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4101.1514999999999</v>
      </c>
      <c r="S3" s="3782" t="s">
        <v>3891</v>
      </c>
      <c r="T3" s="3859"/>
      <c r="U3" s="3863">
        <v>1</v>
      </c>
      <c r="V3" s="3863" t="s">
        <v>4237</v>
      </c>
      <c r="W3" s="3863">
        <v>3756.78</v>
      </c>
    </row>
    <row r="4" spans="1:25" ht="33" customHeight="1">
      <c r="A4" s="3770" t="s">
        <v>3906</v>
      </c>
      <c r="B4" s="3771">
        <f ca="1">基准地价!C29</f>
        <v>535</v>
      </c>
      <c r="C4" s="3772">
        <v>0.2</v>
      </c>
      <c r="D4" s="3771">
        <f ca="1">'剩余法-待开发'!B3</f>
        <v>811</v>
      </c>
      <c r="E4" s="3772">
        <f>1-C4</f>
        <v>0.8</v>
      </c>
      <c r="F4" s="3770">
        <f ca="1">ROUND(B4*C4+D4*E4,0)</f>
        <v>756</v>
      </c>
      <c r="G4" s="3773">
        <v>0.12</v>
      </c>
      <c r="H4" s="3774">
        <f ca="1">ROUND(F4-F4*G4,0)</f>
        <v>665</v>
      </c>
      <c r="I4" s="3772">
        <v>0.2</v>
      </c>
      <c r="J4" s="3775">
        <f ca="1">成本逼近法!B3</f>
        <v>1799</v>
      </c>
      <c r="K4" s="3772">
        <f>1-I4</f>
        <v>0.8</v>
      </c>
      <c r="L4" s="3776">
        <f ca="1">ROUND(H4*I4+J4*K4,0)</f>
        <v>1572</v>
      </c>
      <c r="M4" s="3777">
        <f ca="1">ROUND(L4*'数据-基础表'!A3/10000,4)</f>
        <v>4101.1514999999999</v>
      </c>
      <c r="O4" s="3783">
        <v>2</v>
      </c>
      <c r="P4" s="3784" t="s">
        <v>3892</v>
      </c>
      <c r="Q4" s="3867" t="s">
        <v>4249</v>
      </c>
      <c r="R4" s="3868">
        <f>ROUND('建（构）筑物价格'!B28/10000,4)</f>
        <v>805.21360000000004</v>
      </c>
      <c r="S4" s="3785" t="s">
        <v>3893</v>
      </c>
      <c r="T4" s="3860"/>
      <c r="U4" s="3863">
        <v>2</v>
      </c>
      <c r="V4" s="3863" t="s">
        <v>4238</v>
      </c>
      <c r="W4" s="3863">
        <v>763.64859999999999</v>
      </c>
    </row>
    <row r="5" spans="1:25" ht="22.5">
      <c r="K5" s="3248" t="s">
        <v>3226</v>
      </c>
      <c r="O5" s="3780">
        <v>3</v>
      </c>
      <c r="P5" s="3781" t="s">
        <v>3894</v>
      </c>
      <c r="Q5" s="3865" t="s">
        <v>3883</v>
      </c>
      <c r="R5" s="3907">
        <f>ROUND(('附属物-墙地棚'!F16+'附属物-树木'!F50)/10000,4)</f>
        <v>273.73989999999998</v>
      </c>
      <c r="S5" s="3786" t="s">
        <v>3895</v>
      </c>
      <c r="T5" s="3861"/>
      <c r="U5" s="3863">
        <v>3</v>
      </c>
      <c r="V5" s="3864" t="s">
        <v>4239</v>
      </c>
      <c r="W5" s="3863">
        <v>374.21120000000002</v>
      </c>
    </row>
    <row r="6" spans="1:25" ht="22.5">
      <c r="L6">
        <f ca="1">L4*666.67/10000</f>
        <v>104.800524</v>
      </c>
      <c r="N6" s="3248" t="s">
        <v>4255</v>
      </c>
      <c r="O6" s="3783">
        <v>4</v>
      </c>
      <c r="P6" s="3784" t="s">
        <v>3896</v>
      </c>
      <c r="Q6" s="3867" t="s">
        <v>3883</v>
      </c>
      <c r="R6" s="3869">
        <v>602.03110000000004</v>
      </c>
      <c r="S6" s="3785" t="s">
        <v>3897</v>
      </c>
      <c r="T6" s="3860"/>
      <c r="U6" s="3863">
        <v>4</v>
      </c>
      <c r="V6" s="3864" t="s">
        <v>4240</v>
      </c>
      <c r="W6" s="3863">
        <v>628.75580000000002</v>
      </c>
    </row>
    <row r="7" spans="1:25" ht="45">
      <c r="O7" s="3780">
        <v>5</v>
      </c>
      <c r="P7" s="3781" t="s">
        <v>3898</v>
      </c>
      <c r="Q7" s="3865" t="s">
        <v>3883</v>
      </c>
      <c r="R7" s="3866">
        <f>停产停业损失!F10</f>
        <v>185.3964</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O9" s="3790" t="s">
        <v>3902</v>
      </c>
      <c r="P9" s="3791" t="s">
        <v>3903</v>
      </c>
      <c r="Q9" s="3872"/>
      <c r="R9" s="3873">
        <f ca="1">SUM(R3:R8)</f>
        <v>5967.5324999999993</v>
      </c>
      <c r="S9" s="3792" t="s">
        <v>3904</v>
      </c>
      <c r="T9" s="3862"/>
      <c r="U9" s="3863">
        <v>7</v>
      </c>
      <c r="V9" s="3864" t="s">
        <v>4243</v>
      </c>
      <c r="W9" s="3863">
        <f>239.4577+74.8858+5.245</f>
        <v>319.58850000000001</v>
      </c>
    </row>
    <row r="10" spans="1:25">
      <c r="Q10" s="3874"/>
      <c r="R10" s="3874"/>
      <c r="U10" s="3863">
        <v>8</v>
      </c>
      <c r="V10" s="3864" t="s">
        <v>4244</v>
      </c>
      <c r="W10" s="3863">
        <v>260.88749999999999</v>
      </c>
    </row>
    <row r="11" spans="1:25">
      <c r="Q11" s="3874"/>
      <c r="R11" s="3874">
        <f ca="1">X11-R9-95</f>
        <v>80.264949999999772</v>
      </c>
      <c r="S11">
        <f ca="1">R3+R4+R5+R7</f>
        <v>5365.5013999999992</v>
      </c>
      <c r="U11" s="3863"/>
      <c r="V11" s="3863"/>
      <c r="W11" s="3863">
        <f>SUM(W3:W10)</f>
        <v>7808.4606699999995</v>
      </c>
      <c r="X11" s="3863">
        <f>W3+W4+W5+W6+W8+W9+W10</f>
        <v>6142.7974499999991</v>
      </c>
      <c r="Y11" s="3863" t="s">
        <v>4250</v>
      </c>
    </row>
    <row r="12" spans="1:25">
      <c r="S12">
        <f ca="1">S11+R6</f>
        <v>5967.5324999999993</v>
      </c>
      <c r="X12">
        <f>W11-W7-W10</f>
        <v>5881.9099500000002</v>
      </c>
    </row>
    <row r="15" spans="1:25">
      <c r="R15" s="3886">
        <f ca="1">R3/26088.75*10000</f>
        <v>1572</v>
      </c>
    </row>
  </sheetData>
  <mergeCells count="1">
    <mergeCell ref="A2:L2"/>
  </mergeCells>
  <phoneticPr fontId="228" type="noConversion"/>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499984740745262"/>
    <outlinePr summaryBelow="0"/>
  </sheetPr>
  <dimension ref="A1:BL411"/>
  <sheetViews>
    <sheetView showZeros="0" zoomScaleNormal="100" workbookViewId="0">
      <pane xSplit="1" ySplit="3" topLeftCell="B4" activePane="bottomRight" state="frozen"/>
      <selection pane="topRight"/>
      <selection pane="bottomLeft"/>
      <selection pane="bottomRight" activeCell="E36" sqref="E36"/>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254" t="s">
        <v>3228</v>
      </c>
      <c r="C1" s="4255"/>
      <c r="D1" s="3349" t="s">
        <v>3229</v>
      </c>
      <c r="E1" s="3350">
        <v>1.046</v>
      </c>
      <c r="F1" s="3351">
        <v>295</v>
      </c>
      <c r="G1" s="3352"/>
      <c r="H1" s="4256" t="s">
        <v>3230</v>
      </c>
      <c r="I1" s="4258" t="s">
        <v>3231</v>
      </c>
      <c r="J1" s="4258"/>
      <c r="K1" s="4258"/>
      <c r="L1" s="4259"/>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261"/>
      <c r="C2" s="4262"/>
      <c r="D2" s="4263" t="s">
        <v>3233</v>
      </c>
      <c r="E2" s="4263"/>
      <c r="F2" s="4264"/>
      <c r="G2" s="4264"/>
      <c r="H2" s="4257"/>
      <c r="I2" s="4257"/>
      <c r="J2" s="4257"/>
      <c r="K2" s="4257"/>
      <c r="L2" s="4260"/>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248" t="s">
        <v>3239</v>
      </c>
      <c r="AT2" s="4248"/>
      <c r="AU2" s="4248"/>
      <c r="AV2" s="4249" t="s">
        <v>3240</v>
      </c>
      <c r="AW2" s="4249"/>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250"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250"/>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250"/>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7.2</v>
      </c>
      <c r="D28" s="3376">
        <f>C28</f>
        <v>7.2</v>
      </c>
      <c r="E28" s="3376">
        <f>C28</f>
        <v>7.2</v>
      </c>
      <c r="F28" s="3376">
        <v>6.5</v>
      </c>
      <c r="G28" s="3376">
        <f>F28</f>
        <v>6.5</v>
      </c>
      <c r="H28" s="3376">
        <f>G28</f>
        <v>6.5</v>
      </c>
      <c r="I28" s="3376">
        <f>E28</f>
        <v>7.2</v>
      </c>
      <c r="J28" s="3376">
        <f>I28</f>
        <v>7.2</v>
      </c>
      <c r="K28" s="3376">
        <f>J28</f>
        <v>7.2</v>
      </c>
      <c r="L28" s="3376">
        <f>K28</f>
        <v>7.2</v>
      </c>
      <c r="M28" s="3376">
        <f>L28</f>
        <v>7.2</v>
      </c>
      <c r="N28" s="3376">
        <f>M28</f>
        <v>7.2</v>
      </c>
      <c r="O28" s="3376">
        <f>N28</f>
        <v>7.2</v>
      </c>
      <c r="P28" s="3376">
        <f>O28</f>
        <v>7.2</v>
      </c>
      <c r="Q28" s="3376">
        <f>P28</f>
        <v>7.2</v>
      </c>
      <c r="R28" s="3376">
        <f>Q28</f>
        <v>7.2</v>
      </c>
      <c r="S28" s="3376">
        <f>R28</f>
        <v>7.2</v>
      </c>
      <c r="T28" s="3376">
        <f>S28</f>
        <v>7.2</v>
      </c>
      <c r="U28" s="3376">
        <f>F28</f>
        <v>6.5</v>
      </c>
      <c r="V28" s="3376">
        <f>T28</f>
        <v>7.2</v>
      </c>
      <c r="W28" s="3376">
        <f>V28</f>
        <v>7.2</v>
      </c>
      <c r="X28" s="3376">
        <f>W28</f>
        <v>7.2</v>
      </c>
      <c r="Y28" s="3376">
        <f>X28</f>
        <v>7.2</v>
      </c>
      <c r="Z28" s="3376">
        <f>Y28</f>
        <v>7.2</v>
      </c>
      <c r="AA28" s="3376">
        <f>Z28</f>
        <v>7.2</v>
      </c>
      <c r="AB28" s="3376">
        <f>AA28</f>
        <v>7.2</v>
      </c>
      <c r="AC28" s="3376">
        <f>AB28</f>
        <v>7.2</v>
      </c>
      <c r="AD28" s="3377">
        <v>7.5</v>
      </c>
      <c r="AE28" s="3377">
        <f>AC28</f>
        <v>7.2</v>
      </c>
      <c r="AF28" s="3376">
        <f>AC28</f>
        <v>7.2</v>
      </c>
      <c r="AG28" s="3376">
        <f>AF28</f>
        <v>7.2</v>
      </c>
      <c r="AH28" s="3376">
        <f>AG28</f>
        <v>7.2</v>
      </c>
      <c r="AI28" s="3376">
        <f>AH28</f>
        <v>7.2</v>
      </c>
      <c r="AJ28" s="3376">
        <f>AI28</f>
        <v>7.2</v>
      </c>
      <c r="AK28" s="3376">
        <f>AJ28</f>
        <v>7.2</v>
      </c>
      <c r="AL28" s="3376">
        <f>AK28</f>
        <v>7.2</v>
      </c>
      <c r="AM28" s="3376">
        <f>AL28</f>
        <v>7.2</v>
      </c>
      <c r="AN28" s="3376">
        <f>AM28</f>
        <v>7.2</v>
      </c>
      <c r="AO28" s="3376">
        <f>AN28</f>
        <v>7.2</v>
      </c>
      <c r="AP28" s="3376">
        <f>U28</f>
        <v>6.5</v>
      </c>
      <c r="AQ28" s="3376">
        <f>AP28</f>
        <v>6.5</v>
      </c>
      <c r="AR28" s="3376">
        <f>AO28</f>
        <v>7.2</v>
      </c>
      <c r="AS28" s="3376">
        <f>AR28</f>
        <v>7.2</v>
      </c>
      <c r="AT28" s="3376">
        <f>AR28</f>
        <v>7.2</v>
      </c>
      <c r="AU28" s="3376">
        <f>AR28</f>
        <v>7.2</v>
      </c>
      <c r="AV28" s="3376">
        <f>AQ28</f>
        <v>6.5</v>
      </c>
      <c r="AW28" s="3376">
        <f>AQ28</f>
        <v>6.5</v>
      </c>
      <c r="AX28" s="3376">
        <f>AQ28</f>
        <v>6.5</v>
      </c>
      <c r="AY28" s="3376">
        <f>AQ28</f>
        <v>6.5</v>
      </c>
      <c r="AZ28" s="3376">
        <f>AQ28</f>
        <v>6.5</v>
      </c>
      <c r="BA28" s="3376">
        <f>AZ28</f>
        <v>6.5</v>
      </c>
      <c r="BB28" s="3376">
        <f>BA28</f>
        <v>6.5</v>
      </c>
      <c r="BC28" s="3376">
        <f>BB28</f>
        <v>6.5</v>
      </c>
      <c r="BD28" s="3376">
        <f>BB28</f>
        <v>6.5</v>
      </c>
      <c r="BE28" s="3376">
        <f>BB28</f>
        <v>6.5</v>
      </c>
      <c r="BF28" s="3376">
        <f>BE28</f>
        <v>6.5</v>
      </c>
      <c r="BG28" s="3376">
        <f>BF28</f>
        <v>6.5</v>
      </c>
      <c r="BH28" s="3376">
        <f>BG28</f>
        <v>6.5</v>
      </c>
      <c r="BI28" s="3376">
        <f>BG28</f>
        <v>6.5</v>
      </c>
      <c r="BJ28" s="3353"/>
    </row>
    <row r="29" spans="1:62" ht="12" customHeight="1">
      <c r="A29" s="3388" t="s">
        <v>3336</v>
      </c>
      <c r="B29" s="3429"/>
      <c r="C29" s="3396">
        <f t="shared" ref="C29:BI29" si="18">IF(OR(C12=0,C12="砼屋面"),C28/10,IF(C12="瓦房",VLOOKUP(C28,CX,2),IF(C12="灰瓦房(其他房)",VLOOKUP(C28,CX,3),IF(C12="灰房",VLOOKUP(C28,CX,4)))))</f>
        <v>0.72</v>
      </c>
      <c r="D29" s="3396">
        <f t="shared" si="18"/>
        <v>0.72</v>
      </c>
      <c r="E29" s="3396">
        <f t="shared" si="18"/>
        <v>0.72</v>
      </c>
      <c r="F29" s="3396">
        <f t="shared" si="18"/>
        <v>0.65</v>
      </c>
      <c r="G29" s="3396">
        <f t="shared" si="18"/>
        <v>0.65</v>
      </c>
      <c r="H29" s="3396">
        <f t="shared" si="18"/>
        <v>0.65</v>
      </c>
      <c r="I29" s="3396">
        <f t="shared" si="18"/>
        <v>0.72</v>
      </c>
      <c r="J29" s="3396">
        <f t="shared" si="18"/>
        <v>0.72</v>
      </c>
      <c r="K29" s="3396">
        <f t="shared" si="18"/>
        <v>0.72</v>
      </c>
      <c r="L29" s="3396">
        <f t="shared" si="18"/>
        <v>0.72</v>
      </c>
      <c r="M29" s="3396">
        <f t="shared" si="18"/>
        <v>0.72</v>
      </c>
      <c r="N29" s="3396">
        <f t="shared" si="18"/>
        <v>0.72</v>
      </c>
      <c r="O29" s="3396">
        <f t="shared" si="18"/>
        <v>0.72</v>
      </c>
      <c r="P29" s="3396">
        <f t="shared" si="18"/>
        <v>0.72</v>
      </c>
      <c r="Q29" s="3396">
        <f t="shared" si="18"/>
        <v>0.72</v>
      </c>
      <c r="R29" s="3396">
        <f t="shared" si="18"/>
        <v>0.72</v>
      </c>
      <c r="S29" s="3396">
        <f t="shared" si="18"/>
        <v>0.72</v>
      </c>
      <c r="T29" s="3396">
        <f t="shared" si="18"/>
        <v>0.72</v>
      </c>
      <c r="U29" s="3396">
        <f t="shared" si="18"/>
        <v>0.65</v>
      </c>
      <c r="V29" s="3396">
        <f t="shared" si="18"/>
        <v>0.72</v>
      </c>
      <c r="W29" s="3396">
        <f t="shared" si="18"/>
        <v>0.72</v>
      </c>
      <c r="X29" s="3396">
        <f t="shared" si="18"/>
        <v>0.72</v>
      </c>
      <c r="Y29" s="3396">
        <f t="shared" si="18"/>
        <v>0.72</v>
      </c>
      <c r="Z29" s="3396">
        <f t="shared" si="18"/>
        <v>0.72</v>
      </c>
      <c r="AA29" s="3396">
        <f t="shared" si="18"/>
        <v>0.72</v>
      </c>
      <c r="AB29" s="3396">
        <f t="shared" si="18"/>
        <v>0.72</v>
      </c>
      <c r="AC29" s="3396">
        <f t="shared" si="18"/>
        <v>0.72</v>
      </c>
      <c r="AD29" s="3397">
        <f t="shared" si="18"/>
        <v>0.75</v>
      </c>
      <c r="AE29" s="3397">
        <f t="shared" si="18"/>
        <v>0.72</v>
      </c>
      <c r="AF29" s="3396">
        <f t="shared" si="18"/>
        <v>0.72</v>
      </c>
      <c r="AG29" s="3396">
        <f t="shared" si="18"/>
        <v>0.72</v>
      </c>
      <c r="AH29" s="3396">
        <f t="shared" si="18"/>
        <v>0.72</v>
      </c>
      <c r="AI29" s="3396">
        <f t="shared" si="18"/>
        <v>0.72</v>
      </c>
      <c r="AJ29" s="3396">
        <f t="shared" si="18"/>
        <v>0.72</v>
      </c>
      <c r="AK29" s="3396">
        <f t="shared" si="18"/>
        <v>0.72</v>
      </c>
      <c r="AL29" s="3396">
        <f t="shared" si="18"/>
        <v>0.72</v>
      </c>
      <c r="AM29" s="3396">
        <f t="shared" si="18"/>
        <v>0.72</v>
      </c>
      <c r="AN29" s="3396">
        <f t="shared" si="18"/>
        <v>0.72</v>
      </c>
      <c r="AO29" s="3396">
        <f t="shared" si="18"/>
        <v>0.72</v>
      </c>
      <c r="AP29" s="3396">
        <f t="shared" si="18"/>
        <v>0.65</v>
      </c>
      <c r="AQ29" s="3396">
        <f t="shared" si="18"/>
        <v>0.65</v>
      </c>
      <c r="AR29" s="3396">
        <f t="shared" si="18"/>
        <v>0.72</v>
      </c>
      <c r="AS29" s="3396">
        <f t="shared" si="18"/>
        <v>0.72</v>
      </c>
      <c r="AT29" s="3396">
        <f t="shared" si="18"/>
        <v>0.72</v>
      </c>
      <c r="AU29" s="3396">
        <f t="shared" si="18"/>
        <v>0.72</v>
      </c>
      <c r="AV29" s="3396">
        <f t="shared" si="18"/>
        <v>0.65</v>
      </c>
      <c r="AW29" s="3396">
        <f t="shared" si="18"/>
        <v>0.65</v>
      </c>
      <c r="AX29" s="3396">
        <f t="shared" si="18"/>
        <v>0.65</v>
      </c>
      <c r="AY29" s="3396">
        <f t="shared" si="18"/>
        <v>0.65</v>
      </c>
      <c r="AZ29" s="3396">
        <f t="shared" si="18"/>
        <v>0.65</v>
      </c>
      <c r="BA29" s="3396">
        <f t="shared" si="18"/>
        <v>0.65</v>
      </c>
      <c r="BB29" s="3396">
        <f t="shared" si="18"/>
        <v>0.65</v>
      </c>
      <c r="BC29" s="3396">
        <f t="shared" si="18"/>
        <v>0.65</v>
      </c>
      <c r="BD29" s="3396">
        <f t="shared" si="18"/>
        <v>0.65</v>
      </c>
      <c r="BE29" s="3396">
        <f t="shared" si="18"/>
        <v>0.65</v>
      </c>
      <c r="BF29" s="3396">
        <f t="shared" si="18"/>
        <v>0.65</v>
      </c>
      <c r="BG29" s="3396">
        <f t="shared" si="18"/>
        <v>0.65</v>
      </c>
      <c r="BH29" s="3396">
        <f t="shared" si="18"/>
        <v>0.65</v>
      </c>
      <c r="BI29" s="3396">
        <f t="shared" si="18"/>
        <v>0.65</v>
      </c>
      <c r="BJ29" s="3353" t="s">
        <v>3337</v>
      </c>
    </row>
    <row r="30" spans="1:62" ht="12" customHeight="1" thickBot="1">
      <c r="A30" s="3402" t="s">
        <v>3338</v>
      </c>
      <c r="B30" s="3430">
        <f>SUM(C30:AW30)</f>
        <v>8052136</v>
      </c>
      <c r="C30" s="3431">
        <f t="shared" ref="C30:BI30" si="19">ROUND(IF(C8=0,0,((C13+C14+C16+C15+(C21+C22)*C24)*C10*C29)*$E$1*$F$1+(C26*C5*C23)*$F$1*C27*C29),0)</f>
        <v>267508</v>
      </c>
      <c r="D30" s="3431">
        <f t="shared" si="19"/>
        <v>56630</v>
      </c>
      <c r="E30" s="3431">
        <f t="shared" si="19"/>
        <v>3402523</v>
      </c>
      <c r="F30" s="3431">
        <f t="shared" si="19"/>
        <v>46239</v>
      </c>
      <c r="G30" s="3431">
        <f t="shared" si="19"/>
        <v>49316</v>
      </c>
      <c r="H30" s="3431">
        <f t="shared" si="19"/>
        <v>20833</v>
      </c>
      <c r="I30" s="3431">
        <f t="shared" si="19"/>
        <v>100624</v>
      </c>
      <c r="J30" s="3431">
        <f t="shared" si="19"/>
        <v>8725</v>
      </c>
      <c r="K30" s="3431">
        <f t="shared" si="19"/>
        <v>46776</v>
      </c>
      <c r="L30" s="3431">
        <f t="shared" si="19"/>
        <v>21297</v>
      </c>
      <c r="M30" s="3431">
        <f t="shared" si="19"/>
        <v>26412</v>
      </c>
      <c r="N30" s="3431">
        <f t="shared" si="19"/>
        <v>146951</v>
      </c>
      <c r="O30" s="3431">
        <f t="shared" si="19"/>
        <v>57623</v>
      </c>
      <c r="P30" s="3431">
        <f t="shared" si="19"/>
        <v>39016</v>
      </c>
      <c r="Q30" s="3431">
        <f t="shared" si="19"/>
        <v>43743</v>
      </c>
      <c r="R30" s="3431">
        <f t="shared" si="19"/>
        <v>275054</v>
      </c>
      <c r="S30" s="3431">
        <f t="shared" si="19"/>
        <v>15718</v>
      </c>
      <c r="T30" s="3431">
        <f t="shared" si="19"/>
        <v>17600</v>
      </c>
      <c r="U30" s="3431">
        <f t="shared" si="19"/>
        <v>138214</v>
      </c>
      <c r="V30" s="3431">
        <f t="shared" si="19"/>
        <v>50286</v>
      </c>
      <c r="W30" s="3431">
        <f t="shared" si="19"/>
        <v>81999</v>
      </c>
      <c r="X30" s="3431">
        <f t="shared" si="19"/>
        <v>28388</v>
      </c>
      <c r="Y30" s="3431">
        <f t="shared" si="19"/>
        <v>616133</v>
      </c>
      <c r="Z30" s="3431">
        <f t="shared" si="19"/>
        <v>71477</v>
      </c>
      <c r="AA30" s="3431">
        <f t="shared" si="19"/>
        <v>2039</v>
      </c>
      <c r="AB30" s="3431">
        <f t="shared" si="19"/>
        <v>57833</v>
      </c>
      <c r="AC30" s="3431">
        <f t="shared" si="19"/>
        <v>57727</v>
      </c>
      <c r="AD30" s="3432">
        <f t="shared" si="19"/>
        <v>183831</v>
      </c>
      <c r="AE30" s="3432">
        <f t="shared" si="19"/>
        <v>188154</v>
      </c>
      <c r="AF30" s="3431">
        <f t="shared" si="19"/>
        <v>23056</v>
      </c>
      <c r="AG30" s="3431">
        <f t="shared" si="19"/>
        <v>38264</v>
      </c>
      <c r="AH30" s="3431">
        <f t="shared" si="19"/>
        <v>77237</v>
      </c>
      <c r="AI30" s="3431">
        <f t="shared" si="19"/>
        <v>763231</v>
      </c>
      <c r="AJ30" s="3431">
        <f t="shared" si="19"/>
        <v>103863</v>
      </c>
      <c r="AK30" s="3431">
        <f t="shared" si="19"/>
        <v>13687</v>
      </c>
      <c r="AL30" s="3431">
        <f t="shared" si="19"/>
        <v>194163</v>
      </c>
      <c r="AM30" s="3431">
        <f t="shared" si="19"/>
        <v>175864</v>
      </c>
      <c r="AN30" s="3431">
        <f t="shared" si="19"/>
        <v>5040</v>
      </c>
      <c r="AO30" s="3431">
        <f t="shared" si="19"/>
        <v>91953</v>
      </c>
      <c r="AP30" s="3431">
        <f t="shared" si="19"/>
        <v>15763</v>
      </c>
      <c r="AQ30" s="3431">
        <f t="shared" si="19"/>
        <v>47968</v>
      </c>
      <c r="AR30" s="3431">
        <f t="shared" si="19"/>
        <v>255247</v>
      </c>
      <c r="AS30" s="3431">
        <f t="shared" si="19"/>
        <v>16722</v>
      </c>
      <c r="AT30" s="3431">
        <f t="shared" si="19"/>
        <v>52293</v>
      </c>
      <c r="AU30" s="3431">
        <f t="shared" si="19"/>
        <v>15635</v>
      </c>
      <c r="AV30" s="3431">
        <f t="shared" si="19"/>
        <v>25819</v>
      </c>
      <c r="AW30" s="3431">
        <f t="shared" si="19"/>
        <v>17662</v>
      </c>
      <c r="AX30" s="3431">
        <f t="shared" si="19"/>
        <v>0</v>
      </c>
      <c r="AY30" s="3431">
        <f t="shared" si="19"/>
        <v>56447</v>
      </c>
      <c r="AZ30" s="3431">
        <f t="shared" si="19"/>
        <v>24490</v>
      </c>
      <c r="BA30" s="3431">
        <f t="shared" si="19"/>
        <v>35650</v>
      </c>
      <c r="BB30" s="3431">
        <f t="shared" si="19"/>
        <v>1718</v>
      </c>
      <c r="BC30" s="3431">
        <f t="shared" si="19"/>
        <v>2771</v>
      </c>
      <c r="BD30" s="3431">
        <f t="shared" si="19"/>
        <v>23252</v>
      </c>
      <c r="BE30" s="3431">
        <f t="shared" si="19"/>
        <v>15990</v>
      </c>
      <c r="BF30" s="3431">
        <f t="shared" si="19"/>
        <v>0</v>
      </c>
      <c r="BG30" s="3431">
        <f t="shared" si="19"/>
        <v>16972</v>
      </c>
      <c r="BH30" s="3432">
        <f t="shared" si="19"/>
        <v>15039</v>
      </c>
      <c r="BI30" s="3432">
        <f t="shared" si="19"/>
        <v>15039</v>
      </c>
      <c r="BJ30" s="3433">
        <f>BH30+BI30</f>
        <v>30078</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0">ROUND(B30/B8,2)</f>
        <v>934.79</v>
      </c>
      <c r="C32" s="3440">
        <f t="shared" si="20"/>
        <v>796.96</v>
      </c>
      <c r="D32" s="3440">
        <f t="shared" si="20"/>
        <v>782.61</v>
      </c>
      <c r="E32" s="3440">
        <f t="shared" si="20"/>
        <v>1265.43</v>
      </c>
      <c r="F32" s="3440">
        <f t="shared" si="20"/>
        <v>1183.49</v>
      </c>
      <c r="G32" s="3440">
        <f t="shared" si="20"/>
        <v>662.76</v>
      </c>
      <c r="H32" s="3440">
        <f t="shared" si="20"/>
        <v>477.49</v>
      </c>
      <c r="I32" s="3440">
        <f t="shared" si="20"/>
        <v>747.19</v>
      </c>
      <c r="J32" s="3440">
        <f t="shared" si="20"/>
        <v>344.32</v>
      </c>
      <c r="K32" s="3440">
        <f t="shared" si="20"/>
        <v>1025.1199999999999</v>
      </c>
      <c r="L32" s="3440">
        <f t="shared" si="20"/>
        <v>702.87</v>
      </c>
      <c r="M32" s="3440">
        <f t="shared" si="20"/>
        <v>975.69</v>
      </c>
      <c r="N32" s="3440">
        <f t="shared" si="20"/>
        <v>1528.83</v>
      </c>
      <c r="O32" s="3440">
        <f t="shared" si="20"/>
        <v>923.3</v>
      </c>
      <c r="P32" s="3440">
        <f t="shared" si="20"/>
        <v>868.76</v>
      </c>
      <c r="Q32" s="3440">
        <f t="shared" si="20"/>
        <v>817.32</v>
      </c>
      <c r="R32" s="3440">
        <f t="shared" si="20"/>
        <v>1383.22</v>
      </c>
      <c r="S32" s="3440">
        <f t="shared" si="20"/>
        <v>772.38</v>
      </c>
      <c r="T32" s="3440">
        <f t="shared" si="20"/>
        <v>576.48</v>
      </c>
      <c r="U32" s="3440">
        <f t="shared" si="20"/>
        <v>904.07</v>
      </c>
      <c r="V32" s="3440">
        <f t="shared" si="20"/>
        <v>750.87</v>
      </c>
      <c r="W32" s="3440">
        <f t="shared" si="20"/>
        <v>688.2</v>
      </c>
      <c r="X32" s="3440">
        <f t="shared" si="20"/>
        <v>363.9</v>
      </c>
      <c r="Y32" s="3440">
        <f t="shared" si="20"/>
        <v>1149.05</v>
      </c>
      <c r="Z32" s="3440">
        <f t="shared" si="20"/>
        <v>942.97</v>
      </c>
      <c r="AA32" s="3440">
        <f t="shared" si="20"/>
        <v>805.93</v>
      </c>
      <c r="AB32" s="3440">
        <f t="shared" si="20"/>
        <v>840.96</v>
      </c>
      <c r="AC32" s="3440">
        <f t="shared" si="20"/>
        <v>1476.77</v>
      </c>
      <c r="AD32" s="3441">
        <f t="shared" si="20"/>
        <v>1390.34</v>
      </c>
      <c r="AE32" s="3441">
        <f t="shared" si="20"/>
        <v>1423.04</v>
      </c>
      <c r="AF32" s="3440">
        <f t="shared" si="20"/>
        <v>699.94</v>
      </c>
      <c r="AG32" s="3440">
        <f t="shared" si="20"/>
        <v>626.25</v>
      </c>
      <c r="AH32" s="3440">
        <f t="shared" si="20"/>
        <v>518.86</v>
      </c>
      <c r="AI32" s="3440">
        <f t="shared" si="20"/>
        <v>1010.21</v>
      </c>
      <c r="AJ32" s="3440">
        <f t="shared" si="20"/>
        <v>732.93</v>
      </c>
      <c r="AK32" s="3440">
        <f t="shared" si="20"/>
        <v>922.3</v>
      </c>
      <c r="AL32" s="3440">
        <f t="shared" si="20"/>
        <v>1018.27</v>
      </c>
      <c r="AM32" s="3440">
        <f t="shared" si="20"/>
        <v>706.42</v>
      </c>
      <c r="AN32" s="3440">
        <f t="shared" si="20"/>
        <v>659.69</v>
      </c>
      <c r="AO32" s="3440">
        <f t="shared" si="20"/>
        <v>880.52</v>
      </c>
      <c r="AP32" s="3440">
        <f t="shared" si="20"/>
        <v>691.06</v>
      </c>
      <c r="AQ32" s="3440">
        <f t="shared" si="20"/>
        <v>585.04999999999995</v>
      </c>
      <c r="AR32" s="3440">
        <f t="shared" si="20"/>
        <v>662.26</v>
      </c>
      <c r="AS32" s="3440">
        <f t="shared" si="20"/>
        <v>1024.6300000000001</v>
      </c>
      <c r="AT32" s="3440">
        <f t="shared" si="20"/>
        <v>895.58</v>
      </c>
      <c r="AU32" s="3440">
        <f t="shared" si="20"/>
        <v>1084.26</v>
      </c>
      <c r="AV32" s="3440">
        <f t="shared" si="20"/>
        <v>584.54</v>
      </c>
      <c r="AW32" s="3440">
        <f t="shared" si="20"/>
        <v>642.72</v>
      </c>
      <c r="AX32" s="3440">
        <f t="shared" si="20"/>
        <v>0</v>
      </c>
      <c r="AY32" s="3440">
        <f t="shared" si="20"/>
        <v>270.51</v>
      </c>
      <c r="AZ32" s="3440">
        <f t="shared" si="20"/>
        <v>232.46</v>
      </c>
      <c r="BA32" s="3440">
        <f t="shared" si="20"/>
        <v>299.02999999999997</v>
      </c>
      <c r="BB32" s="3440">
        <f t="shared" si="20"/>
        <v>230.6</v>
      </c>
      <c r="BC32" s="3440">
        <f t="shared" si="20"/>
        <v>169.07</v>
      </c>
      <c r="BD32" s="3440">
        <f t="shared" si="20"/>
        <v>169.08</v>
      </c>
      <c r="BE32" s="3440">
        <f t="shared" si="20"/>
        <v>169.08</v>
      </c>
      <c r="BF32" s="3440">
        <f t="shared" si="20"/>
        <v>0</v>
      </c>
      <c r="BG32" s="3440">
        <f t="shared" si="20"/>
        <v>169.08</v>
      </c>
      <c r="BH32" s="3440">
        <f t="shared" si="20"/>
        <v>334.2</v>
      </c>
      <c r="BI32" s="3440">
        <f t="shared" si="20"/>
        <v>334.2</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177290</v>
      </c>
    </row>
    <row r="34" spans="1:59" ht="14.25">
      <c r="A34" s="3444" t="s">
        <v>3350</v>
      </c>
      <c r="B34" s="3445" t="str">
        <f t="shared" ref="B34:H34" si="21">IF(B33="","",VLOOKUP(B33,FSW,2,FALSE))</f>
        <v>份</v>
      </c>
      <c r="C34" s="3445" t="str">
        <f t="shared" si="21"/>
        <v>个</v>
      </c>
      <c r="D34" s="3445" t="str">
        <f t="shared" si="21"/>
        <v>个</v>
      </c>
      <c r="E34" s="3445" t="str">
        <f t="shared" si="21"/>
        <v>个</v>
      </c>
      <c r="F34" s="3445" t="str">
        <f t="shared" si="21"/>
        <v>座</v>
      </c>
      <c r="G34" s="3445" t="str">
        <f t="shared" si="21"/>
        <v>平方米</v>
      </c>
      <c r="H34" s="3445" t="str">
        <f t="shared" si="21"/>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805.21360000000004</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2">IF(B33="","",VLOOKUP(B33,FSW,4,FALSE))</f>
        <v>0.5</v>
      </c>
      <c r="C37" s="3445">
        <f t="shared" si="22"/>
        <v>1.56</v>
      </c>
      <c r="D37" s="3445">
        <f t="shared" si="22"/>
        <v>1.3</v>
      </c>
      <c r="E37" s="3445">
        <f t="shared" si="22"/>
        <v>1.6949149999999999</v>
      </c>
      <c r="F37" s="3445">
        <f t="shared" si="22"/>
        <v>8.81</v>
      </c>
      <c r="G37" s="3445">
        <f t="shared" si="22"/>
        <v>0.20338983050847459</v>
      </c>
      <c r="H37" s="3445">
        <f t="shared" si="22"/>
        <v>1.1000000000000001</v>
      </c>
      <c r="I37" s="3352"/>
      <c r="J37" s="3352"/>
      <c r="K37" s="3446"/>
      <c r="L37" s="3447">
        <f>B69/10000</f>
        <v>172.18940000000001</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3">IF(C33=0,0,ROUND(C35*C37*C36/10*$F$1*$E$1,0))</f>
        <v>2696</v>
      </c>
      <c r="D38" s="3449">
        <f t="shared" si="23"/>
        <v>642</v>
      </c>
      <c r="E38" s="3449">
        <f t="shared" si="23"/>
        <v>11715</v>
      </c>
      <c r="F38" s="3449">
        <f t="shared" si="23"/>
        <v>4350</v>
      </c>
      <c r="G38" s="3449">
        <f t="shared" si="23"/>
        <v>3730</v>
      </c>
      <c r="H38" s="3449">
        <f t="shared" si="23"/>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1159.4075</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4">IF(B39="","",VLOOKUP(B39,FSW,4,FALSE))</f>
        <v>6.7796609999999999</v>
      </c>
      <c r="C43" s="3445">
        <f t="shared" si="24"/>
        <v>10.169492</v>
      </c>
      <c r="D43" s="3445">
        <f t="shared" si="24"/>
        <v>1.1864410000000001</v>
      </c>
      <c r="E43" s="3445">
        <f t="shared" si="24"/>
        <v>0.1</v>
      </c>
      <c r="F43" s="3445">
        <f t="shared" si="24"/>
        <v>2.65</v>
      </c>
      <c r="G43" s="3445">
        <f t="shared" si="24"/>
        <v>1.39</v>
      </c>
      <c r="H43" s="3445">
        <f t="shared" si="24"/>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5">IF(B39=0,0,ROUND(B41*B43*B42/10*$F$1*$E$1,0))</f>
        <v>16736</v>
      </c>
      <c r="C44" s="3449">
        <f t="shared" si="25"/>
        <v>5021</v>
      </c>
      <c r="D44" s="3449">
        <f t="shared" si="25"/>
        <v>3942</v>
      </c>
      <c r="E44" s="3449">
        <f t="shared" si="25"/>
        <v>156</v>
      </c>
      <c r="F44" s="3449">
        <f t="shared" si="25"/>
        <v>8504</v>
      </c>
      <c r="G44" s="3449">
        <f t="shared" si="25"/>
        <v>4118</v>
      </c>
      <c r="H44" s="3449">
        <f t="shared" si="25"/>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6">IF(B45=0,0,ROUND(B47*B49*B48/10*$F$1*$E$1,0))</f>
        <v>4215</v>
      </c>
      <c r="C50" s="3449">
        <f t="shared" si="26"/>
        <v>8314</v>
      </c>
      <c r="D50" s="3449">
        <f t="shared" si="26"/>
        <v>5658</v>
      </c>
      <c r="E50" s="3449">
        <f t="shared" si="26"/>
        <v>0</v>
      </c>
      <c r="F50" s="3449">
        <f t="shared" si="26"/>
        <v>89166</v>
      </c>
      <c r="G50" s="3449">
        <f t="shared" si="26"/>
        <v>104198</v>
      </c>
      <c r="H50" s="3449">
        <f t="shared" si="26"/>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27">IF(C57="","",VLOOKUP(C57,FSW,2,FALSE))</f>
        <v>0</v>
      </c>
      <c r="D58" s="3445"/>
      <c r="E58" s="3445" t="str">
        <f t="shared" si="27"/>
        <v/>
      </c>
      <c r="F58" s="3445" t="str">
        <f t="shared" si="27"/>
        <v/>
      </c>
      <c r="G58" s="3445" t="str">
        <f t="shared" si="27"/>
        <v/>
      </c>
      <c r="H58" s="3445" t="str">
        <f t="shared" si="27"/>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28">IF(E57="","",VLOOKUP(E57,FSW,3,FALSE))</f>
        <v/>
      </c>
      <c r="F60" s="3445" t="str">
        <f t="shared" si="28"/>
        <v/>
      </c>
      <c r="G60" s="3445" t="str">
        <f t="shared" si="28"/>
        <v/>
      </c>
      <c r="H60" s="3445" t="str">
        <f t="shared" si="28"/>
        <v/>
      </c>
      <c r="I60" s="3352"/>
      <c r="J60" s="3352"/>
      <c r="K60" s="3352" t="s">
        <v>3383</v>
      </c>
      <c r="L60" s="3352" t="s">
        <v>3384</v>
      </c>
      <c r="M60" s="3353" t="s">
        <v>3385</v>
      </c>
    </row>
    <row r="61" spans="1:13" ht="14.25" hidden="1" outlineLevel="1">
      <c r="A61" s="3444" t="s">
        <v>3333</v>
      </c>
      <c r="B61" s="3445"/>
      <c r="C61" s="3445"/>
      <c r="D61" s="3445"/>
      <c r="E61" s="3445" t="str">
        <f t="shared" ref="E61:H61" si="29">IF(E57="","",VLOOKUP(E57,FSW,4,FALSE))</f>
        <v/>
      </c>
      <c r="F61" s="3445" t="str">
        <f t="shared" si="29"/>
        <v/>
      </c>
      <c r="G61" s="3445" t="str">
        <f t="shared" si="29"/>
        <v/>
      </c>
      <c r="H61" s="3445" t="str">
        <f t="shared" si="29"/>
        <v/>
      </c>
      <c r="I61" s="3352"/>
      <c r="J61" s="3352" t="s">
        <v>3386</v>
      </c>
      <c r="K61" s="3352">
        <v>4028.1030000000001</v>
      </c>
      <c r="L61" s="3352"/>
      <c r="M61" s="3353">
        <v>3756.78</v>
      </c>
    </row>
    <row r="62" spans="1:13" ht="15" hidden="1" outlineLevel="1" thickBot="1">
      <c r="A62" s="3448" t="s">
        <v>3351</v>
      </c>
      <c r="B62" s="3449">
        <f>ROUND(B59*B60*B61,0)</f>
        <v>0</v>
      </c>
      <c r="C62" s="3449">
        <f>BG33</f>
        <v>177290</v>
      </c>
      <c r="D62" s="3449">
        <f>BJ30</f>
        <v>30078</v>
      </c>
      <c r="E62" s="3449">
        <f t="shared" ref="E62:H62" si="30">IF(E57=0,0,ROUND(E59*E61*E60/10*$H$1*$G$1,0))</f>
        <v>0</v>
      </c>
      <c r="F62" s="3449">
        <f t="shared" si="30"/>
        <v>0</v>
      </c>
      <c r="G62" s="3449">
        <f t="shared" si="30"/>
        <v>0</v>
      </c>
      <c r="H62" s="3449">
        <f t="shared" si="30"/>
        <v>0</v>
      </c>
      <c r="I62" s="3352"/>
      <c r="J62" s="3352" t="s">
        <v>3387</v>
      </c>
      <c r="K62" s="3352">
        <f>B30/10000</f>
        <v>805.21360000000004</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172.18940000000001</v>
      </c>
      <c r="L63" s="3352">
        <f>K56/10000+K63</f>
        <v>267.72340000000003</v>
      </c>
      <c r="M63" s="3353">
        <v>374.21120000000002</v>
      </c>
    </row>
    <row r="64" spans="1:13" ht="13.5" hidden="1" customHeight="1" outlineLevel="1">
      <c r="A64" s="3444" t="s">
        <v>3350</v>
      </c>
      <c r="B64" s="3445" t="str">
        <f t="shared" ref="B64:H64" si="31">IF(B63="","",VLOOKUP(B63,FSW,2,FALSE))</f>
        <v/>
      </c>
      <c r="C64" s="3445" t="str">
        <f t="shared" si="31"/>
        <v/>
      </c>
      <c r="D64" s="3445" t="str">
        <f t="shared" si="31"/>
        <v/>
      </c>
      <c r="E64" s="3445" t="str">
        <f t="shared" si="31"/>
        <v/>
      </c>
      <c r="F64" s="3445" t="str">
        <f t="shared" si="31"/>
        <v/>
      </c>
      <c r="G64" s="3445" t="str">
        <f t="shared" si="31"/>
        <v/>
      </c>
      <c r="H64" s="3445" t="str">
        <f t="shared" si="31"/>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5636.2860000000001</v>
      </c>
      <c r="L65" s="3352">
        <f>K61+K62+K64+L63</f>
        <v>5731.82</v>
      </c>
      <c r="M65" s="3353">
        <f>SUM(M61:M64)</f>
        <v>5523.3955999999998</v>
      </c>
    </row>
    <row r="66" spans="1:13" ht="14.25" hidden="1" outlineLevel="1">
      <c r="A66" s="3444" t="s">
        <v>3334</v>
      </c>
      <c r="B66" s="3445" t="str">
        <f t="shared" ref="B66:H66" si="32">IF(B63="","",VLOOKUP(B63,FSW,3,FALSE))</f>
        <v/>
      </c>
      <c r="C66" s="3445" t="str">
        <f t="shared" si="32"/>
        <v/>
      </c>
      <c r="D66" s="3445" t="str">
        <f t="shared" si="32"/>
        <v/>
      </c>
      <c r="E66" s="3445" t="str">
        <f t="shared" si="32"/>
        <v/>
      </c>
      <c r="F66" s="3445" t="str">
        <f t="shared" si="32"/>
        <v/>
      </c>
      <c r="G66" s="3445" t="str">
        <f t="shared" si="32"/>
        <v/>
      </c>
      <c r="H66" s="3445" t="str">
        <f t="shared" si="32"/>
        <v/>
      </c>
      <c r="I66" s="3352"/>
      <c r="J66" s="3352"/>
      <c r="K66" s="3352"/>
      <c r="L66" s="3352"/>
      <c r="M66" s="3353"/>
    </row>
    <row r="67" spans="1:13" ht="14.25" hidden="1" outlineLevel="1">
      <c r="A67" s="3444" t="s">
        <v>3333</v>
      </c>
      <c r="B67" s="3445" t="str">
        <f t="shared" ref="B67:H67" si="33">IF(B63="","",VLOOKUP(B63,FSW,4,FALSE))</f>
        <v/>
      </c>
      <c r="C67" s="3445" t="str">
        <f t="shared" si="33"/>
        <v/>
      </c>
      <c r="D67" s="3445" t="str">
        <f t="shared" si="33"/>
        <v/>
      </c>
      <c r="E67" s="3445" t="str">
        <f t="shared" si="33"/>
        <v/>
      </c>
      <c r="F67" s="3445" t="str">
        <f t="shared" si="33"/>
        <v/>
      </c>
      <c r="G67" s="3445" t="str">
        <f t="shared" si="33"/>
        <v/>
      </c>
      <c r="H67" s="3445" t="str">
        <f t="shared" si="33"/>
        <v/>
      </c>
      <c r="I67" s="3352"/>
      <c r="J67" s="3352"/>
      <c r="K67" s="3352"/>
      <c r="L67" s="3352"/>
      <c r="M67" s="3353"/>
    </row>
    <row r="68" spans="1:13" ht="15" hidden="1" outlineLevel="1" thickBot="1">
      <c r="A68" s="3461" t="s">
        <v>3351</v>
      </c>
      <c r="B68" s="3449">
        <f t="shared" ref="B68:H68" si="34">IF(B63=0,0,ROUND(B65*B67*B66/10*$H$1*$G$1,0))</f>
        <v>0</v>
      </c>
      <c r="C68" s="3449">
        <f t="shared" si="34"/>
        <v>0</v>
      </c>
      <c r="D68" s="3449">
        <f t="shared" si="34"/>
        <v>0</v>
      </c>
      <c r="E68" s="3449">
        <f t="shared" si="34"/>
        <v>0</v>
      </c>
      <c r="F68" s="3449">
        <f t="shared" si="34"/>
        <v>0</v>
      </c>
      <c r="G68" s="3449">
        <f t="shared" si="34"/>
        <v>0</v>
      </c>
      <c r="H68" s="3449">
        <f t="shared" si="34"/>
        <v>0</v>
      </c>
      <c r="I68" s="3352"/>
      <c r="J68" s="3352"/>
      <c r="K68" s="3352"/>
      <c r="L68" s="3352"/>
      <c r="M68" s="3353"/>
    </row>
    <row r="69" spans="1:13" ht="15" thickBot="1">
      <c r="A69" s="3355" t="s">
        <v>3390</v>
      </c>
      <c r="B69" s="3462">
        <f>SUM(B38:H38,B44:H44,B50:H50,B56:H56,B62:H62,B68:H68)</f>
        <v>1721894</v>
      </c>
      <c r="C69" s="3462">
        <f>B30+B69</f>
        <v>9774030</v>
      </c>
      <c r="D69" s="3463" t="s">
        <v>3391</v>
      </c>
      <c r="E69" s="3464">
        <f>ROUND(C69/B8,2)</f>
        <v>1134.69</v>
      </c>
      <c r="F69" s="3465"/>
      <c r="G69" s="3466"/>
      <c r="H69" s="3467"/>
      <c r="I69" s="3352">
        <f>B30+B69</f>
        <v>9774030</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251" t="s">
        <v>3392</v>
      </c>
      <c r="B72" s="4251"/>
      <c r="C72" s="4251"/>
      <c r="D72" s="4251"/>
      <c r="E72" s="4251"/>
      <c r="F72" s="4251"/>
      <c r="G72" s="4251"/>
      <c r="H72" s="3352"/>
      <c r="I72" s="3352"/>
      <c r="J72" s="3352"/>
      <c r="K72" s="3352"/>
      <c r="L72" s="3352"/>
      <c r="M72" s="3353"/>
    </row>
    <row r="73" spans="1:13" ht="10.5" customHeight="1">
      <c r="A73" s="4251"/>
      <c r="B73" s="4251"/>
      <c r="C73" s="4251"/>
      <c r="D73" s="4251"/>
      <c r="E73" s="4251"/>
      <c r="F73" s="4251"/>
      <c r="G73" s="4251"/>
      <c r="H73" s="3352"/>
      <c r="I73" s="3352"/>
      <c r="J73" s="3352"/>
      <c r="K73" s="3352"/>
      <c r="L73" s="3352"/>
      <c r="M73" s="3353"/>
    </row>
    <row r="74" spans="1:13" ht="24" customHeight="1">
      <c r="A74" s="4252" t="s">
        <v>3393</v>
      </c>
      <c r="B74" s="4252"/>
      <c r="C74" s="4252"/>
      <c r="D74" s="4252"/>
      <c r="E74" s="4252"/>
      <c r="F74" s="4252"/>
      <c r="G74" s="4252"/>
      <c r="H74" s="3352"/>
      <c r="I74" s="3352"/>
      <c r="J74" s="3352"/>
      <c r="K74" s="3352"/>
      <c r="L74" s="3352"/>
      <c r="M74" s="3353"/>
    </row>
    <row r="75" spans="1:13" ht="24" customHeight="1">
      <c r="A75" s="4253"/>
      <c r="B75" s="4253"/>
      <c r="C75" s="4253"/>
      <c r="D75" s="4253"/>
      <c r="E75" s="4253"/>
      <c r="F75" s="4253"/>
      <c r="G75" s="4253"/>
      <c r="H75" s="3352"/>
      <c r="I75" s="3352"/>
      <c r="J75" s="3352"/>
      <c r="K75" s="3352"/>
      <c r="L75" s="3352"/>
      <c r="M75" s="3353"/>
    </row>
    <row r="76" spans="1:13" ht="28.5" customHeight="1">
      <c r="A76" s="3472" t="s">
        <v>3102</v>
      </c>
      <c r="B76" s="4274" t="str">
        <f>I1</f>
        <v>怀盛</v>
      </c>
      <c r="C76" s="4274"/>
      <c r="D76" s="4274"/>
      <c r="E76" s="4274"/>
      <c r="F76" s="4274"/>
      <c r="G76" s="4274"/>
      <c r="H76" s="3352"/>
      <c r="I76" s="3352"/>
      <c r="J76" s="3352"/>
      <c r="K76" s="3352"/>
      <c r="L76" s="3352"/>
      <c r="M76" s="3353"/>
    </row>
    <row r="77" spans="1:13" ht="28.5" customHeight="1" thickBot="1">
      <c r="A77" s="3473" t="s">
        <v>3232</v>
      </c>
      <c r="B77" s="4275">
        <f>B2</f>
        <v>0</v>
      </c>
      <c r="C77" s="4275"/>
      <c r="D77" s="3474" t="s">
        <v>3227</v>
      </c>
      <c r="E77" s="4275" t="str">
        <f>B1</f>
        <v>轨枕厂</v>
      </c>
      <c r="F77" s="4275"/>
      <c r="G77" s="4275"/>
      <c r="H77" s="3352"/>
      <c r="I77" s="3352"/>
      <c r="J77" s="3352"/>
      <c r="K77" s="3352"/>
      <c r="L77" s="3352"/>
      <c r="M77" s="3353"/>
    </row>
    <row r="78" spans="1:13" ht="18" customHeight="1" thickTop="1">
      <c r="A78" s="4276" t="s">
        <v>3394</v>
      </c>
      <c r="B78" s="4276"/>
      <c r="C78" s="4276"/>
      <c r="D78" s="4276"/>
      <c r="E78" s="4276"/>
      <c r="F78" s="4276"/>
      <c r="G78" s="4276"/>
      <c r="H78" s="3352"/>
      <c r="I78" s="3352"/>
      <c r="J78" s="3352"/>
      <c r="K78" s="3352"/>
      <c r="L78" s="3352"/>
      <c r="M78" s="3353"/>
    </row>
    <row r="79" spans="1:13" ht="27" customHeight="1">
      <c r="A79" s="4266" t="s">
        <v>3395</v>
      </c>
      <c r="B79" s="4266"/>
      <c r="C79" s="3475"/>
      <c r="D79" s="4266" t="s">
        <v>3396</v>
      </c>
      <c r="E79" s="4266"/>
      <c r="F79" s="4277" t="e">
        <f>IF(#REF!=0,0,IF(#REF!="1982年之前",267,200))</f>
        <v>#REF!</v>
      </c>
      <c r="G79" s="4277"/>
      <c r="H79" s="3352"/>
      <c r="I79" s="3352"/>
      <c r="J79" s="3352"/>
      <c r="K79" s="3352"/>
      <c r="L79" s="3352"/>
      <c r="M79" s="3353"/>
    </row>
    <row r="80" spans="1:13" ht="27" customHeight="1">
      <c r="A80" s="4265" t="s">
        <v>3397</v>
      </c>
      <c r="B80" s="4266"/>
      <c r="C80" s="3476"/>
      <c r="D80" s="4267" t="s">
        <v>3398</v>
      </c>
      <c r="E80" s="4267"/>
      <c r="F80" s="4268" t="e">
        <f>IF(#REF!=0,0,IF(F79=267,IF(#REF!&lt;200,200*6000,IF(#REF!&lt;267,#REF!*6000,267*6000+(#REF!-267)*6000*0.5)),IF(#REF!&lt;200,200*6000,200*6000+(#REF!-200)*6000*0.3)))-#REF!</f>
        <v>#REF!</v>
      </c>
      <c r="G80" s="4268"/>
      <c r="H80" s="3352"/>
      <c r="I80" s="3352"/>
      <c r="J80" s="3352"/>
      <c r="K80" s="3352"/>
      <c r="L80" s="3352"/>
      <c r="M80" s="3353"/>
    </row>
    <row r="81" spans="1:7" ht="27" customHeight="1" thickBot="1">
      <c r="A81" s="4269" t="s">
        <v>3399</v>
      </c>
      <c r="B81" s="4269"/>
      <c r="C81" s="4270" t="e">
        <f>#REF!+F80</f>
        <v>#REF!</v>
      </c>
      <c r="D81" s="4270"/>
      <c r="E81" s="4270"/>
      <c r="F81" s="4270"/>
      <c r="G81" s="4270"/>
    </row>
    <row r="82" spans="1:7" ht="18" customHeight="1" thickTop="1">
      <c r="A82" s="4271" t="s">
        <v>3400</v>
      </c>
      <c r="B82" s="4272"/>
      <c r="C82" s="4272"/>
      <c r="D82" s="4272"/>
      <c r="E82" s="4272"/>
      <c r="F82" s="4272"/>
      <c r="G82" s="4273"/>
    </row>
    <row r="83" spans="1:7" ht="16.5" customHeight="1">
      <c r="A83" s="3477" t="s">
        <v>3401</v>
      </c>
      <c r="B83" s="3478" t="s">
        <v>3402</v>
      </c>
      <c r="C83" s="3478" t="s">
        <v>3403</v>
      </c>
      <c r="D83" s="3479" t="s">
        <v>3401</v>
      </c>
      <c r="E83" s="4282" t="s">
        <v>3402</v>
      </c>
      <c r="F83" s="4283"/>
      <c r="G83" s="3480" t="s">
        <v>3403</v>
      </c>
    </row>
    <row r="84" spans="1:7" ht="15" customHeight="1">
      <c r="A84" s="3481"/>
      <c r="B84" s="3482"/>
      <c r="C84" s="3483"/>
      <c r="D84" s="3484"/>
      <c r="E84" s="4278"/>
      <c r="F84" s="4279"/>
      <c r="G84" s="3485"/>
    </row>
    <row r="85" spans="1:7" ht="15" customHeight="1">
      <c r="A85" s="3481"/>
      <c r="B85" s="3482"/>
      <c r="C85" s="3483"/>
      <c r="D85" s="3486"/>
      <c r="E85" s="4278"/>
      <c r="F85" s="4279"/>
      <c r="G85" s="3485"/>
    </row>
    <row r="86" spans="1:7" ht="15" customHeight="1">
      <c r="A86" s="3481"/>
      <c r="B86" s="3482"/>
      <c r="C86" s="3487"/>
      <c r="D86" s="3486"/>
      <c r="E86" s="4278"/>
      <c r="F86" s="4279"/>
      <c r="G86" s="3485"/>
    </row>
    <row r="87" spans="1:7" ht="15" customHeight="1">
      <c r="A87" s="3481"/>
      <c r="B87" s="3482"/>
      <c r="C87" s="3487"/>
      <c r="D87" s="3486"/>
      <c r="E87" s="4278"/>
      <c r="F87" s="4279"/>
      <c r="G87" s="3485"/>
    </row>
    <row r="88" spans="1:7" ht="15" customHeight="1">
      <c r="A88" s="3481"/>
      <c r="B88" s="3482"/>
      <c r="C88" s="3487"/>
      <c r="D88" s="3486"/>
      <c r="E88" s="4278"/>
      <c r="F88" s="4279"/>
      <c r="G88" s="3485"/>
    </row>
    <row r="89" spans="1:7" ht="15" customHeight="1">
      <c r="A89" s="3488"/>
      <c r="B89" s="3482"/>
      <c r="C89" s="3487"/>
      <c r="D89" s="3486"/>
      <c r="E89" s="4278"/>
      <c r="F89" s="4279"/>
      <c r="G89" s="3485"/>
    </row>
    <row r="90" spans="1:7" ht="15" customHeight="1">
      <c r="A90" s="3488"/>
      <c r="B90" s="3482"/>
      <c r="C90" s="3487"/>
      <c r="D90" s="3486"/>
      <c r="E90" s="4278"/>
      <c r="F90" s="4279"/>
      <c r="G90" s="3485"/>
    </row>
    <row r="91" spans="1:7" ht="15" customHeight="1">
      <c r="A91" s="3488"/>
      <c r="B91" s="3482"/>
      <c r="C91" s="3487"/>
      <c r="D91" s="3486"/>
      <c r="E91" s="4278"/>
      <c r="F91" s="4279"/>
      <c r="G91" s="3485"/>
    </row>
    <row r="92" spans="1:7" ht="15" customHeight="1">
      <c r="A92" s="3488"/>
      <c r="B92" s="3482"/>
      <c r="C92" s="3487"/>
      <c r="D92" s="3486"/>
      <c r="E92" s="4278"/>
      <c r="F92" s="4279"/>
      <c r="G92" s="3485"/>
    </row>
    <row r="93" spans="1:7" ht="15" customHeight="1" collapsed="1">
      <c r="A93" s="3488"/>
      <c r="B93" s="3482"/>
      <c r="C93" s="3487"/>
      <c r="D93" s="3486"/>
      <c r="E93" s="4278"/>
      <c r="F93" s="4279"/>
      <c r="G93" s="3485"/>
    </row>
    <row r="94" spans="1:7" ht="14.25" hidden="1" customHeight="1" outlineLevel="1">
      <c r="A94" s="3489"/>
      <c r="B94" s="3490"/>
      <c r="C94" s="3487"/>
      <c r="D94" s="3489"/>
      <c r="E94" s="4280"/>
      <c r="F94" s="4281"/>
      <c r="G94" s="3485"/>
    </row>
    <row r="95" spans="1:7" ht="14.25" hidden="1" customHeight="1" outlineLevel="1">
      <c r="A95" s="3489"/>
      <c r="B95" s="3490"/>
      <c r="C95" s="3487"/>
      <c r="D95" s="3489"/>
      <c r="E95" s="4280"/>
      <c r="F95" s="4281"/>
      <c r="G95" s="3485"/>
    </row>
    <row r="96" spans="1:7" ht="14.25" hidden="1" customHeight="1" outlineLevel="1">
      <c r="A96" s="3489"/>
      <c r="B96" s="3490"/>
      <c r="C96" s="3487"/>
      <c r="D96" s="3489"/>
      <c r="E96" s="4280"/>
      <c r="F96" s="4281"/>
      <c r="G96" s="3485"/>
    </row>
    <row r="97" spans="1:7" ht="14.25" hidden="1" customHeight="1" outlineLevel="1">
      <c r="A97" s="3489"/>
      <c r="B97" s="3490"/>
      <c r="C97" s="3487"/>
      <c r="D97" s="3489"/>
      <c r="E97" s="4280"/>
      <c r="F97" s="4281"/>
      <c r="G97" s="3485"/>
    </row>
    <row r="98" spans="1:7" ht="14.25" hidden="1" customHeight="1" outlineLevel="1">
      <c r="A98" s="3489"/>
      <c r="B98" s="3490"/>
      <c r="C98" s="3487"/>
      <c r="D98" s="3489"/>
      <c r="E98" s="4280"/>
      <c r="F98" s="4281"/>
      <c r="G98" s="3485"/>
    </row>
    <row r="99" spans="1:7" ht="14.25" hidden="1" customHeight="1" outlineLevel="1">
      <c r="A99" s="3489"/>
      <c r="B99" s="3490"/>
      <c r="C99" s="3487"/>
      <c r="D99" s="3489"/>
      <c r="E99" s="4280"/>
      <c r="F99" s="4281"/>
      <c r="G99" s="3485"/>
    </row>
    <row r="100" spans="1:7" ht="14.25" hidden="1" customHeight="1" outlineLevel="1">
      <c r="A100" s="3489"/>
      <c r="B100" s="3490"/>
      <c r="C100" s="3487"/>
      <c r="D100" s="3489"/>
      <c r="E100" s="4280"/>
      <c r="F100" s="4281"/>
      <c r="G100" s="3485"/>
    </row>
    <row r="101" spans="1:7" ht="14.25" hidden="1" customHeight="1" outlineLevel="1">
      <c r="A101" s="3489"/>
      <c r="B101" s="3490"/>
      <c r="C101" s="3487"/>
      <c r="D101" s="3489"/>
      <c r="E101" s="4280"/>
      <c r="F101" s="4281"/>
      <c r="G101" s="3485"/>
    </row>
    <row r="102" spans="1:7" ht="14.25" hidden="1" customHeight="1" outlineLevel="1">
      <c r="A102" s="3489"/>
      <c r="B102" s="3491"/>
      <c r="C102" s="3487"/>
      <c r="D102" s="3489"/>
      <c r="E102" s="4284"/>
      <c r="F102" s="4285"/>
      <c r="G102" s="3485"/>
    </row>
    <row r="103" spans="1:7" ht="16.5" customHeight="1">
      <c r="A103" s="4286" t="s">
        <v>3404</v>
      </c>
      <c r="B103" s="4286"/>
      <c r="C103" s="3492"/>
      <c r="D103" s="4286" t="s">
        <v>3405</v>
      </c>
      <c r="E103" s="4286"/>
      <c r="F103" s="4287">
        <f>ROUND(SUM(C84:C93,G84:G93),0)</f>
        <v>0</v>
      </c>
      <c r="G103" s="4287"/>
    </row>
    <row r="104" spans="1:7" ht="18" customHeight="1">
      <c r="A104" s="4288" t="s">
        <v>3406</v>
      </c>
      <c r="B104" s="4289"/>
      <c r="C104" s="4289"/>
      <c r="D104" s="4289"/>
      <c r="E104" s="4289"/>
      <c r="F104" s="4289"/>
      <c r="G104" s="4290"/>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177290</v>
      </c>
      <c r="D123" s="3497" t="str">
        <f>D57</f>
        <v>32号建筑物房中房</v>
      </c>
      <c r="E123" s="3498">
        <f>D58</f>
        <v>0</v>
      </c>
      <c r="F123" s="3495">
        <f>D59</f>
        <v>0</v>
      </c>
      <c r="G123" s="3496">
        <f>D62</f>
        <v>30078</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286" t="s">
        <v>3410</v>
      </c>
      <c r="B130" s="4286"/>
      <c r="C130" s="4286"/>
      <c r="D130" s="4293">
        <f>ROUND(SUM(C106:C119,G106:G119),0)</f>
        <v>0</v>
      </c>
      <c r="E130" s="4293"/>
      <c r="F130" s="4293"/>
      <c r="G130" s="4293"/>
    </row>
    <row r="131" spans="1:7" ht="18" customHeight="1" thickBot="1">
      <c r="A131" s="4294" t="s">
        <v>3411</v>
      </c>
      <c r="B131" s="4294"/>
      <c r="C131" s="4294"/>
      <c r="D131" s="4295">
        <f>D130+F103</f>
        <v>0</v>
      </c>
      <c r="E131" s="4296"/>
      <c r="F131" s="4297"/>
      <c r="G131" s="3507" t="s">
        <v>3412</v>
      </c>
    </row>
    <row r="132" spans="1:7" ht="27" customHeight="1" thickTop="1">
      <c r="A132" s="3508" t="s">
        <v>3413</v>
      </c>
      <c r="B132" s="4298" t="e">
        <f>C81+F103+D130</f>
        <v>#REF!</v>
      </c>
      <c r="C132" s="4299"/>
      <c r="D132" s="3509" t="s">
        <v>3414</v>
      </c>
      <c r="E132" s="4300" t="e">
        <f>B132</f>
        <v>#REF!</v>
      </c>
      <c r="F132" s="4301"/>
      <c r="G132" s="4302"/>
    </row>
    <row r="135" spans="1:7">
      <c r="A135" s="4291" t="s">
        <v>3415</v>
      </c>
      <c r="B135" s="4291"/>
      <c r="C135" s="4291"/>
      <c r="D135" s="4291"/>
      <c r="E135" s="4291"/>
      <c r="F135" s="4291"/>
      <c r="G135" s="4291"/>
    </row>
    <row r="136" spans="1:7">
      <c r="A136" s="4291"/>
      <c r="B136" s="4291"/>
      <c r="C136" s="4291"/>
      <c r="D136" s="4291"/>
      <c r="E136" s="4291"/>
      <c r="F136" s="4291"/>
      <c r="G136" s="4291"/>
    </row>
    <row r="137" spans="1:7" ht="24" customHeight="1">
      <c r="A137" s="4252" t="s">
        <v>3416</v>
      </c>
      <c r="B137" s="4252"/>
      <c r="C137" s="4252"/>
      <c r="D137" s="4252"/>
      <c r="E137" s="4252"/>
      <c r="F137" s="4252"/>
      <c r="G137" s="4252"/>
    </row>
    <row r="138" spans="1:7" ht="24" customHeight="1">
      <c r="A138" s="4253"/>
      <c r="B138" s="4253"/>
      <c r="C138" s="4253"/>
      <c r="D138" s="4253"/>
      <c r="E138" s="4253"/>
      <c r="F138" s="4253"/>
      <c r="G138" s="4253"/>
    </row>
    <row r="139" spans="1:7" ht="28.5" customHeight="1">
      <c r="A139" s="3472" t="s">
        <v>3102</v>
      </c>
      <c r="B139" s="4274" t="str">
        <f>I1</f>
        <v>怀盛</v>
      </c>
      <c r="C139" s="4274"/>
      <c r="D139" s="4274"/>
      <c r="E139" s="4274"/>
      <c r="F139" s="4274"/>
      <c r="G139" s="4274"/>
    </row>
    <row r="140" spans="1:7" ht="28.5" customHeight="1" thickBot="1">
      <c r="A140" s="3510" t="s">
        <v>3232</v>
      </c>
      <c r="B140" s="4292">
        <f>B2</f>
        <v>0</v>
      </c>
      <c r="C140" s="4292"/>
      <c r="D140" s="3472" t="s">
        <v>3227</v>
      </c>
      <c r="E140" s="4292" t="str">
        <f>B1</f>
        <v>轨枕厂</v>
      </c>
      <c r="F140" s="4292"/>
      <c r="G140" s="4292"/>
    </row>
    <row r="141" spans="1:7" ht="18" customHeight="1" thickTop="1">
      <c r="A141" s="4276" t="s">
        <v>3417</v>
      </c>
      <c r="B141" s="4276"/>
      <c r="C141" s="4276"/>
      <c r="D141" s="4276"/>
      <c r="E141" s="4276"/>
      <c r="F141" s="4276"/>
      <c r="G141" s="4276"/>
    </row>
    <row r="142" spans="1:7" ht="27" customHeight="1">
      <c r="A142" s="4266" t="s">
        <v>3395</v>
      </c>
      <c r="B142" s="4266"/>
      <c r="C142" s="3511"/>
      <c r="D142" s="4312" t="s">
        <v>3396</v>
      </c>
      <c r="E142" s="4312"/>
      <c r="F142" s="4313" t="e">
        <f>IF(#REF!=0,0,IF(#REF!="1982年之前",267,200))</f>
        <v>#REF!</v>
      </c>
      <c r="G142" s="4313"/>
    </row>
    <row r="143" spans="1:7" ht="27" customHeight="1">
      <c r="A143" s="4265" t="s">
        <v>3418</v>
      </c>
      <c r="B143" s="4266"/>
      <c r="C143" s="3476"/>
      <c r="D143" s="4267" t="s">
        <v>3419</v>
      </c>
      <c r="E143" s="4267"/>
      <c r="F143" s="4268" t="e">
        <f>IF(#REF!=0,0,IF(F142=267,IF(#REF!&lt;200,200*20926,IF(#REF!&lt;267,#REF!*20926,267*20926+(#REF!-267)*20926*0.5)),IF(#REF!&lt;200,200*20926,200*20926+(#REF!-200)*20926*0.3)))-#REF!</f>
        <v>#REF!</v>
      </c>
      <c r="G143" s="4268"/>
    </row>
    <row r="144" spans="1:7" ht="27" customHeight="1" thickBot="1">
      <c r="A144" s="4303" t="s">
        <v>3420</v>
      </c>
      <c r="B144" s="4303"/>
      <c r="C144" s="4304" t="e">
        <f>#REF!+F143</f>
        <v>#REF!</v>
      </c>
      <c r="D144" s="4304"/>
      <c r="E144" s="4304"/>
      <c r="F144" s="4304"/>
      <c r="G144" s="4304"/>
    </row>
    <row r="145" spans="1:7" ht="19.5" customHeight="1" thickTop="1">
      <c r="A145" s="4305" t="s">
        <v>3421</v>
      </c>
      <c r="B145" s="4306"/>
      <c r="C145" s="4306"/>
      <c r="D145" s="4306"/>
      <c r="E145" s="4306"/>
      <c r="F145" s="4306"/>
      <c r="G145" s="4307"/>
    </row>
    <row r="146" spans="1:7" ht="16.5" customHeight="1">
      <c r="A146" s="3477" t="s">
        <v>3401</v>
      </c>
      <c r="B146" s="3478" t="s">
        <v>3402</v>
      </c>
      <c r="C146" s="3478" t="s">
        <v>3403</v>
      </c>
      <c r="D146" s="3479" t="s">
        <v>3401</v>
      </c>
      <c r="E146" s="4282" t="s">
        <v>3402</v>
      </c>
      <c r="F146" s="4283"/>
      <c r="G146" s="3480" t="s">
        <v>3403</v>
      </c>
    </row>
    <row r="147" spans="1:7" ht="15" customHeight="1">
      <c r="A147" s="3481" t="e">
        <f>#REF!</f>
        <v>#REF!</v>
      </c>
      <c r="B147" s="3512" t="e">
        <f>#REF!</f>
        <v>#REF!</v>
      </c>
      <c r="C147" s="3481" t="e">
        <f>#REF!</f>
        <v>#REF!</v>
      </c>
      <c r="D147" s="3484" t="str">
        <f>$C$3</f>
        <v>建筑物1</v>
      </c>
      <c r="E147" s="4308">
        <f>$C$8</f>
        <v>335.66</v>
      </c>
      <c r="F147" s="4309"/>
      <c r="G147" s="3484">
        <f>$C$30</f>
        <v>267508</v>
      </c>
    </row>
    <row r="148" spans="1:7" ht="15" customHeight="1">
      <c r="A148" s="3481" t="str">
        <f>$D$3</f>
        <v>建筑物2</v>
      </c>
      <c r="B148" s="3512">
        <f>$D$8</f>
        <v>72.36</v>
      </c>
      <c r="C148" s="3481">
        <f>$D$30</f>
        <v>56630</v>
      </c>
      <c r="D148" s="3486" t="str">
        <f>$E$3</f>
        <v>建筑物3</v>
      </c>
      <c r="E148" s="4310">
        <f>$E$8</f>
        <v>2688.82</v>
      </c>
      <c r="F148" s="4311"/>
      <c r="G148" s="3486">
        <f>$E$30</f>
        <v>3402523</v>
      </c>
    </row>
    <row r="149" spans="1:7" ht="15" customHeight="1">
      <c r="A149" s="3481" t="str">
        <f>$F$3</f>
        <v>建筑物4</v>
      </c>
      <c r="B149" s="3512">
        <f>$F$8</f>
        <v>39.07</v>
      </c>
      <c r="C149" s="3481">
        <f>$F$30</f>
        <v>46239</v>
      </c>
      <c r="D149" s="3486" t="str">
        <f>$G$3</f>
        <v>建筑物5</v>
      </c>
      <c r="E149" s="4310">
        <f>$G$8</f>
        <v>74.41</v>
      </c>
      <c r="F149" s="4311"/>
      <c r="G149" s="3486">
        <f>$G$30</f>
        <v>49316</v>
      </c>
    </row>
    <row r="150" spans="1:7" ht="15" customHeight="1">
      <c r="A150" s="3481" t="str">
        <f>$H$3</f>
        <v>建筑物6</v>
      </c>
      <c r="B150" s="3512">
        <f>$H$8</f>
        <v>43.63</v>
      </c>
      <c r="C150" s="3481">
        <f>$H$30</f>
        <v>20833</v>
      </c>
      <c r="D150" s="3486" t="str">
        <f>$I$3</f>
        <v>建筑物7</v>
      </c>
      <c r="E150" s="4310">
        <f>$I$8</f>
        <v>134.66999999999999</v>
      </c>
      <c r="F150" s="4311"/>
      <c r="G150" s="3486">
        <f>$I$30</f>
        <v>100624</v>
      </c>
    </row>
    <row r="151" spans="1:7" ht="15" customHeight="1">
      <c r="A151" s="3481" t="str">
        <f>$J$3</f>
        <v>建筑物8</v>
      </c>
      <c r="B151" s="3512">
        <f>$J$8</f>
        <v>25.34</v>
      </c>
      <c r="C151" s="3481">
        <f>$J$30</f>
        <v>8725</v>
      </c>
      <c r="D151" s="3486" t="str">
        <f>$K$3</f>
        <v>建筑物9</v>
      </c>
      <c r="E151" s="4310">
        <f>$K$8</f>
        <v>45.63</v>
      </c>
      <c r="F151" s="4311"/>
      <c r="G151" s="3486">
        <f>$K$30</f>
        <v>46776</v>
      </c>
    </row>
    <row r="152" spans="1:7" ht="15" customHeight="1">
      <c r="A152" s="3488" t="str">
        <f>$L$3</f>
        <v>建筑物10</v>
      </c>
      <c r="B152" s="3513">
        <f>$L$8</f>
        <v>30.3</v>
      </c>
      <c r="C152" s="3488">
        <f>$L$30</f>
        <v>21297</v>
      </c>
      <c r="D152" s="3486" t="e">
        <f>#REF!</f>
        <v>#REF!</v>
      </c>
      <c r="E152" s="4310" t="e">
        <f>#REF!</f>
        <v>#REF!</v>
      </c>
      <c r="F152" s="4311"/>
      <c r="G152" s="3486" t="e">
        <f>#REF!</f>
        <v>#REF!</v>
      </c>
    </row>
    <row r="153" spans="1:7" ht="15" customHeight="1">
      <c r="A153" s="3488" t="e">
        <f>#REF!</f>
        <v>#REF!</v>
      </c>
      <c r="B153" s="3513" t="e">
        <f>#REF!</f>
        <v>#REF!</v>
      </c>
      <c r="C153" s="3488" t="e">
        <f>#REF!</f>
        <v>#REF!</v>
      </c>
      <c r="D153" s="3486" t="e">
        <f>#REF!</f>
        <v>#REF!</v>
      </c>
      <c r="E153" s="4310" t="e">
        <f>#REF!</f>
        <v>#REF!</v>
      </c>
      <c r="F153" s="4311"/>
      <c r="G153" s="3486" t="e">
        <f>#REF!</f>
        <v>#REF!</v>
      </c>
    </row>
    <row r="154" spans="1:7" ht="15" customHeight="1">
      <c r="A154" s="3488" t="e">
        <f>#REF!</f>
        <v>#REF!</v>
      </c>
      <c r="B154" s="3513" t="e">
        <f>#REF!</f>
        <v>#REF!</v>
      </c>
      <c r="C154" s="3488" t="e">
        <f>#REF!</f>
        <v>#REF!</v>
      </c>
      <c r="D154" s="3486" t="e">
        <f>#REF!</f>
        <v>#REF!</v>
      </c>
      <c r="E154" s="4310" t="e">
        <f>#REF!</f>
        <v>#REF!</v>
      </c>
      <c r="F154" s="4311"/>
      <c r="G154" s="3486" t="e">
        <f>#REF!</f>
        <v>#REF!</v>
      </c>
    </row>
    <row r="155" spans="1:7" ht="15" customHeight="1">
      <c r="A155" s="3488" t="e">
        <f>#REF!</f>
        <v>#REF!</v>
      </c>
      <c r="B155" s="3513" t="e">
        <f>#REF!</f>
        <v>#REF!</v>
      </c>
      <c r="C155" s="3488" t="e">
        <f>#REF!</f>
        <v>#REF!</v>
      </c>
      <c r="D155" s="3486" t="e">
        <f>#REF!</f>
        <v>#REF!</v>
      </c>
      <c r="E155" s="4310" t="e">
        <f>#REF!</f>
        <v>#REF!</v>
      </c>
      <c r="F155" s="4311"/>
      <c r="G155" s="3486" t="e">
        <f>#REF!</f>
        <v>#REF!</v>
      </c>
    </row>
    <row r="156" spans="1:7" ht="15" customHeight="1" collapsed="1">
      <c r="A156" s="3488" t="e">
        <f>#REF!</f>
        <v>#REF!</v>
      </c>
      <c r="B156" s="3513" t="e">
        <f>#REF!</f>
        <v>#REF!</v>
      </c>
      <c r="C156" s="3488" t="e">
        <f>#REF!</f>
        <v>#REF!</v>
      </c>
      <c r="D156" s="3486" t="e">
        <f>#REF!</f>
        <v>#REF!</v>
      </c>
      <c r="E156" s="4310" t="e">
        <f>#REF!</f>
        <v>#REF!</v>
      </c>
      <c r="F156" s="4311"/>
      <c r="G156" s="3486" t="e">
        <f>#REF!</f>
        <v>#REF!</v>
      </c>
    </row>
    <row r="157" spans="1:7" ht="14.25" hidden="1" customHeight="1" outlineLevel="1">
      <c r="A157" s="3489"/>
      <c r="B157" s="3490"/>
      <c r="C157" s="3487"/>
      <c r="D157" s="3489"/>
      <c r="E157" s="4280"/>
      <c r="F157" s="4281"/>
      <c r="G157" s="3485"/>
    </row>
    <row r="158" spans="1:7" ht="14.25" hidden="1" customHeight="1" outlineLevel="1">
      <c r="A158" s="3489"/>
      <c r="B158" s="3490"/>
      <c r="C158" s="3487"/>
      <c r="D158" s="3489"/>
      <c r="E158" s="4280"/>
      <c r="F158" s="4281"/>
      <c r="G158" s="3485"/>
    </row>
    <row r="159" spans="1:7" ht="14.25" hidden="1" customHeight="1" outlineLevel="1">
      <c r="A159" s="3489"/>
      <c r="B159" s="3490"/>
      <c r="C159" s="3487"/>
      <c r="D159" s="3489"/>
      <c r="E159" s="4280"/>
      <c r="F159" s="4281"/>
      <c r="G159" s="3485"/>
    </row>
    <row r="160" spans="1:7" ht="14.25" hidden="1" customHeight="1" outlineLevel="1">
      <c r="A160" s="3489"/>
      <c r="B160" s="3490"/>
      <c r="C160" s="3487"/>
      <c r="D160" s="3489"/>
      <c r="E160" s="4280"/>
      <c r="F160" s="4281"/>
      <c r="G160" s="3485"/>
    </row>
    <row r="161" spans="1:7" ht="14.25" hidden="1" customHeight="1" outlineLevel="1">
      <c r="A161" s="3489"/>
      <c r="B161" s="3490"/>
      <c r="C161" s="3487"/>
      <c r="D161" s="3489"/>
      <c r="E161" s="4280"/>
      <c r="F161" s="4281"/>
      <c r="G161" s="3485"/>
    </row>
    <row r="162" spans="1:7" ht="14.25" hidden="1" customHeight="1" outlineLevel="1">
      <c r="A162" s="3489"/>
      <c r="B162" s="3490"/>
      <c r="C162" s="3487"/>
      <c r="D162" s="3489"/>
      <c r="E162" s="4280"/>
      <c r="F162" s="4281"/>
      <c r="G162" s="3485"/>
    </row>
    <row r="163" spans="1:7" ht="14.25" hidden="1" customHeight="1" outlineLevel="1">
      <c r="A163" s="3489"/>
      <c r="B163" s="3490"/>
      <c r="C163" s="3487"/>
      <c r="D163" s="3489"/>
      <c r="E163" s="4280"/>
      <c r="F163" s="4281"/>
      <c r="G163" s="3485"/>
    </row>
    <row r="164" spans="1:7" ht="14.25" hidden="1" customHeight="1" outlineLevel="1">
      <c r="A164" s="3489"/>
      <c r="B164" s="3490"/>
      <c r="C164" s="3487"/>
      <c r="D164" s="3489"/>
      <c r="E164" s="4280"/>
      <c r="F164" s="4281"/>
      <c r="G164" s="3485"/>
    </row>
    <row r="165" spans="1:7" ht="14.25" hidden="1" customHeight="1" outlineLevel="1">
      <c r="A165" s="3489"/>
      <c r="B165" s="3490"/>
      <c r="C165" s="3487"/>
      <c r="D165" s="3489"/>
      <c r="E165" s="4280"/>
      <c r="F165" s="4281"/>
      <c r="G165" s="3485"/>
    </row>
    <row r="166" spans="1:7" ht="14.25" hidden="1" customHeight="1" outlineLevel="1">
      <c r="A166" s="3489"/>
      <c r="B166" s="3491"/>
      <c r="C166" s="3487"/>
      <c r="D166" s="3489"/>
      <c r="E166" s="4284"/>
      <c r="F166" s="4285"/>
      <c r="G166" s="3485"/>
    </row>
    <row r="167" spans="1:7" ht="16.5" customHeight="1">
      <c r="A167" s="4286" t="s">
        <v>3404</v>
      </c>
      <c r="B167" s="4286"/>
      <c r="C167" s="3492"/>
      <c r="D167" s="4286" t="s">
        <v>3405</v>
      </c>
      <c r="E167" s="4286"/>
      <c r="F167" s="4314" t="e">
        <f>ROUND(SUM(C147:C156,G147:G156),0)</f>
        <v>#REF!</v>
      </c>
      <c r="G167" s="4314"/>
    </row>
    <row r="168" spans="1:7" ht="18" customHeight="1">
      <c r="A168" s="4288" t="s">
        <v>3406</v>
      </c>
      <c r="B168" s="4289"/>
      <c r="C168" s="4289"/>
      <c r="D168" s="4289"/>
      <c r="E168" s="4289"/>
      <c r="F168" s="4289"/>
      <c r="G168" s="4290"/>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286" t="s">
        <v>3410</v>
      </c>
      <c r="B194" s="4286"/>
      <c r="C194" s="4286"/>
      <c r="D194" s="4287" t="e">
        <f>ROUND(SUM(C170:C183,G170:G183),0)</f>
        <v>#REF!</v>
      </c>
      <c r="E194" s="4287"/>
      <c r="F194" s="4287"/>
      <c r="G194" s="4287"/>
    </row>
    <row r="195" spans="1:7" ht="18" customHeight="1" thickBot="1">
      <c r="A195" s="4315" t="s">
        <v>3411</v>
      </c>
      <c r="B195" s="4315"/>
      <c r="C195" s="4315"/>
      <c r="D195" s="4316" t="e">
        <f>D194+F167</f>
        <v>#REF!</v>
      </c>
      <c r="E195" s="4315"/>
      <c r="F195" s="4315"/>
      <c r="G195" s="4315"/>
    </row>
    <row r="196" spans="1:7" ht="27" customHeight="1" thickTop="1">
      <c r="A196" s="3538" t="s">
        <v>3413</v>
      </c>
      <c r="B196" s="4317" t="e">
        <f>D195+C144</f>
        <v>#REF!</v>
      </c>
      <c r="C196" s="4318"/>
      <c r="D196" s="3539" t="s">
        <v>3414</v>
      </c>
      <c r="E196" s="4319" t="e">
        <f>B196</f>
        <v>#REF!</v>
      </c>
      <c r="F196" s="4319"/>
      <c r="G196" s="4319"/>
    </row>
    <row r="198" spans="1:7">
      <c r="A198" s="4320" t="s">
        <v>3422</v>
      </c>
      <c r="B198" s="4320"/>
      <c r="C198" s="4320"/>
      <c r="D198" s="4320"/>
      <c r="E198" s="4320"/>
      <c r="F198" s="4320"/>
      <c r="G198" s="4320"/>
    </row>
    <row r="199" spans="1:7">
      <c r="A199" s="4320"/>
      <c r="B199" s="4320"/>
      <c r="C199" s="4320"/>
      <c r="D199" s="4320"/>
      <c r="E199" s="4320"/>
      <c r="F199" s="4320"/>
      <c r="G199" s="4320"/>
    </row>
    <row r="200" spans="1:7" ht="24" customHeight="1">
      <c r="A200" s="4252" t="s">
        <v>3423</v>
      </c>
      <c r="B200" s="4252"/>
      <c r="C200" s="4252"/>
      <c r="D200" s="4252"/>
      <c r="E200" s="4252"/>
      <c r="F200" s="4252"/>
      <c r="G200" s="4252"/>
    </row>
    <row r="201" spans="1:7" ht="24" customHeight="1">
      <c r="A201" s="4253"/>
      <c r="B201" s="4253"/>
      <c r="C201" s="4253"/>
      <c r="D201" s="4253"/>
      <c r="E201" s="4253"/>
      <c r="F201" s="4253"/>
      <c r="G201" s="4253"/>
    </row>
    <row r="202" spans="1:7" ht="28.5" customHeight="1">
      <c r="A202" s="3472" t="s">
        <v>3102</v>
      </c>
      <c r="B202" s="4274" t="str">
        <f>I1</f>
        <v>怀盛</v>
      </c>
      <c r="C202" s="4274"/>
      <c r="D202" s="4274"/>
      <c r="E202" s="4274"/>
      <c r="F202" s="4274"/>
      <c r="G202" s="4274"/>
    </row>
    <row r="203" spans="1:7" ht="28.5" customHeight="1">
      <c r="A203" s="3510" t="s">
        <v>3232</v>
      </c>
      <c r="B203" s="4292">
        <f>B2</f>
        <v>0</v>
      </c>
      <c r="C203" s="4292"/>
      <c r="D203" s="3472" t="s">
        <v>3227</v>
      </c>
      <c r="E203" s="4292" t="str">
        <f>B1</f>
        <v>轨枕厂</v>
      </c>
      <c r="F203" s="4292"/>
      <c r="G203" s="4292"/>
    </row>
    <row r="204" spans="1:7" ht="18" customHeight="1">
      <c r="A204" s="4288" t="s">
        <v>3424</v>
      </c>
      <c r="B204" s="4289"/>
      <c r="C204" s="4289"/>
      <c r="D204" s="4289"/>
      <c r="E204" s="4289"/>
      <c r="F204" s="4289"/>
      <c r="G204" s="4290"/>
    </row>
    <row r="205" spans="1:7" ht="16.5" customHeight="1">
      <c r="A205" s="3477" t="s">
        <v>3401</v>
      </c>
      <c r="B205" s="3478" t="s">
        <v>2915</v>
      </c>
      <c r="C205" s="3478" t="s">
        <v>3403</v>
      </c>
      <c r="D205" s="3479" t="s">
        <v>3401</v>
      </c>
      <c r="E205" s="4282" t="s">
        <v>2915</v>
      </c>
      <c r="F205" s="4283"/>
      <c r="G205" s="3480" t="s">
        <v>3403</v>
      </c>
    </row>
    <row r="206" spans="1:7" ht="15" customHeight="1">
      <c r="A206" s="3481" t="e">
        <f>#REF!</f>
        <v>#REF!</v>
      </c>
      <c r="B206" s="3540" t="e">
        <f>#REF!</f>
        <v>#REF!</v>
      </c>
      <c r="C206" s="3481" t="e">
        <f>#REF!</f>
        <v>#REF!</v>
      </c>
      <c r="D206" s="3484" t="str">
        <f>$C$3</f>
        <v>建筑物1</v>
      </c>
      <c r="E206" s="4323">
        <f>$C$8</f>
        <v>335.66</v>
      </c>
      <c r="F206" s="4324"/>
      <c r="G206" s="3484">
        <f>$C$30</f>
        <v>267508</v>
      </c>
    </row>
    <row r="207" spans="1:7" ht="15" customHeight="1">
      <c r="A207" s="3481" t="str">
        <f>$D$3</f>
        <v>建筑物2</v>
      </c>
      <c r="B207" s="3540">
        <f>$D$8</f>
        <v>72.36</v>
      </c>
      <c r="C207" s="3481">
        <f>$D$30</f>
        <v>56630</v>
      </c>
      <c r="D207" s="3486" t="str">
        <f>$E$3</f>
        <v>建筑物3</v>
      </c>
      <c r="E207" s="4321">
        <f>$E$8</f>
        <v>2688.82</v>
      </c>
      <c r="F207" s="4322"/>
      <c r="G207" s="3486">
        <f>$E$30</f>
        <v>3402523</v>
      </c>
    </row>
    <row r="208" spans="1:7" ht="15" customHeight="1">
      <c r="A208" s="3481" t="str">
        <f>$F$3</f>
        <v>建筑物4</v>
      </c>
      <c r="B208" s="3540">
        <f>$F$8</f>
        <v>39.07</v>
      </c>
      <c r="C208" s="3481">
        <f>$F$30</f>
        <v>46239</v>
      </c>
      <c r="D208" s="3486" t="str">
        <f>$G$3</f>
        <v>建筑物5</v>
      </c>
      <c r="E208" s="4321">
        <f>$G$8</f>
        <v>74.41</v>
      </c>
      <c r="F208" s="4322"/>
      <c r="G208" s="3486">
        <f>$G$30</f>
        <v>49316</v>
      </c>
    </row>
    <row r="209" spans="1:7" ht="15" customHeight="1">
      <c r="A209" s="3481" t="str">
        <f>$H$3</f>
        <v>建筑物6</v>
      </c>
      <c r="B209" s="3540">
        <f>$H$8</f>
        <v>43.63</v>
      </c>
      <c r="C209" s="3481">
        <f>$H$30</f>
        <v>20833</v>
      </c>
      <c r="D209" s="3486" t="str">
        <f>$I$3</f>
        <v>建筑物7</v>
      </c>
      <c r="E209" s="4321">
        <f>$I$8</f>
        <v>134.66999999999999</v>
      </c>
      <c r="F209" s="4322"/>
      <c r="G209" s="3486">
        <f>$I$30</f>
        <v>100624</v>
      </c>
    </row>
    <row r="210" spans="1:7" ht="15" customHeight="1">
      <c r="A210" s="3481" t="str">
        <f>$J$3</f>
        <v>建筑物8</v>
      </c>
      <c r="B210" s="3540">
        <f>$J$8</f>
        <v>25.34</v>
      </c>
      <c r="C210" s="3481">
        <f>$J$30</f>
        <v>8725</v>
      </c>
      <c r="D210" s="3486" t="str">
        <f>$K$3</f>
        <v>建筑物9</v>
      </c>
      <c r="E210" s="4321">
        <f>$K$8</f>
        <v>45.63</v>
      </c>
      <c r="F210" s="4322"/>
      <c r="G210" s="3486">
        <f>$K$30</f>
        <v>46776</v>
      </c>
    </row>
    <row r="211" spans="1:7" ht="15" customHeight="1">
      <c r="A211" s="3488" t="str">
        <f>$L$3</f>
        <v>建筑物10</v>
      </c>
      <c r="B211" s="3541">
        <f>$L$8</f>
        <v>30.3</v>
      </c>
      <c r="C211" s="3488">
        <f>$L$30</f>
        <v>21297</v>
      </c>
      <c r="D211" s="3486" t="e">
        <f>#REF!</f>
        <v>#REF!</v>
      </c>
      <c r="E211" s="4321" t="e">
        <f>#REF!</f>
        <v>#REF!</v>
      </c>
      <c r="F211" s="4322"/>
      <c r="G211" s="3486" t="e">
        <f>#REF!</f>
        <v>#REF!</v>
      </c>
    </row>
    <row r="212" spans="1:7" ht="15" customHeight="1">
      <c r="A212" s="3488" t="e">
        <f>#REF!</f>
        <v>#REF!</v>
      </c>
      <c r="B212" s="3541" t="e">
        <f>#REF!</f>
        <v>#REF!</v>
      </c>
      <c r="C212" s="3488" t="e">
        <f>#REF!</f>
        <v>#REF!</v>
      </c>
      <c r="D212" s="3486" t="e">
        <f>#REF!</f>
        <v>#REF!</v>
      </c>
      <c r="E212" s="4321" t="e">
        <f>#REF!</f>
        <v>#REF!</v>
      </c>
      <c r="F212" s="4322"/>
      <c r="G212" s="3486" t="e">
        <f>#REF!</f>
        <v>#REF!</v>
      </c>
    </row>
    <row r="213" spans="1:7" ht="15" customHeight="1">
      <c r="A213" s="3488" t="e">
        <f>#REF!</f>
        <v>#REF!</v>
      </c>
      <c r="B213" s="3541" t="e">
        <f>#REF!</f>
        <v>#REF!</v>
      </c>
      <c r="C213" s="3488" t="e">
        <f>#REF!</f>
        <v>#REF!</v>
      </c>
      <c r="D213" s="3486" t="e">
        <f>#REF!</f>
        <v>#REF!</v>
      </c>
      <c r="E213" s="4321" t="e">
        <f>#REF!</f>
        <v>#REF!</v>
      </c>
      <c r="F213" s="4322"/>
      <c r="G213" s="3486" t="e">
        <f>#REF!</f>
        <v>#REF!</v>
      </c>
    </row>
    <row r="214" spans="1:7" ht="15" customHeight="1">
      <c r="A214" s="3488" t="e">
        <f>#REF!</f>
        <v>#REF!</v>
      </c>
      <c r="B214" s="3541" t="e">
        <f>#REF!</f>
        <v>#REF!</v>
      </c>
      <c r="C214" s="3488" t="e">
        <f>#REF!</f>
        <v>#REF!</v>
      </c>
      <c r="D214" s="3486" t="e">
        <f>#REF!</f>
        <v>#REF!</v>
      </c>
      <c r="E214" s="4321" t="e">
        <f>#REF!</f>
        <v>#REF!</v>
      </c>
      <c r="F214" s="4322"/>
      <c r="G214" s="3486" t="e">
        <f>#REF!</f>
        <v>#REF!</v>
      </c>
    </row>
    <row r="215" spans="1:7" ht="15" customHeight="1" collapsed="1">
      <c r="A215" s="3488" t="e">
        <f>#REF!</f>
        <v>#REF!</v>
      </c>
      <c r="B215" s="3541" t="e">
        <f>#REF!</f>
        <v>#REF!</v>
      </c>
      <c r="C215" s="3488" t="e">
        <f>#REF!</f>
        <v>#REF!</v>
      </c>
      <c r="D215" s="3486" t="e">
        <f>#REF!</f>
        <v>#REF!</v>
      </c>
      <c r="E215" s="4321" t="e">
        <f>#REF!</f>
        <v>#REF!</v>
      </c>
      <c r="F215" s="4322"/>
      <c r="G215" s="3486" t="e">
        <f>#REF!</f>
        <v>#REF!</v>
      </c>
    </row>
    <row r="216" spans="1:7" ht="14.25" hidden="1" customHeight="1" outlineLevel="1">
      <c r="A216" s="3489"/>
      <c r="B216" s="3490"/>
      <c r="C216" s="3487"/>
      <c r="D216" s="3489"/>
      <c r="E216" s="4280"/>
      <c r="F216" s="4281"/>
      <c r="G216" s="3485"/>
    </row>
    <row r="217" spans="1:7" ht="14.25" hidden="1" customHeight="1" outlineLevel="1">
      <c r="A217" s="3489"/>
      <c r="B217" s="3490"/>
      <c r="C217" s="3487"/>
      <c r="D217" s="3489"/>
      <c r="E217" s="4280"/>
      <c r="F217" s="4281"/>
      <c r="G217" s="3485"/>
    </row>
    <row r="218" spans="1:7" ht="14.25" hidden="1" customHeight="1" outlineLevel="1">
      <c r="A218" s="3489"/>
      <c r="B218" s="3490"/>
      <c r="C218" s="3487"/>
      <c r="D218" s="3489"/>
      <c r="E218" s="4280"/>
      <c r="F218" s="4281"/>
      <c r="G218" s="3485"/>
    </row>
    <row r="219" spans="1:7" ht="14.25" hidden="1" customHeight="1" outlineLevel="1">
      <c r="A219" s="3489"/>
      <c r="B219" s="3490"/>
      <c r="C219" s="3487"/>
      <c r="D219" s="3489"/>
      <c r="E219" s="4280"/>
      <c r="F219" s="4281"/>
      <c r="G219" s="3485"/>
    </row>
    <row r="220" spans="1:7" ht="14.25" hidden="1" customHeight="1" outlineLevel="1">
      <c r="A220" s="3489"/>
      <c r="B220" s="3490"/>
      <c r="C220" s="3487"/>
      <c r="D220" s="3489"/>
      <c r="E220" s="4280"/>
      <c r="F220" s="4281"/>
      <c r="G220" s="3485"/>
    </row>
    <row r="221" spans="1:7" ht="14.25" hidden="1" customHeight="1" outlineLevel="1">
      <c r="A221" s="3489"/>
      <c r="B221" s="3490"/>
      <c r="C221" s="3487"/>
      <c r="D221" s="3489"/>
      <c r="E221" s="4280"/>
      <c r="F221" s="4281"/>
      <c r="G221" s="3485"/>
    </row>
    <row r="222" spans="1:7" ht="14.25" hidden="1" customHeight="1" outlineLevel="1">
      <c r="A222" s="3489"/>
      <c r="B222" s="3490"/>
      <c r="C222" s="3487"/>
      <c r="D222" s="3489"/>
      <c r="E222" s="4280"/>
      <c r="F222" s="4281"/>
      <c r="G222" s="3485"/>
    </row>
    <row r="223" spans="1:7" ht="14.25" hidden="1" customHeight="1" outlineLevel="1">
      <c r="A223" s="3489"/>
      <c r="B223" s="3490"/>
      <c r="C223" s="3487"/>
      <c r="D223" s="3489"/>
      <c r="E223" s="4280"/>
      <c r="F223" s="4281"/>
      <c r="G223" s="3485"/>
    </row>
    <row r="224" spans="1:7" ht="14.25" hidden="1" customHeight="1" outlineLevel="1">
      <c r="A224" s="3489"/>
      <c r="B224" s="3490"/>
      <c r="C224" s="3487"/>
      <c r="D224" s="3489"/>
      <c r="E224" s="4280"/>
      <c r="F224" s="4281"/>
      <c r="G224" s="3485"/>
    </row>
    <row r="225" spans="1:7" ht="14.25" hidden="1" customHeight="1" outlineLevel="1">
      <c r="A225" s="3489"/>
      <c r="B225" s="3491"/>
      <c r="C225" s="3487"/>
      <c r="D225" s="3489"/>
      <c r="E225" s="4284"/>
      <c r="F225" s="4285"/>
      <c r="G225" s="3485"/>
    </row>
    <row r="226" spans="1:7" ht="16.5" customHeight="1">
      <c r="A226" s="3542" t="s">
        <v>3425</v>
      </c>
      <c r="B226" s="3543" t="e">
        <f>ROUND(SUM(B206:B215,E206:F215),2)</f>
        <v>#REF!</v>
      </c>
      <c r="C226" s="3544" t="e">
        <f>ROUND(SUM(C206:C215,G206:G215),0)</f>
        <v>#REF!</v>
      </c>
      <c r="D226" s="3542"/>
      <c r="E226" s="4325"/>
      <c r="F226" s="4326"/>
      <c r="G226" s="3545"/>
    </row>
    <row r="227" spans="1:7" ht="18" customHeight="1">
      <c r="A227" s="4288" t="s">
        <v>3406</v>
      </c>
      <c r="B227" s="4289"/>
      <c r="C227" s="4289"/>
      <c r="D227" s="4289"/>
      <c r="E227" s="4289"/>
      <c r="F227" s="4289"/>
      <c r="G227" s="4290"/>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327" t="e">
        <f>C226+B253</f>
        <v>#REF!</v>
      </c>
      <c r="C254" s="4327"/>
      <c r="D254" s="4327"/>
      <c r="E254" s="4327"/>
      <c r="F254" s="4327"/>
      <c r="G254" s="3551" t="s">
        <v>3412</v>
      </c>
    </row>
    <row r="255" spans="1:7">
      <c r="A255" s="4328" t="s">
        <v>3428</v>
      </c>
      <c r="B255" s="4328"/>
      <c r="C255" s="4328"/>
      <c r="D255" s="4328"/>
      <c r="E255" s="4328"/>
      <c r="F255" s="4328"/>
      <c r="G255" s="4328"/>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E224:F224"/>
    <mergeCell ref="E225:F225"/>
    <mergeCell ref="E226:F226"/>
    <mergeCell ref="A227:G227"/>
    <mergeCell ref="B254:F254"/>
    <mergeCell ref="A255:G255"/>
    <mergeCell ref="E218:F218"/>
    <mergeCell ref="E219:F219"/>
    <mergeCell ref="E220:F220"/>
    <mergeCell ref="E221:F221"/>
    <mergeCell ref="E222:F222"/>
    <mergeCell ref="E223:F223"/>
    <mergeCell ref="E212:F212"/>
    <mergeCell ref="E213:F213"/>
    <mergeCell ref="E214:F214"/>
    <mergeCell ref="E215:F215"/>
    <mergeCell ref="E216:F216"/>
    <mergeCell ref="E217:F217"/>
    <mergeCell ref="E206:F206"/>
    <mergeCell ref="E207:F207"/>
    <mergeCell ref="E208:F208"/>
    <mergeCell ref="E209:F209"/>
    <mergeCell ref="E210:F210"/>
    <mergeCell ref="E211:F211"/>
    <mergeCell ref="A201:G201"/>
    <mergeCell ref="B202:G202"/>
    <mergeCell ref="B203:C203"/>
    <mergeCell ref="E203:G203"/>
    <mergeCell ref="A204:G204"/>
    <mergeCell ref="E205:F205"/>
    <mergeCell ref="A195:C195"/>
    <mergeCell ref="D195:G195"/>
    <mergeCell ref="B196:C196"/>
    <mergeCell ref="E196:G196"/>
    <mergeCell ref="A198:G199"/>
    <mergeCell ref="A200:G200"/>
    <mergeCell ref="A167:B167"/>
    <mergeCell ref="D167:E167"/>
    <mergeCell ref="F167:G167"/>
    <mergeCell ref="A168:G168"/>
    <mergeCell ref="A194:C194"/>
    <mergeCell ref="D194:G194"/>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A135:G136"/>
    <mergeCell ref="A137:G137"/>
    <mergeCell ref="A138:G138"/>
    <mergeCell ref="B139:G139"/>
    <mergeCell ref="B140:C140"/>
    <mergeCell ref="E140:G140"/>
    <mergeCell ref="A130:C130"/>
    <mergeCell ref="D130:G130"/>
    <mergeCell ref="A131:C131"/>
    <mergeCell ref="D131:F131"/>
    <mergeCell ref="B132:C132"/>
    <mergeCell ref="E132:G132"/>
    <mergeCell ref="E101:F101"/>
    <mergeCell ref="E102:F102"/>
    <mergeCell ref="A103:B103"/>
    <mergeCell ref="D103:E103"/>
    <mergeCell ref="F103:G103"/>
    <mergeCell ref="A104:G104"/>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A80:B80"/>
    <mergeCell ref="D80:E80"/>
    <mergeCell ref="F80:G80"/>
    <mergeCell ref="A81:B81"/>
    <mergeCell ref="C81:G81"/>
    <mergeCell ref="A82:G82"/>
    <mergeCell ref="B76:G76"/>
    <mergeCell ref="B77:C77"/>
    <mergeCell ref="E77:G77"/>
    <mergeCell ref="A78:G78"/>
    <mergeCell ref="A79:B79"/>
    <mergeCell ref="D79:E79"/>
    <mergeCell ref="F79:G79"/>
    <mergeCell ref="AS2:AU2"/>
    <mergeCell ref="AV2:AW2"/>
    <mergeCell ref="A25:A27"/>
    <mergeCell ref="A72:G73"/>
    <mergeCell ref="A74:G74"/>
    <mergeCell ref="A75:G75"/>
    <mergeCell ref="B1:C1"/>
    <mergeCell ref="H1:H2"/>
    <mergeCell ref="I1:L2"/>
    <mergeCell ref="B2:C2"/>
    <mergeCell ref="D2:E2"/>
    <mergeCell ref="F2:G2"/>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50" t="s">
        <v>3435</v>
      </c>
      <c r="B1" s="4351"/>
      <c r="C1" s="4351"/>
      <c r="D1" s="4352"/>
      <c r="F1" s="4353" t="s">
        <v>3436</v>
      </c>
      <c r="G1" s="4354"/>
      <c r="H1" s="4354"/>
      <c r="I1" s="4354"/>
      <c r="J1" s="4355"/>
      <c r="K1" s="3553"/>
      <c r="L1" s="4356" t="s">
        <v>3437</v>
      </c>
      <c r="M1" s="4357"/>
      <c r="N1" s="4357"/>
      <c r="O1" s="4357"/>
      <c r="P1" s="4358"/>
      <c r="R1" s="4359" t="s">
        <v>3438</v>
      </c>
      <c r="S1" s="4360"/>
      <c r="T1" s="4360"/>
      <c r="U1" s="4360"/>
      <c r="V1" s="4361"/>
      <c r="X1" s="4362" t="s">
        <v>3439</v>
      </c>
      <c r="Y1" s="4363"/>
      <c r="Z1" s="4363"/>
      <c r="AA1" s="4363"/>
      <c r="AB1" s="4364"/>
      <c r="AD1" s="4329" t="s">
        <v>3440</v>
      </c>
      <c r="AE1" s="4330"/>
      <c r="AF1" s="4330"/>
      <c r="AG1" s="4330"/>
      <c r="AH1" s="4331"/>
      <c r="AJ1" s="4335" t="s">
        <v>3325</v>
      </c>
      <c r="AK1" s="4336"/>
      <c r="AL1" s="3554"/>
      <c r="AM1" s="4337" t="s">
        <v>3441</v>
      </c>
      <c r="AN1" s="4338"/>
      <c r="AO1" s="4338"/>
      <c r="AP1" s="4339"/>
    </row>
    <row r="2" spans="1:42" ht="15" thickBot="1">
      <c r="A2" s="4340" t="s">
        <v>3442</v>
      </c>
      <c r="B2" s="4341"/>
      <c r="C2" s="3555" t="s">
        <v>3350</v>
      </c>
      <c r="D2" s="3556" t="s">
        <v>3443</v>
      </c>
      <c r="F2" s="4342" t="s">
        <v>3442</v>
      </c>
      <c r="G2" s="4343"/>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44"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45"/>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45"/>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47" t="s">
        <v>3488</v>
      </c>
      <c r="S5" s="4347" t="s">
        <v>3489</v>
      </c>
      <c r="T5" s="4347" t="s">
        <v>3490</v>
      </c>
      <c r="U5" s="4347" t="s">
        <v>3458</v>
      </c>
      <c r="V5" s="4347">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45"/>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48"/>
      <c r="S6" s="4348"/>
      <c r="T6" s="4348"/>
      <c r="U6" s="4349"/>
      <c r="V6" s="4348"/>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46"/>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47"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48"/>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65" t="s">
        <v>3559</v>
      </c>
      <c r="B12" s="4365" t="s">
        <v>3560</v>
      </c>
      <c r="C12" s="4344" t="s">
        <v>3458</v>
      </c>
      <c r="D12" s="4344">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66"/>
      <c r="B13" s="4346"/>
      <c r="C13" s="4346"/>
      <c r="D13" s="4346"/>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32" t="s">
        <v>3581</v>
      </c>
      <c r="S14" s="4333"/>
      <c r="T14" s="4333"/>
      <c r="U14" s="4333"/>
      <c r="V14" s="4334"/>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70" t="s">
        <v>3593</v>
      </c>
      <c r="C16" s="4371" t="s">
        <v>3458</v>
      </c>
      <c r="D16" s="4371">
        <v>28.83</v>
      </c>
      <c r="F16" s="3672" t="s">
        <v>3594</v>
      </c>
      <c r="G16" s="3594" t="s">
        <v>3587</v>
      </c>
      <c r="H16" s="3673" t="s">
        <v>3595</v>
      </c>
      <c r="I16" s="3585" t="s">
        <v>3458</v>
      </c>
      <c r="J16" s="3674">
        <v>9.2799999999999994</v>
      </c>
      <c r="K16" s="3649"/>
      <c r="L16" s="4372"/>
      <c r="M16" s="4372"/>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46"/>
      <c r="C17" s="4346"/>
      <c r="D17" s="4346"/>
      <c r="F17" s="3677" t="s">
        <v>3550</v>
      </c>
      <c r="G17" s="3594" t="s">
        <v>3587</v>
      </c>
      <c r="H17" s="3609" t="s">
        <v>3602</v>
      </c>
      <c r="I17" s="3594" t="s">
        <v>3458</v>
      </c>
      <c r="J17" s="3586">
        <v>12.75</v>
      </c>
      <c r="K17" s="3649"/>
      <c r="L17" s="4373" t="s">
        <v>3603</v>
      </c>
      <c r="M17" s="4374"/>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375" t="s">
        <v>3621</v>
      </c>
      <c r="Y19" s="4376"/>
      <c r="Z19" s="4377"/>
      <c r="AB19" s="4367" t="s">
        <v>3622</v>
      </c>
      <c r="AC19" s="4368"/>
      <c r="AD19" s="4368"/>
      <c r="AE19" s="4368"/>
      <c r="AF19" s="4368"/>
      <c r="AG19" s="4369"/>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B19:AG19"/>
    <mergeCell ref="B16:B17"/>
    <mergeCell ref="C16:C17"/>
    <mergeCell ref="D16:D17"/>
    <mergeCell ref="L16:M16"/>
    <mergeCell ref="L17:M17"/>
    <mergeCell ref="X19:Z19"/>
    <mergeCell ref="X1:AB1"/>
    <mergeCell ref="R7:R8"/>
    <mergeCell ref="A12:A13"/>
    <mergeCell ref="B12:B13"/>
    <mergeCell ref="C12:C13"/>
    <mergeCell ref="D12:D13"/>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s>
  <phoneticPr fontId="228" type="noConversion"/>
  <pageMargins left="0.75" right="0.75" top="1" bottom="1" header="0.5" footer="0.5"/>
  <pageSetup paperSize="9" orientation="portrait"/>
  <headerFooter alignWithMargins="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39997558519241921"/>
  </sheetPr>
  <dimension ref="A1:G173"/>
  <sheetViews>
    <sheetView workbookViewId="0">
      <pane xSplit="1" ySplit="1" topLeftCell="B2" activePane="bottomRight" state="frozen"/>
      <selection pane="topRight"/>
      <selection pane="bottomLeft"/>
      <selection pane="bottomRight" activeCell="A2" sqref="A2:A90"/>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378" t="s">
        <v>3661</v>
      </c>
      <c r="B2" s="3742" t="s">
        <v>3662</v>
      </c>
      <c r="C2" s="3743" t="s">
        <v>3369</v>
      </c>
      <c r="D2" s="3743">
        <v>10</v>
      </c>
      <c r="E2" s="3743">
        <f>F2/295</f>
        <v>1.0169491525423728</v>
      </c>
      <c r="F2" s="3743">
        <v>300</v>
      </c>
      <c r="G2" s="3744"/>
    </row>
    <row r="3" spans="1:7">
      <c r="A3" s="4378"/>
      <c r="B3" s="3742" t="s">
        <v>3663</v>
      </c>
      <c r="C3" s="3743" t="s">
        <v>3664</v>
      </c>
      <c r="D3" s="3743">
        <v>10</v>
      </c>
      <c r="E3" s="3743">
        <f t="shared" ref="E3:E11" si="0">F3/295</f>
        <v>2.3728813559322033</v>
      </c>
      <c r="F3" s="3743">
        <v>700</v>
      </c>
      <c r="G3" s="3744"/>
    </row>
    <row r="4" spans="1:7">
      <c r="A4" s="4378"/>
      <c r="B4" s="3742" t="s">
        <v>3665</v>
      </c>
      <c r="C4" s="3743" t="s">
        <v>3666</v>
      </c>
      <c r="D4" s="3743">
        <v>10</v>
      </c>
      <c r="E4" s="3743">
        <f t="shared" si="0"/>
        <v>1.7966101694915255</v>
      </c>
      <c r="F4" s="3743">
        <v>530</v>
      </c>
      <c r="G4" s="3744"/>
    </row>
    <row r="5" spans="1:7">
      <c r="A5" s="4378"/>
      <c r="B5" s="3742" t="s">
        <v>3667</v>
      </c>
      <c r="C5" s="3743" t="s">
        <v>3666</v>
      </c>
      <c r="D5" s="3743">
        <v>10</v>
      </c>
      <c r="E5" s="3743">
        <f t="shared" si="0"/>
        <v>1.6949152542372881</v>
      </c>
      <c r="F5" s="3743">
        <v>500</v>
      </c>
      <c r="G5" s="3744"/>
    </row>
    <row r="6" spans="1:7">
      <c r="A6" s="4378"/>
      <c r="B6" s="3742" t="s">
        <v>3668</v>
      </c>
      <c r="C6" s="3743" t="s">
        <v>3666</v>
      </c>
      <c r="D6" s="3743">
        <v>10</v>
      </c>
      <c r="E6" s="3743">
        <f t="shared" si="0"/>
        <v>3.3898305084745761</v>
      </c>
      <c r="F6" s="3743">
        <v>1000</v>
      </c>
      <c r="G6" s="3744"/>
    </row>
    <row r="7" spans="1:7">
      <c r="A7" s="4378"/>
      <c r="B7" s="3742" t="s">
        <v>3669</v>
      </c>
      <c r="C7" s="3743" t="s">
        <v>3362</v>
      </c>
      <c r="D7" s="3743">
        <v>10</v>
      </c>
      <c r="E7" s="3743">
        <f t="shared" si="0"/>
        <v>0.67796610169491522</v>
      </c>
      <c r="F7" s="3743">
        <v>200</v>
      </c>
      <c r="G7" s="3744"/>
    </row>
    <row r="8" spans="1:7">
      <c r="A8" s="4378"/>
      <c r="B8" s="3742" t="s">
        <v>3670</v>
      </c>
      <c r="C8" s="3743" t="s">
        <v>3369</v>
      </c>
      <c r="D8" s="3743">
        <v>10</v>
      </c>
      <c r="E8" s="3743">
        <f t="shared" si="0"/>
        <v>0.20338983050847459</v>
      </c>
      <c r="F8" s="3743">
        <v>60</v>
      </c>
      <c r="G8" s="3744"/>
    </row>
    <row r="9" spans="1:7">
      <c r="A9" s="4378"/>
      <c r="B9" s="3742" t="s">
        <v>3671</v>
      </c>
      <c r="C9" s="3743" t="s">
        <v>3672</v>
      </c>
      <c r="D9" s="3743">
        <v>10</v>
      </c>
      <c r="E9" s="3743">
        <f t="shared" si="0"/>
        <v>0.67796610169491522</v>
      </c>
      <c r="F9" s="3743">
        <v>200</v>
      </c>
      <c r="G9" s="3744"/>
    </row>
    <row r="10" spans="1:7">
      <c r="A10" s="4378"/>
      <c r="B10" s="3742" t="s">
        <v>3673</v>
      </c>
      <c r="C10" s="3743" t="s">
        <v>3672</v>
      </c>
      <c r="D10" s="3743">
        <v>10</v>
      </c>
      <c r="E10" s="3743">
        <f t="shared" si="0"/>
        <v>4.0677966101694913</v>
      </c>
      <c r="F10" s="3743">
        <v>1200</v>
      </c>
      <c r="G10" s="3744"/>
    </row>
    <row r="11" spans="1:7">
      <c r="A11" s="4378"/>
      <c r="B11" s="3742" t="s">
        <v>3674</v>
      </c>
      <c r="C11" s="3743" t="s">
        <v>3666</v>
      </c>
      <c r="D11" s="3743">
        <v>10</v>
      </c>
      <c r="E11" s="3743">
        <f t="shared" si="0"/>
        <v>2.7118644067796609</v>
      </c>
      <c r="F11" s="3743">
        <v>800</v>
      </c>
      <c r="G11" s="3744"/>
    </row>
    <row r="12" spans="1:7">
      <c r="A12" s="4378"/>
      <c r="B12" s="3745" t="s">
        <v>3675</v>
      </c>
      <c r="C12" s="3743" t="s">
        <v>3664</v>
      </c>
      <c r="D12" s="3743">
        <v>10</v>
      </c>
      <c r="E12" s="3743">
        <v>32.97</v>
      </c>
      <c r="F12" s="3746">
        <f>295*E12*D12/10</f>
        <v>9726.15</v>
      </c>
      <c r="G12" s="3744"/>
    </row>
    <row r="13" spans="1:7">
      <c r="A13" s="4378"/>
      <c r="B13" s="3745" t="s">
        <v>3676</v>
      </c>
      <c r="C13" s="3743" t="s">
        <v>3664</v>
      </c>
      <c r="D13" s="3743">
        <v>10</v>
      </c>
      <c r="E13" s="3743">
        <v>14.41</v>
      </c>
      <c r="F13" s="3746"/>
      <c r="G13" s="3744"/>
    </row>
    <row r="14" spans="1:7">
      <c r="A14" s="4378"/>
      <c r="B14" s="3745" t="s">
        <v>3677</v>
      </c>
      <c r="C14" s="3743" t="s">
        <v>3664</v>
      </c>
      <c r="D14" s="3743">
        <v>10</v>
      </c>
      <c r="E14" s="3743">
        <v>11.21</v>
      </c>
      <c r="F14" s="3746"/>
      <c r="G14" s="3744"/>
    </row>
    <row r="15" spans="1:7">
      <c r="A15" s="4378"/>
      <c r="B15" s="3745" t="s">
        <v>3678</v>
      </c>
      <c r="C15" s="3743" t="s">
        <v>3664</v>
      </c>
      <c r="D15" s="3743">
        <v>10</v>
      </c>
      <c r="E15" s="3743">
        <v>6.53</v>
      </c>
      <c r="F15" s="3746"/>
      <c r="G15" s="3744"/>
    </row>
    <row r="16" spans="1:7">
      <c r="A16" s="4378"/>
      <c r="B16" s="3745" t="s">
        <v>3679</v>
      </c>
      <c r="C16" s="3743" t="s">
        <v>3680</v>
      </c>
      <c r="D16" s="3743">
        <v>10</v>
      </c>
      <c r="E16" s="3743">
        <v>5.55</v>
      </c>
      <c r="F16" s="3746">
        <f t="shared" ref="F16:F28" si="1">295*E16*D16/10</f>
        <v>1637.25</v>
      </c>
      <c r="G16" s="3744"/>
    </row>
    <row r="17" spans="1:7">
      <c r="A17" s="4378"/>
      <c r="B17" s="3745" t="s">
        <v>3681</v>
      </c>
      <c r="C17" s="3743" t="s">
        <v>3680</v>
      </c>
      <c r="D17" s="3743">
        <v>10</v>
      </c>
      <c r="E17" s="3743">
        <v>4.16</v>
      </c>
      <c r="F17" s="3746">
        <f t="shared" si="1"/>
        <v>1227.2</v>
      </c>
      <c r="G17" s="3744"/>
    </row>
    <row r="18" spans="1:7">
      <c r="A18" s="4378"/>
      <c r="B18" s="3745" t="s">
        <v>3682</v>
      </c>
      <c r="C18" s="3743" t="s">
        <v>3369</v>
      </c>
      <c r="D18" s="3743">
        <v>10</v>
      </c>
      <c r="E18" s="3743">
        <v>1.58</v>
      </c>
      <c r="F18" s="3746">
        <f t="shared" si="1"/>
        <v>466.1</v>
      </c>
      <c r="G18" s="3744"/>
    </row>
    <row r="19" spans="1:7">
      <c r="A19" s="4378"/>
      <c r="B19" s="3745" t="s">
        <v>3683</v>
      </c>
      <c r="C19" s="3743" t="s">
        <v>3369</v>
      </c>
      <c r="D19" s="3743">
        <v>10</v>
      </c>
      <c r="E19" s="3743">
        <v>1.1000000000000001</v>
      </c>
      <c r="F19" s="3746">
        <f t="shared" si="1"/>
        <v>324.5</v>
      </c>
      <c r="G19" s="3744"/>
    </row>
    <row r="20" spans="1:7">
      <c r="A20" s="4378"/>
      <c r="B20" s="3745" t="s">
        <v>3684</v>
      </c>
      <c r="C20" s="3743" t="s">
        <v>3369</v>
      </c>
      <c r="D20" s="3743">
        <v>10</v>
      </c>
      <c r="E20" s="3743">
        <v>1.0900000000000001</v>
      </c>
      <c r="F20" s="3746">
        <f t="shared" si="1"/>
        <v>321.55</v>
      </c>
      <c r="G20" s="3744"/>
    </row>
    <row r="21" spans="1:7">
      <c r="A21" s="4378"/>
      <c r="B21" s="3745" t="s">
        <v>3685</v>
      </c>
      <c r="C21" s="3743" t="s">
        <v>3369</v>
      </c>
      <c r="D21" s="3743">
        <v>10</v>
      </c>
      <c r="E21" s="3743">
        <v>1.06</v>
      </c>
      <c r="F21" s="3746">
        <f t="shared" si="1"/>
        <v>312.7</v>
      </c>
      <c r="G21" s="3744"/>
    </row>
    <row r="22" spans="1:7">
      <c r="A22" s="4378"/>
      <c r="B22" s="3745" t="s">
        <v>3686</v>
      </c>
      <c r="C22" s="3743" t="s">
        <v>3369</v>
      </c>
      <c r="D22" s="3743">
        <v>10</v>
      </c>
      <c r="E22" s="3743">
        <v>1.23</v>
      </c>
      <c r="F22" s="3746">
        <f t="shared" si="1"/>
        <v>362.85</v>
      </c>
      <c r="G22" s="3744"/>
    </row>
    <row r="23" spans="1:7">
      <c r="A23" s="4378"/>
      <c r="B23" s="3745" t="s">
        <v>3687</v>
      </c>
      <c r="C23" s="3743" t="s">
        <v>3369</v>
      </c>
      <c r="D23" s="3743">
        <v>10</v>
      </c>
      <c r="E23" s="3743">
        <v>0.79</v>
      </c>
      <c r="F23" s="3746">
        <f t="shared" si="1"/>
        <v>233.05</v>
      </c>
      <c r="G23" s="3744"/>
    </row>
    <row r="24" spans="1:7">
      <c r="A24" s="4378"/>
      <c r="B24" s="3745" t="s">
        <v>3688</v>
      </c>
      <c r="C24" s="3743" t="s">
        <v>3369</v>
      </c>
      <c r="D24" s="3743">
        <v>10</v>
      </c>
      <c r="E24" s="3743">
        <v>0.97</v>
      </c>
      <c r="F24" s="3746">
        <f t="shared" si="1"/>
        <v>286.14999999999998</v>
      </c>
      <c r="G24" s="3744"/>
    </row>
    <row r="25" spans="1:7">
      <c r="A25" s="4378"/>
      <c r="B25" s="3745" t="s">
        <v>3689</v>
      </c>
      <c r="C25" s="3743" t="s">
        <v>3369</v>
      </c>
      <c r="D25" s="3743">
        <v>10</v>
      </c>
      <c r="E25" s="3743">
        <v>1.17</v>
      </c>
      <c r="F25" s="3746">
        <f t="shared" si="1"/>
        <v>345.15</v>
      </c>
      <c r="G25" s="3744"/>
    </row>
    <row r="26" spans="1:7">
      <c r="A26" s="4378"/>
      <c r="B26" s="3745" t="s">
        <v>3690</v>
      </c>
      <c r="C26" s="3743" t="s">
        <v>3369</v>
      </c>
      <c r="D26" s="3743">
        <v>10</v>
      </c>
      <c r="E26" s="3743">
        <v>0.8</v>
      </c>
      <c r="F26" s="3746">
        <f t="shared" si="1"/>
        <v>236</v>
      </c>
      <c r="G26" s="3744"/>
    </row>
    <row r="27" spans="1:7">
      <c r="A27" s="4378"/>
      <c r="B27" s="3745" t="s">
        <v>3691</v>
      </c>
      <c r="C27" s="3743" t="s">
        <v>3369</v>
      </c>
      <c r="D27" s="3743">
        <v>10</v>
      </c>
      <c r="E27" s="3743">
        <v>0.44</v>
      </c>
      <c r="F27" s="3746">
        <f t="shared" si="1"/>
        <v>129.80000000000001</v>
      </c>
      <c r="G27" s="3744"/>
    </row>
    <row r="28" spans="1:7">
      <c r="A28" s="4378"/>
      <c r="B28" s="3745" t="s">
        <v>3692</v>
      </c>
      <c r="C28" s="3743" t="s">
        <v>3369</v>
      </c>
      <c r="D28" s="3743">
        <v>10</v>
      </c>
      <c r="E28" s="3743">
        <v>0.37</v>
      </c>
      <c r="F28" s="3746">
        <f t="shared" si="1"/>
        <v>109.15</v>
      </c>
      <c r="G28" s="3744"/>
    </row>
    <row r="29" spans="1:7">
      <c r="A29" s="4378"/>
      <c r="B29" s="3745" t="s">
        <v>3693</v>
      </c>
      <c r="C29" s="3743" t="s">
        <v>3369</v>
      </c>
      <c r="D29" s="3743">
        <v>10</v>
      </c>
      <c r="E29" s="3743">
        <v>0.65</v>
      </c>
      <c r="F29" s="3746"/>
      <c r="G29" s="3744"/>
    </row>
    <row r="30" spans="1:7">
      <c r="A30" s="4378"/>
      <c r="B30" s="3745" t="s">
        <v>3694</v>
      </c>
      <c r="C30" s="3743" t="s">
        <v>3369</v>
      </c>
      <c r="D30" s="3743">
        <v>10</v>
      </c>
      <c r="E30" s="3743">
        <v>0.52</v>
      </c>
      <c r="F30" s="3746"/>
      <c r="G30" s="3744"/>
    </row>
    <row r="31" spans="1:7">
      <c r="A31" s="4378"/>
      <c r="B31" s="3745" t="s">
        <v>3695</v>
      </c>
      <c r="C31" s="3743" t="s">
        <v>3369</v>
      </c>
      <c r="D31" s="3743">
        <v>10</v>
      </c>
      <c r="E31" s="3743">
        <v>0.33</v>
      </c>
      <c r="F31" s="3746">
        <f>295*E31*D31/10</f>
        <v>97.350000000000009</v>
      </c>
      <c r="G31" s="3744"/>
    </row>
    <row r="32" spans="1:7">
      <c r="A32" s="4378"/>
      <c r="B32" s="3745" t="s">
        <v>3696</v>
      </c>
      <c r="C32" s="3743" t="s">
        <v>3369</v>
      </c>
      <c r="D32" s="3743">
        <v>10</v>
      </c>
      <c r="E32" s="3743">
        <v>0.42</v>
      </c>
      <c r="F32" s="3746">
        <f>295*E32*D32/10</f>
        <v>123.9</v>
      </c>
      <c r="G32" s="3744"/>
    </row>
    <row r="33" spans="1:7">
      <c r="A33" s="4378"/>
      <c r="B33" s="3745" t="s">
        <v>3697</v>
      </c>
      <c r="C33" s="3743" t="s">
        <v>3369</v>
      </c>
      <c r="D33" s="3743">
        <v>10</v>
      </c>
      <c r="E33" s="3743">
        <v>0.21</v>
      </c>
      <c r="F33" s="3746">
        <f>295*E33*D33/10</f>
        <v>61.95</v>
      </c>
      <c r="G33" s="3744"/>
    </row>
    <row r="34" spans="1:7">
      <c r="A34" s="4378"/>
      <c r="B34" s="3745" t="s">
        <v>3698</v>
      </c>
      <c r="C34" s="3743" t="s">
        <v>3369</v>
      </c>
      <c r="D34" s="3743">
        <v>10</v>
      </c>
      <c r="E34" s="3743">
        <v>0.36</v>
      </c>
      <c r="F34" s="3746"/>
      <c r="G34" s="3744"/>
    </row>
    <row r="35" spans="1:7">
      <c r="A35" s="4378"/>
      <c r="B35" s="3745" t="s">
        <v>3699</v>
      </c>
      <c r="C35" s="3743" t="s">
        <v>3369</v>
      </c>
      <c r="D35" s="3743">
        <v>10</v>
      </c>
      <c r="E35" s="3743">
        <v>0.37</v>
      </c>
      <c r="F35" s="3746">
        <f>295*E35*D35/10</f>
        <v>109.15</v>
      </c>
      <c r="G35" s="3744"/>
    </row>
    <row r="36" spans="1:7">
      <c r="A36" s="4378"/>
      <c r="B36" s="3747" t="s">
        <v>3700</v>
      </c>
      <c r="C36" s="3743" t="s">
        <v>3362</v>
      </c>
      <c r="D36" s="3743">
        <v>10</v>
      </c>
      <c r="E36" s="3743">
        <v>4.8499999999999996</v>
      </c>
      <c r="F36" s="3746">
        <f>295*E36*D36/10</f>
        <v>1430.75</v>
      </c>
      <c r="G36" s="3744"/>
    </row>
    <row r="37" spans="1:7">
      <c r="A37" s="4378"/>
      <c r="B37" s="3747" t="s">
        <v>3701</v>
      </c>
      <c r="C37" s="3743" t="s">
        <v>3362</v>
      </c>
      <c r="D37" s="3743">
        <v>10</v>
      </c>
      <c r="E37" s="3743">
        <v>6.73</v>
      </c>
      <c r="F37" s="3746"/>
      <c r="G37" s="3744"/>
    </row>
    <row r="38" spans="1:7">
      <c r="A38" s="4378"/>
      <c r="B38" s="3747" t="s">
        <v>3702</v>
      </c>
      <c r="C38" s="3743" t="s">
        <v>3362</v>
      </c>
      <c r="D38" s="3743">
        <v>10</v>
      </c>
      <c r="E38" s="3743">
        <v>1.56</v>
      </c>
      <c r="F38" s="3746">
        <f t="shared" ref="F38:F45" si="2">295*E38*D38/10</f>
        <v>460.2</v>
      </c>
      <c r="G38" s="3744"/>
    </row>
    <row r="39" spans="1:7">
      <c r="A39" s="4378"/>
      <c r="B39" s="3747" t="s">
        <v>3703</v>
      </c>
      <c r="C39" s="3743" t="s">
        <v>3362</v>
      </c>
      <c r="D39" s="3743">
        <v>10</v>
      </c>
      <c r="E39" s="3743">
        <v>1.23</v>
      </c>
      <c r="F39" s="3746">
        <f t="shared" si="2"/>
        <v>362.85</v>
      </c>
      <c r="G39" s="3748"/>
    </row>
    <row r="40" spans="1:7">
      <c r="A40" s="4378"/>
      <c r="B40" s="3747" t="s">
        <v>3704</v>
      </c>
      <c r="C40" s="3743" t="s">
        <v>3362</v>
      </c>
      <c r="D40" s="3743">
        <v>10</v>
      </c>
      <c r="E40" s="3743">
        <v>1.94</v>
      </c>
      <c r="F40" s="3746">
        <f t="shared" si="2"/>
        <v>572.29999999999995</v>
      </c>
      <c r="G40" s="3744"/>
    </row>
    <row r="41" spans="1:7">
      <c r="A41" s="4378"/>
      <c r="B41" s="3747" t="s">
        <v>3705</v>
      </c>
      <c r="C41" s="3743" t="s">
        <v>3362</v>
      </c>
      <c r="D41" s="3743">
        <v>10</v>
      </c>
      <c r="E41" s="3743">
        <v>1.3</v>
      </c>
      <c r="F41" s="3746">
        <f t="shared" si="2"/>
        <v>383.5</v>
      </c>
      <c r="G41" s="3744"/>
    </row>
    <row r="42" spans="1:7">
      <c r="A42" s="4378"/>
      <c r="B42" s="3747" t="s">
        <v>3706</v>
      </c>
      <c r="C42" s="3743" t="s">
        <v>3362</v>
      </c>
      <c r="D42" s="3743">
        <v>10</v>
      </c>
      <c r="E42" s="3743">
        <v>2.69</v>
      </c>
      <c r="F42" s="3746">
        <f t="shared" si="2"/>
        <v>793.55</v>
      </c>
      <c r="G42" s="3744"/>
    </row>
    <row r="43" spans="1:7">
      <c r="A43" s="4378"/>
      <c r="B43" s="3747" t="s">
        <v>3707</v>
      </c>
      <c r="C43" s="3743" t="s">
        <v>3362</v>
      </c>
      <c r="D43" s="3743">
        <v>10</v>
      </c>
      <c r="E43" s="3743">
        <v>2.65</v>
      </c>
      <c r="F43" s="3746">
        <f t="shared" si="2"/>
        <v>781.75</v>
      </c>
      <c r="G43" s="3744"/>
    </row>
    <row r="44" spans="1:7">
      <c r="A44" s="4378"/>
      <c r="B44" s="3747" t="s">
        <v>3708</v>
      </c>
      <c r="C44" s="3743" t="s">
        <v>3362</v>
      </c>
      <c r="D44" s="3743">
        <v>10</v>
      </c>
      <c r="E44" s="3743">
        <v>1.39</v>
      </c>
      <c r="F44" s="3746">
        <f t="shared" si="2"/>
        <v>410.05</v>
      </c>
      <c r="G44" s="3744"/>
    </row>
    <row r="45" spans="1:7">
      <c r="A45" s="4378"/>
      <c r="B45" s="3747" t="s">
        <v>3709</v>
      </c>
      <c r="C45" s="3743" t="s">
        <v>3362</v>
      </c>
      <c r="D45" s="3743">
        <v>10</v>
      </c>
      <c r="E45" s="3743">
        <v>0.38</v>
      </c>
      <c r="F45" s="3746">
        <f t="shared" si="2"/>
        <v>112.1</v>
      </c>
      <c r="G45" s="3744"/>
    </row>
    <row r="46" spans="1:7">
      <c r="A46" s="4378"/>
      <c r="B46" s="3747" t="s">
        <v>3710</v>
      </c>
      <c r="C46" s="3743" t="s">
        <v>3369</v>
      </c>
      <c r="D46" s="3743">
        <v>10</v>
      </c>
      <c r="E46" s="3743">
        <v>0.3</v>
      </c>
      <c r="F46" s="3746"/>
      <c r="G46" s="3744"/>
    </row>
    <row r="47" spans="1:7">
      <c r="A47" s="4378"/>
      <c r="B47" s="3747" t="s">
        <v>3711</v>
      </c>
      <c r="C47" s="3743" t="s">
        <v>3369</v>
      </c>
      <c r="D47" s="3743">
        <v>10</v>
      </c>
      <c r="E47" s="3743">
        <v>0.26</v>
      </c>
      <c r="F47" s="3746"/>
      <c r="G47" s="3744"/>
    </row>
    <row r="48" spans="1:7">
      <c r="A48" s="4378"/>
      <c r="B48" s="3747" t="s">
        <v>3712</v>
      </c>
      <c r="C48" s="3743" t="s">
        <v>3666</v>
      </c>
      <c r="D48" s="3743">
        <v>10</v>
      </c>
      <c r="E48" s="3743">
        <v>7.0000000000000007E-2</v>
      </c>
      <c r="F48" s="3746"/>
      <c r="G48" s="3744"/>
    </row>
    <row r="49" spans="1:7">
      <c r="A49" s="4378"/>
      <c r="B49" s="3747" t="s">
        <v>3713</v>
      </c>
      <c r="C49" s="3743" t="s">
        <v>3666</v>
      </c>
      <c r="D49" s="3743">
        <v>10</v>
      </c>
      <c r="E49" s="3743">
        <v>0.21</v>
      </c>
      <c r="F49" s="3746"/>
      <c r="G49" s="3744"/>
    </row>
    <row r="50" spans="1:7">
      <c r="A50" s="4378"/>
      <c r="B50" s="3747" t="s">
        <v>3714</v>
      </c>
      <c r="C50" s="3743" t="s">
        <v>3715</v>
      </c>
      <c r="D50" s="3743">
        <v>10</v>
      </c>
      <c r="E50" s="3743">
        <v>5.39</v>
      </c>
      <c r="F50" s="3746">
        <f>295*E50*D50/10</f>
        <v>1590.05</v>
      </c>
      <c r="G50" s="3744"/>
    </row>
    <row r="51" spans="1:7">
      <c r="A51" s="4378"/>
      <c r="B51" s="3747" t="s">
        <v>3716</v>
      </c>
      <c r="C51" s="3743" t="s">
        <v>3664</v>
      </c>
      <c r="D51" s="3743">
        <v>10</v>
      </c>
      <c r="E51" s="3743">
        <v>8.81</v>
      </c>
      <c r="F51" s="3746">
        <f>295*E51*D51/10</f>
        <v>2598.9500000000003</v>
      </c>
      <c r="G51" s="3744"/>
    </row>
    <row r="52" spans="1:7">
      <c r="A52" s="4378"/>
      <c r="B52" s="3747" t="s">
        <v>3717</v>
      </c>
      <c r="C52" s="3743" t="s">
        <v>3664</v>
      </c>
      <c r="D52" s="3743">
        <v>10</v>
      </c>
      <c r="E52" s="3743">
        <v>2.7</v>
      </c>
      <c r="F52" s="3746">
        <f>295*E52*D52/10</f>
        <v>796.5</v>
      </c>
      <c r="G52" s="3744"/>
    </row>
    <row r="53" spans="1:7">
      <c r="A53" s="4378"/>
      <c r="B53" s="3747" t="s">
        <v>3718</v>
      </c>
      <c r="C53" s="3743" t="s">
        <v>3362</v>
      </c>
      <c r="D53" s="3743">
        <v>10</v>
      </c>
      <c r="E53" s="3743">
        <v>1.1599999999999999</v>
      </c>
      <c r="F53" s="3746"/>
      <c r="G53" s="3744"/>
    </row>
    <row r="54" spans="1:7">
      <c r="A54" s="4378"/>
      <c r="B54" s="3747" t="s">
        <v>3719</v>
      </c>
      <c r="C54" s="3743" t="s">
        <v>3720</v>
      </c>
      <c r="D54" s="3743">
        <v>10</v>
      </c>
      <c r="E54" s="3743">
        <v>0.16</v>
      </c>
      <c r="F54" s="3746">
        <f>295*E54*D54/10</f>
        <v>47.2</v>
      </c>
      <c r="G54" s="3744"/>
    </row>
    <row r="55" spans="1:7">
      <c r="A55" s="4378"/>
      <c r="B55" s="3747" t="s">
        <v>3721</v>
      </c>
      <c r="C55" s="3743" t="s">
        <v>3362</v>
      </c>
      <c r="D55" s="3743">
        <v>10</v>
      </c>
      <c r="E55" s="3743">
        <v>0.28000000000000003</v>
      </c>
      <c r="F55" s="3746">
        <f>295*E55*D55/10</f>
        <v>82.600000000000009</v>
      </c>
      <c r="G55" s="3744"/>
    </row>
    <row r="56" spans="1:7">
      <c r="A56" s="4378"/>
      <c r="B56" s="3747" t="s">
        <v>3722</v>
      </c>
      <c r="C56" s="3743" t="s">
        <v>3666</v>
      </c>
      <c r="D56" s="3743">
        <v>10</v>
      </c>
      <c r="E56" s="3743">
        <v>0.13</v>
      </c>
      <c r="F56" s="3746">
        <f>295*E56*D56/10</f>
        <v>38.35</v>
      </c>
      <c r="G56" s="3744"/>
    </row>
    <row r="57" spans="1:7">
      <c r="A57" s="4378"/>
      <c r="B57" s="3747" t="s">
        <v>3723</v>
      </c>
      <c r="C57" s="3743" t="s">
        <v>3715</v>
      </c>
      <c r="D57" s="3743">
        <v>10</v>
      </c>
      <c r="E57" s="3743">
        <v>0.5</v>
      </c>
      <c r="F57" s="3746">
        <f>295*E57*D57/10</f>
        <v>147.5</v>
      </c>
      <c r="G57" s="3744"/>
    </row>
    <row r="58" spans="1:7">
      <c r="A58" s="4378"/>
      <c r="B58" s="3749"/>
      <c r="C58" s="3743"/>
      <c r="D58" s="3743"/>
      <c r="E58" s="3743"/>
      <c r="F58" s="3746"/>
      <c r="G58" s="3744"/>
    </row>
    <row r="59" spans="1:7">
      <c r="A59" s="4378"/>
      <c r="B59" s="3749"/>
      <c r="C59" s="3743"/>
      <c r="D59" s="3743"/>
      <c r="E59" s="3743"/>
      <c r="F59" s="3746"/>
      <c r="G59" s="3744"/>
    </row>
    <row r="60" spans="1:7">
      <c r="A60" s="4378"/>
      <c r="B60" s="3749"/>
      <c r="C60" s="3743"/>
      <c r="D60" s="3743"/>
      <c r="E60" s="3743"/>
      <c r="F60" s="3746"/>
      <c r="G60" s="3744"/>
    </row>
    <row r="61" spans="1:7">
      <c r="A61" s="4378"/>
      <c r="B61" s="3750" t="s">
        <v>3724</v>
      </c>
      <c r="C61" s="3743" t="s">
        <v>3369</v>
      </c>
      <c r="D61" s="3743">
        <v>10</v>
      </c>
      <c r="E61" s="3743">
        <v>0.83</v>
      </c>
      <c r="F61" s="3746">
        <f t="shared" ref="F61:F79" si="3">295*E61*D61/10</f>
        <v>244.85</v>
      </c>
      <c r="G61" s="3744"/>
    </row>
    <row r="62" spans="1:7">
      <c r="A62" s="4378"/>
      <c r="B62" s="3750" t="s">
        <v>3725</v>
      </c>
      <c r="C62" s="3743" t="s">
        <v>3369</v>
      </c>
      <c r="D62" s="3743">
        <v>10</v>
      </c>
      <c r="E62" s="3743">
        <v>0.5</v>
      </c>
      <c r="F62" s="3746">
        <f t="shared" si="3"/>
        <v>147.5</v>
      </c>
      <c r="G62" s="3744"/>
    </row>
    <row r="63" spans="1:7">
      <c r="A63" s="4378"/>
      <c r="B63" s="3750" t="s">
        <v>3726</v>
      </c>
      <c r="C63" s="3743" t="s">
        <v>3369</v>
      </c>
      <c r="D63" s="3743">
        <v>10</v>
      </c>
      <c r="E63" s="3743">
        <v>0.56000000000000005</v>
      </c>
      <c r="F63" s="3746">
        <f t="shared" si="3"/>
        <v>165.20000000000002</v>
      </c>
      <c r="G63" s="3744"/>
    </row>
    <row r="64" spans="1:7">
      <c r="A64" s="4378"/>
      <c r="B64" s="3750" t="s">
        <v>3727</v>
      </c>
      <c r="C64" s="3743" t="s">
        <v>3369</v>
      </c>
      <c r="D64" s="3743">
        <v>10</v>
      </c>
      <c r="E64" s="3743">
        <v>0.56999999999999995</v>
      </c>
      <c r="F64" s="3746">
        <f t="shared" si="3"/>
        <v>168.14999999999998</v>
      </c>
      <c r="G64" s="3744"/>
    </row>
    <row r="65" spans="1:7">
      <c r="A65" s="4378"/>
      <c r="B65" s="3750" t="s">
        <v>3728</v>
      </c>
      <c r="C65" s="3743" t="s">
        <v>3369</v>
      </c>
      <c r="D65" s="3743">
        <v>10</v>
      </c>
      <c r="E65" s="3743">
        <v>0.39</v>
      </c>
      <c r="F65" s="3746">
        <f t="shared" si="3"/>
        <v>115.05</v>
      </c>
      <c r="G65" s="3744"/>
    </row>
    <row r="66" spans="1:7">
      <c r="A66" s="4378"/>
      <c r="B66" s="3750" t="s">
        <v>3729</v>
      </c>
      <c r="C66" s="3743" t="s">
        <v>3369</v>
      </c>
      <c r="D66" s="3743">
        <v>10</v>
      </c>
      <c r="E66" s="3743">
        <v>1.2</v>
      </c>
      <c r="F66" s="3746">
        <f t="shared" si="3"/>
        <v>354</v>
      </c>
      <c r="G66" s="3744"/>
    </row>
    <row r="67" spans="1:7">
      <c r="A67" s="4378"/>
      <c r="B67" s="3750" t="s">
        <v>3730</v>
      </c>
      <c r="C67" s="3743" t="s">
        <v>3369</v>
      </c>
      <c r="D67" s="3743">
        <v>10</v>
      </c>
      <c r="E67" s="3743">
        <v>0.53</v>
      </c>
      <c r="F67" s="3746">
        <f t="shared" si="3"/>
        <v>156.35</v>
      </c>
      <c r="G67" s="3744"/>
    </row>
    <row r="68" spans="1:7">
      <c r="A68" s="4378"/>
      <c r="B68" s="3749" t="s">
        <v>3731</v>
      </c>
      <c r="C68" s="3751" t="s">
        <v>3369</v>
      </c>
      <c r="D68" s="3751">
        <v>10</v>
      </c>
      <c r="E68" s="3751">
        <v>0.5</v>
      </c>
      <c r="F68" s="3752">
        <f t="shared" si="3"/>
        <v>147.5</v>
      </c>
      <c r="G68" s="3744"/>
    </row>
    <row r="69" spans="1:7">
      <c r="A69" s="4378"/>
      <c r="B69" s="3750" t="s">
        <v>3732</v>
      </c>
      <c r="C69" s="3743" t="s">
        <v>3369</v>
      </c>
      <c r="D69" s="3743">
        <v>10</v>
      </c>
      <c r="E69" s="3743">
        <v>0.06</v>
      </c>
      <c r="F69" s="3746">
        <f t="shared" si="3"/>
        <v>17.7</v>
      </c>
      <c r="G69" s="3744"/>
    </row>
    <row r="70" spans="1:7">
      <c r="A70" s="4378"/>
      <c r="B70" s="3750" t="s">
        <v>3733</v>
      </c>
      <c r="C70" s="3743" t="s">
        <v>3369</v>
      </c>
      <c r="D70" s="3743">
        <v>10</v>
      </c>
      <c r="E70" s="3743">
        <v>0.36</v>
      </c>
      <c r="F70" s="3746">
        <f t="shared" si="3"/>
        <v>106.2</v>
      </c>
      <c r="G70" s="3744"/>
    </row>
    <row r="71" spans="1:7">
      <c r="A71" s="4378"/>
      <c r="B71" s="3750" t="s">
        <v>3734</v>
      </c>
      <c r="C71" s="3743" t="s">
        <v>3369</v>
      </c>
      <c r="D71" s="3743">
        <v>10</v>
      </c>
      <c r="E71" s="3743">
        <v>0.19</v>
      </c>
      <c r="F71" s="3746">
        <f t="shared" si="3"/>
        <v>56.05</v>
      </c>
      <c r="G71" s="3744"/>
    </row>
    <row r="72" spans="1:7">
      <c r="A72" s="4378"/>
      <c r="B72" s="3749" t="s">
        <v>3645</v>
      </c>
      <c r="C72" s="3751" t="s">
        <v>3369</v>
      </c>
      <c r="D72" s="3743">
        <v>10</v>
      </c>
      <c r="E72" s="3751">
        <v>0.43</v>
      </c>
      <c r="F72" s="3752">
        <f t="shared" si="3"/>
        <v>126.85</v>
      </c>
      <c r="G72" s="3744"/>
    </row>
    <row r="73" spans="1:7">
      <c r="A73" s="4378"/>
      <c r="B73" s="3750" t="s">
        <v>3735</v>
      </c>
      <c r="C73" s="3743" t="s">
        <v>3369</v>
      </c>
      <c r="D73" s="3743">
        <v>10</v>
      </c>
      <c r="E73" s="3743">
        <v>0.89</v>
      </c>
      <c r="F73" s="3746">
        <f t="shared" si="3"/>
        <v>262.55</v>
      </c>
      <c r="G73" s="3744"/>
    </row>
    <row r="74" spans="1:7">
      <c r="A74" s="4378"/>
      <c r="B74" s="3750" t="s">
        <v>3736</v>
      </c>
      <c r="C74" s="3743" t="s">
        <v>3737</v>
      </c>
      <c r="D74" s="3743">
        <v>10</v>
      </c>
      <c r="E74" s="3743">
        <v>1.21</v>
      </c>
      <c r="F74" s="3746">
        <f t="shared" si="3"/>
        <v>356.95</v>
      </c>
      <c r="G74" s="3744"/>
    </row>
    <row r="75" spans="1:7">
      <c r="A75" s="4378"/>
      <c r="B75" s="3750" t="s">
        <v>3738</v>
      </c>
      <c r="C75" s="3743" t="s">
        <v>3369</v>
      </c>
      <c r="D75" s="3743">
        <v>10</v>
      </c>
      <c r="E75" s="3743">
        <v>1.08</v>
      </c>
      <c r="F75" s="3746">
        <f t="shared" si="3"/>
        <v>318.60000000000002</v>
      </c>
      <c r="G75" s="3744"/>
    </row>
    <row r="76" spans="1:7">
      <c r="A76" s="4378"/>
      <c r="B76" s="3750" t="s">
        <v>3739</v>
      </c>
      <c r="C76" s="3743" t="s">
        <v>3369</v>
      </c>
      <c r="D76" s="3743">
        <v>10</v>
      </c>
      <c r="E76" s="3743">
        <v>0.63</v>
      </c>
      <c r="F76" s="3746">
        <f t="shared" si="3"/>
        <v>185.85</v>
      </c>
      <c r="G76" s="3744"/>
    </row>
    <row r="77" spans="1:7">
      <c r="A77" s="4378"/>
      <c r="B77" s="3750" t="s">
        <v>3740</v>
      </c>
      <c r="C77" s="3743" t="s">
        <v>3369</v>
      </c>
      <c r="D77" s="3743">
        <v>10</v>
      </c>
      <c r="E77" s="3743">
        <v>0.46</v>
      </c>
      <c r="F77" s="3746">
        <f t="shared" si="3"/>
        <v>135.70000000000002</v>
      </c>
      <c r="G77" s="3744"/>
    </row>
    <row r="78" spans="1:7">
      <c r="A78" s="4378"/>
      <c r="B78" s="3750" t="s">
        <v>3741</v>
      </c>
      <c r="C78" s="3743" t="s">
        <v>3369</v>
      </c>
      <c r="D78" s="3743">
        <v>10</v>
      </c>
      <c r="E78" s="3743">
        <v>0.49</v>
      </c>
      <c r="F78" s="3746">
        <f t="shared" si="3"/>
        <v>144.55000000000001</v>
      </c>
      <c r="G78" s="3744"/>
    </row>
    <row r="79" spans="1:7">
      <c r="A79" s="4378"/>
      <c r="B79" s="3750" t="s">
        <v>3742</v>
      </c>
      <c r="C79" s="3743" t="s">
        <v>3369</v>
      </c>
      <c r="D79" s="3743">
        <v>10</v>
      </c>
      <c r="E79" s="3743">
        <v>0.24</v>
      </c>
      <c r="F79" s="3746">
        <f t="shared" si="3"/>
        <v>70.8</v>
      </c>
      <c r="G79" s="3744"/>
    </row>
    <row r="80" spans="1:7">
      <c r="A80" s="4378"/>
      <c r="B80" s="3750" t="s">
        <v>3743</v>
      </c>
      <c r="C80" s="3743" t="s">
        <v>3362</v>
      </c>
      <c r="D80" s="3743">
        <v>10</v>
      </c>
      <c r="E80" s="3743">
        <v>0.04</v>
      </c>
      <c r="F80" s="3746"/>
      <c r="G80" s="3744"/>
    </row>
    <row r="81" spans="1:7">
      <c r="A81" s="4378"/>
      <c r="B81" s="3750" t="s">
        <v>3744</v>
      </c>
      <c r="C81" s="3743" t="s">
        <v>3362</v>
      </c>
      <c r="D81" s="3743">
        <v>10</v>
      </c>
      <c r="E81" s="3743">
        <v>0.1</v>
      </c>
      <c r="F81" s="3746"/>
      <c r="G81" s="3744"/>
    </row>
    <row r="82" spans="1:7">
      <c r="A82" s="4378"/>
      <c r="B82" s="3750" t="s">
        <v>3745</v>
      </c>
      <c r="C82" s="3743" t="s">
        <v>3362</v>
      </c>
      <c r="D82" s="3743">
        <v>10</v>
      </c>
      <c r="E82" s="3743">
        <v>0.26</v>
      </c>
      <c r="F82" s="3746"/>
      <c r="G82" s="3744"/>
    </row>
    <row r="83" spans="1:7">
      <c r="A83" s="4378"/>
      <c r="B83" s="3750" t="s">
        <v>3746</v>
      </c>
      <c r="C83" s="3743" t="s">
        <v>3737</v>
      </c>
      <c r="D83" s="3743">
        <v>10</v>
      </c>
      <c r="E83" s="3743">
        <v>0.41</v>
      </c>
      <c r="F83" s="3746">
        <f>295*E83*D83/10</f>
        <v>120.95</v>
      </c>
      <c r="G83" s="3744"/>
    </row>
    <row r="84" spans="1:7">
      <c r="A84" s="4378"/>
      <c r="B84" s="3750" t="s">
        <v>3747</v>
      </c>
      <c r="C84" s="3743" t="s">
        <v>3666</v>
      </c>
      <c r="D84" s="3743">
        <v>10</v>
      </c>
      <c r="E84" s="3743">
        <v>0.1</v>
      </c>
      <c r="F84" s="3746">
        <f>295*E84*D84/10</f>
        <v>29.5</v>
      </c>
      <c r="G84" s="3744"/>
    </row>
    <row r="85" spans="1:7">
      <c r="A85" s="4378"/>
      <c r="B85" s="3750" t="s">
        <v>3748</v>
      </c>
      <c r="C85" s="3743" t="s">
        <v>3666</v>
      </c>
      <c r="D85" s="3743">
        <v>10</v>
      </c>
      <c r="E85" s="3743">
        <v>0.31</v>
      </c>
      <c r="F85" s="3746">
        <f>295*E85*D85/10</f>
        <v>91.45</v>
      </c>
      <c r="G85" s="3744"/>
    </row>
    <row r="86" spans="1:7">
      <c r="A86" s="4378"/>
      <c r="B86" s="3750" t="s">
        <v>3749</v>
      </c>
      <c r="C86" s="3743" t="s">
        <v>3666</v>
      </c>
      <c r="D86" s="3743">
        <v>10</v>
      </c>
      <c r="E86" s="3743">
        <v>0.06</v>
      </c>
      <c r="F86" s="3746">
        <f>295*E86*D86/10</f>
        <v>17.7</v>
      </c>
      <c r="G86" s="3744"/>
    </row>
    <row r="87" spans="1:7">
      <c r="A87" s="4378"/>
      <c r="B87" s="3750" t="s">
        <v>3750</v>
      </c>
      <c r="C87" s="3743" t="s">
        <v>3666</v>
      </c>
      <c r="D87" s="3743">
        <v>10</v>
      </c>
      <c r="E87" s="3743">
        <v>7.0000000000000007E-2</v>
      </c>
      <c r="F87" s="3746"/>
      <c r="G87" s="3744"/>
    </row>
    <row r="88" spans="1:7">
      <c r="A88" s="4378"/>
      <c r="B88" s="3750" t="s">
        <v>3751</v>
      </c>
      <c r="C88" s="3743" t="s">
        <v>3666</v>
      </c>
      <c r="D88" s="3743">
        <v>10</v>
      </c>
      <c r="E88" s="3743">
        <v>0.03</v>
      </c>
      <c r="F88" s="3746">
        <f>295*E88*D88/10</f>
        <v>8.85</v>
      </c>
      <c r="G88" s="3744"/>
    </row>
    <row r="89" spans="1:7">
      <c r="A89" s="4378"/>
      <c r="B89" s="3750" t="s">
        <v>3752</v>
      </c>
      <c r="C89" s="3743" t="s">
        <v>3737</v>
      </c>
      <c r="D89" s="3743">
        <v>10</v>
      </c>
      <c r="E89" s="3743">
        <v>0.5</v>
      </c>
      <c r="F89" s="3746"/>
      <c r="G89" s="3744"/>
    </row>
    <row r="90" spans="1:7">
      <c r="A90" s="4378"/>
      <c r="B90" s="3750" t="s">
        <v>3753</v>
      </c>
      <c r="C90" s="3743" t="s">
        <v>3737</v>
      </c>
      <c r="D90" s="3743">
        <v>10</v>
      </c>
      <c r="E90" s="3743">
        <v>0.37</v>
      </c>
      <c r="F90" s="3746"/>
      <c r="G90" s="3744"/>
    </row>
    <row r="91" spans="1:7">
      <c r="B91" s="3743"/>
      <c r="C91" s="3743"/>
      <c r="D91" s="3743"/>
      <c r="E91" s="3743"/>
      <c r="F91" s="3746"/>
      <c r="G91" s="3744"/>
    </row>
    <row r="92" spans="1:7">
      <c r="A92" s="4379" t="s">
        <v>3754</v>
      </c>
      <c r="B92" s="3753" t="s">
        <v>3755</v>
      </c>
      <c r="C92" s="3754" t="s">
        <v>3756</v>
      </c>
      <c r="D92" s="3755">
        <v>10</v>
      </c>
      <c r="E92" s="3756">
        <v>6.1016950000000003</v>
      </c>
      <c r="F92" s="3754">
        <v>1800</v>
      </c>
      <c r="G92" s="3753"/>
    </row>
    <row r="93" spans="1:7">
      <c r="A93" s="4379"/>
      <c r="B93" s="3753" t="s">
        <v>3757</v>
      </c>
      <c r="C93" s="3754" t="s">
        <v>3756</v>
      </c>
      <c r="D93" s="3755">
        <v>10</v>
      </c>
      <c r="E93" s="3756">
        <v>4.0677969999999997</v>
      </c>
      <c r="F93" s="3754">
        <v>1200</v>
      </c>
      <c r="G93" s="3753"/>
    </row>
    <row r="94" spans="1:7">
      <c r="A94" s="4379"/>
      <c r="B94" s="3757" t="s">
        <v>3758</v>
      </c>
      <c r="C94" s="4380" t="s">
        <v>3759</v>
      </c>
      <c r="D94" s="3755">
        <v>10</v>
      </c>
      <c r="E94" s="3756">
        <v>0.169492</v>
      </c>
      <c r="F94" s="3754">
        <v>50</v>
      </c>
      <c r="G94" s="3754" t="s">
        <v>3760</v>
      </c>
    </row>
    <row r="95" spans="1:7">
      <c r="A95" s="4379"/>
      <c r="B95" s="3757" t="s">
        <v>3761</v>
      </c>
      <c r="C95" s="4380"/>
      <c r="D95" s="3755">
        <v>10</v>
      </c>
      <c r="E95" s="3756">
        <v>0.33898299999999998</v>
      </c>
      <c r="F95" s="3754">
        <v>100</v>
      </c>
      <c r="G95" s="3754" t="s">
        <v>3094</v>
      </c>
    </row>
    <row r="96" spans="1:7">
      <c r="A96" s="4379"/>
      <c r="B96" s="3757" t="s">
        <v>3762</v>
      </c>
      <c r="C96" s="4380"/>
      <c r="D96" s="3755">
        <v>10</v>
      </c>
      <c r="E96" s="3756">
        <v>0.67796599999999996</v>
      </c>
      <c r="F96" s="3754">
        <v>200</v>
      </c>
      <c r="G96" s="3754" t="s">
        <v>3763</v>
      </c>
    </row>
    <row r="97" spans="1:7">
      <c r="A97" s="4379"/>
      <c r="B97" s="3758" t="s">
        <v>3764</v>
      </c>
      <c r="C97" s="4380" t="s">
        <v>3362</v>
      </c>
      <c r="D97" s="3755">
        <v>10</v>
      </c>
      <c r="E97" s="3756">
        <v>0.33898299999999998</v>
      </c>
      <c r="F97" s="3754">
        <v>100</v>
      </c>
      <c r="G97" s="3754" t="s">
        <v>3765</v>
      </c>
    </row>
    <row r="98" spans="1:7">
      <c r="A98" s="4379"/>
      <c r="B98" s="3758" t="s">
        <v>3766</v>
      </c>
      <c r="C98" s="4380"/>
      <c r="D98" s="3755">
        <v>10</v>
      </c>
      <c r="E98" s="3756">
        <v>0.67796599999999996</v>
      </c>
      <c r="F98" s="3754">
        <v>200</v>
      </c>
      <c r="G98" s="3754" t="s">
        <v>3483</v>
      </c>
    </row>
    <row r="99" spans="1:7">
      <c r="A99" s="4379"/>
      <c r="B99" s="3758" t="s">
        <v>3767</v>
      </c>
      <c r="C99" s="4380"/>
      <c r="D99" s="3755">
        <v>10</v>
      </c>
      <c r="E99" s="3756">
        <v>1.0169490000000001</v>
      </c>
      <c r="F99" s="3754">
        <v>300</v>
      </c>
      <c r="G99" s="3754" t="s">
        <v>3763</v>
      </c>
    </row>
    <row r="100" spans="1:7">
      <c r="A100" s="4379"/>
      <c r="B100" s="3757" t="s">
        <v>3768</v>
      </c>
      <c r="C100" s="4380" t="s">
        <v>3362</v>
      </c>
      <c r="D100" s="3755">
        <v>10</v>
      </c>
      <c r="E100" s="3756">
        <v>1.0169490000000001</v>
      </c>
      <c r="F100" s="3754">
        <v>300</v>
      </c>
      <c r="G100" s="3754" t="s">
        <v>3769</v>
      </c>
    </row>
    <row r="101" spans="1:7">
      <c r="A101" s="4379"/>
      <c r="B101" s="3757" t="s">
        <v>3770</v>
      </c>
      <c r="C101" s="4380"/>
      <c r="D101" s="3755">
        <v>10</v>
      </c>
      <c r="E101" s="3756">
        <v>1.3559319999999999</v>
      </c>
      <c r="F101" s="3754">
        <v>400</v>
      </c>
      <c r="G101" s="3754" t="s">
        <v>3771</v>
      </c>
    </row>
    <row r="102" spans="1:7">
      <c r="A102" s="4379"/>
      <c r="B102" s="3758" t="s">
        <v>3772</v>
      </c>
      <c r="C102" s="4381" t="s">
        <v>3362</v>
      </c>
      <c r="D102" s="3755">
        <v>10</v>
      </c>
      <c r="E102" s="3756">
        <v>5.084746</v>
      </c>
      <c r="F102" s="3753">
        <v>1500</v>
      </c>
      <c r="G102" s="3753" t="s">
        <v>3773</v>
      </c>
    </row>
    <row r="103" spans="1:7">
      <c r="A103" s="4379"/>
      <c r="B103" s="3758" t="s">
        <v>3774</v>
      </c>
      <c r="C103" s="4381"/>
      <c r="D103" s="3755">
        <v>10</v>
      </c>
      <c r="E103" s="3756">
        <v>6.7796609999999999</v>
      </c>
      <c r="F103" s="3753">
        <v>2000</v>
      </c>
      <c r="G103" s="3753" t="s">
        <v>3775</v>
      </c>
    </row>
    <row r="104" spans="1:7">
      <c r="A104" s="4379"/>
      <c r="B104" s="3758" t="s">
        <v>3776</v>
      </c>
      <c r="C104" s="4381"/>
      <c r="D104" s="3755">
        <v>10</v>
      </c>
      <c r="E104" s="3756">
        <v>8.4745760000000008</v>
      </c>
      <c r="F104" s="3753">
        <v>2500</v>
      </c>
      <c r="G104" s="3753" t="s">
        <v>3777</v>
      </c>
    </row>
    <row r="105" spans="1:7">
      <c r="A105" s="4379"/>
      <c r="B105" s="3757" t="s">
        <v>3778</v>
      </c>
      <c r="C105" s="4381" t="s">
        <v>3362</v>
      </c>
      <c r="D105" s="3755">
        <v>10</v>
      </c>
      <c r="E105" s="3756">
        <v>2.7118639999999998</v>
      </c>
      <c r="F105" s="3753">
        <v>800</v>
      </c>
      <c r="G105" s="3753" t="s">
        <v>3779</v>
      </c>
    </row>
    <row r="106" spans="1:7">
      <c r="A106" s="4379"/>
      <c r="B106" s="3757" t="s">
        <v>3780</v>
      </c>
      <c r="C106" s="4381"/>
      <c r="D106" s="3755">
        <v>10</v>
      </c>
      <c r="E106" s="3756">
        <v>6.7796609999999999</v>
      </c>
      <c r="F106" s="3753">
        <v>2000</v>
      </c>
      <c r="G106" s="3753" t="s">
        <v>3781</v>
      </c>
    </row>
    <row r="107" spans="1:7">
      <c r="A107" s="4379"/>
      <c r="B107" s="3757" t="s">
        <v>3782</v>
      </c>
      <c r="C107" s="4381"/>
      <c r="D107" s="3755">
        <v>10</v>
      </c>
      <c r="E107" s="3756">
        <v>8.4745760000000008</v>
      </c>
      <c r="F107" s="3753">
        <v>2500</v>
      </c>
      <c r="G107" s="3753" t="s">
        <v>3783</v>
      </c>
    </row>
    <row r="108" spans="1:7">
      <c r="A108" s="4379"/>
      <c r="B108" s="3757" t="s">
        <v>3784</v>
      </c>
      <c r="C108" s="4381"/>
      <c r="D108" s="3755">
        <v>10</v>
      </c>
      <c r="E108" s="3756">
        <v>10.169492</v>
      </c>
      <c r="F108" s="3753">
        <v>3000</v>
      </c>
      <c r="G108" s="3753" t="s">
        <v>3785</v>
      </c>
    </row>
    <row r="109" spans="1:7">
      <c r="A109" s="4379"/>
      <c r="B109" s="3759" t="s">
        <v>3786</v>
      </c>
      <c r="C109" s="4381" t="s">
        <v>3759</v>
      </c>
      <c r="D109" s="3755">
        <v>10</v>
      </c>
      <c r="E109" s="3756">
        <v>0.20338999999999999</v>
      </c>
      <c r="F109" s="3753">
        <v>60</v>
      </c>
      <c r="G109" s="3753" t="s">
        <v>3786</v>
      </c>
    </row>
    <row r="110" spans="1:7">
      <c r="A110" s="4379"/>
      <c r="B110" s="3760" t="s">
        <v>3787</v>
      </c>
      <c r="C110" s="4381"/>
      <c r="D110" s="3755">
        <v>10</v>
      </c>
      <c r="E110" s="3756">
        <v>0.50847500000000001</v>
      </c>
      <c r="F110" s="3753">
        <v>150</v>
      </c>
      <c r="G110" s="3753" t="s">
        <v>3788</v>
      </c>
    </row>
    <row r="111" spans="1:7">
      <c r="A111" s="4379"/>
      <c r="B111" s="3760" t="s">
        <v>3789</v>
      </c>
      <c r="C111" s="4381"/>
      <c r="D111" s="3755">
        <v>10</v>
      </c>
      <c r="E111" s="3756">
        <v>0.67796599999999996</v>
      </c>
      <c r="F111" s="3753">
        <v>200</v>
      </c>
      <c r="G111" s="3753" t="s">
        <v>3790</v>
      </c>
    </row>
    <row r="112" spans="1:7">
      <c r="A112" s="4379"/>
      <c r="B112" s="3757" t="s">
        <v>3791</v>
      </c>
      <c r="C112" s="4381" t="s">
        <v>3759</v>
      </c>
      <c r="D112" s="3755">
        <v>10</v>
      </c>
      <c r="E112" s="3756">
        <v>0.84745800000000004</v>
      </c>
      <c r="F112" s="3753">
        <v>250</v>
      </c>
      <c r="G112" s="3754" t="s">
        <v>3792</v>
      </c>
    </row>
    <row r="113" spans="1:7">
      <c r="A113" s="4379"/>
      <c r="B113" s="3757" t="s">
        <v>3793</v>
      </c>
      <c r="C113" s="4381"/>
      <c r="D113" s="3755">
        <v>10</v>
      </c>
      <c r="E113" s="3756">
        <v>1.1864410000000001</v>
      </c>
      <c r="F113" s="3753">
        <v>350</v>
      </c>
      <c r="G113" s="3754" t="s">
        <v>3794</v>
      </c>
    </row>
    <row r="114" spans="1:7">
      <c r="A114" s="4379"/>
      <c r="B114" s="3758" t="s">
        <v>3795</v>
      </c>
      <c r="C114" s="4381" t="s">
        <v>3796</v>
      </c>
      <c r="D114" s="3755">
        <v>10</v>
      </c>
      <c r="E114" s="3756">
        <v>1.6949149999999999</v>
      </c>
      <c r="F114" s="3753">
        <v>500</v>
      </c>
      <c r="G114" s="3761" t="s">
        <v>3797</v>
      </c>
    </row>
    <row r="115" spans="1:7">
      <c r="A115" s="4379"/>
      <c r="B115" s="3758" t="s">
        <v>3798</v>
      </c>
      <c r="C115" s="4381"/>
      <c r="D115" s="3755">
        <v>10</v>
      </c>
      <c r="E115" s="3756">
        <v>3.389831</v>
      </c>
      <c r="F115" s="3753">
        <v>1000</v>
      </c>
      <c r="G115" s="3761" t="s">
        <v>3799</v>
      </c>
    </row>
    <row r="116" spans="1:7">
      <c r="A116" s="4379"/>
      <c r="B116" s="3757" t="s">
        <v>3800</v>
      </c>
      <c r="C116" s="4380" t="s">
        <v>3737</v>
      </c>
      <c r="D116" s="3755">
        <v>10</v>
      </c>
      <c r="E116" s="3756">
        <v>1.3559319999999999</v>
      </c>
      <c r="F116" s="3754">
        <v>400</v>
      </c>
      <c r="G116" s="3754" t="s">
        <v>3801</v>
      </c>
    </row>
    <row r="117" spans="1:7">
      <c r="A117" s="4379"/>
      <c r="B117" s="3757" t="s">
        <v>3802</v>
      </c>
      <c r="C117" s="4380"/>
      <c r="D117" s="3755">
        <v>10</v>
      </c>
      <c r="E117" s="3756">
        <v>2.0338980000000002</v>
      </c>
      <c r="F117" s="3754">
        <v>600</v>
      </c>
      <c r="G117" s="3754" t="s">
        <v>3803</v>
      </c>
    </row>
    <row r="118" spans="1:7" ht="24">
      <c r="A118" s="4379"/>
      <c r="B118" s="3757" t="s">
        <v>3804</v>
      </c>
      <c r="C118" s="4380"/>
      <c r="D118" s="3755">
        <v>10</v>
      </c>
      <c r="E118" s="3756">
        <v>2.7118639999999998</v>
      </c>
      <c r="F118" s="3754">
        <v>800</v>
      </c>
      <c r="G118" s="3754" t="s">
        <v>3805</v>
      </c>
    </row>
    <row r="119" spans="1:7">
      <c r="A119" s="4379"/>
      <c r="B119" s="3758" t="s">
        <v>3806</v>
      </c>
      <c r="C119" s="4380" t="s">
        <v>3759</v>
      </c>
      <c r="D119" s="3755">
        <v>10</v>
      </c>
      <c r="E119" s="3756">
        <v>0.33898299999999998</v>
      </c>
      <c r="F119" s="3754">
        <v>100</v>
      </c>
      <c r="G119" s="3754" t="s">
        <v>3807</v>
      </c>
    </row>
    <row r="120" spans="1:7">
      <c r="A120" s="4379"/>
      <c r="B120" s="3758" t="s">
        <v>3808</v>
      </c>
      <c r="C120" s="4380"/>
      <c r="D120" s="3755">
        <v>10</v>
      </c>
      <c r="E120" s="3756">
        <v>0.67796599999999996</v>
      </c>
      <c r="F120" s="3754">
        <v>200</v>
      </c>
      <c r="G120" s="3754" t="s">
        <v>3809</v>
      </c>
    </row>
    <row r="121" spans="1:7">
      <c r="A121" s="4379"/>
      <c r="B121" s="3757" t="s">
        <v>3810</v>
      </c>
      <c r="C121" s="4380"/>
      <c r="D121" s="3755">
        <v>10</v>
      </c>
      <c r="E121" s="3756">
        <v>0.67796599999999996</v>
      </c>
      <c r="F121" s="3754">
        <v>200</v>
      </c>
      <c r="G121" s="3754" t="s">
        <v>3797</v>
      </c>
    </row>
    <row r="122" spans="1:7">
      <c r="A122" s="4379"/>
      <c r="B122" s="3757" t="s">
        <v>3811</v>
      </c>
      <c r="C122" s="4380"/>
      <c r="D122" s="3755">
        <v>10</v>
      </c>
      <c r="E122" s="3756">
        <v>1.3559319999999999</v>
      </c>
      <c r="F122" s="3754">
        <v>400</v>
      </c>
      <c r="G122" s="3754" t="s">
        <v>3809</v>
      </c>
    </row>
    <row r="123" spans="1:7">
      <c r="A123" s="4379"/>
      <c r="B123" s="3758" t="s">
        <v>3812</v>
      </c>
      <c r="C123" s="4380" t="s">
        <v>3362</v>
      </c>
      <c r="D123" s="3755">
        <v>10</v>
      </c>
      <c r="E123" s="3756">
        <v>5.4237289999999998</v>
      </c>
      <c r="F123" s="3754">
        <v>1600</v>
      </c>
      <c r="G123" s="3754" t="s">
        <v>3813</v>
      </c>
    </row>
    <row r="124" spans="1:7">
      <c r="A124" s="4379"/>
      <c r="B124" s="3758" t="s">
        <v>3814</v>
      </c>
      <c r="C124" s="4380"/>
      <c r="D124" s="3755">
        <v>10</v>
      </c>
      <c r="E124" s="3756">
        <v>6.7796609999999999</v>
      </c>
      <c r="F124" s="3754">
        <v>2000</v>
      </c>
      <c r="G124" s="3754" t="s">
        <v>3815</v>
      </c>
    </row>
    <row r="125" spans="1:7">
      <c r="A125" s="4379"/>
      <c r="B125" s="3758" t="s">
        <v>3816</v>
      </c>
      <c r="C125" s="4380"/>
      <c r="D125" s="3755">
        <v>10</v>
      </c>
      <c r="E125" s="3756">
        <v>8.1355930000000001</v>
      </c>
      <c r="F125" s="3754">
        <v>2400</v>
      </c>
      <c r="G125" s="3754" t="s">
        <v>3817</v>
      </c>
    </row>
    <row r="126" spans="1:7">
      <c r="A126" s="4379"/>
      <c r="B126" s="3757" t="s">
        <v>3818</v>
      </c>
      <c r="C126" s="4380" t="s">
        <v>3819</v>
      </c>
      <c r="D126" s="3755">
        <v>10</v>
      </c>
      <c r="E126" s="3756">
        <v>2.7118639999999998</v>
      </c>
      <c r="F126" s="3754">
        <v>800</v>
      </c>
      <c r="G126" s="3754"/>
    </row>
    <row r="127" spans="1:7">
      <c r="A127" s="4379"/>
      <c r="B127" s="3757" t="s">
        <v>3820</v>
      </c>
      <c r="C127" s="4380"/>
      <c r="D127" s="3755">
        <v>10</v>
      </c>
      <c r="E127" s="3756">
        <v>3.389831</v>
      </c>
      <c r="F127" s="3754">
        <v>1000</v>
      </c>
      <c r="G127" s="3762" t="s">
        <v>3821</v>
      </c>
    </row>
    <row r="128" spans="1:7" ht="24">
      <c r="A128" s="4379"/>
      <c r="B128" s="3757" t="s">
        <v>3822</v>
      </c>
      <c r="C128" s="4380"/>
      <c r="D128" s="3755">
        <v>10</v>
      </c>
      <c r="E128" s="3756">
        <v>6.1016950000000003</v>
      </c>
      <c r="F128" s="3754">
        <v>1800</v>
      </c>
      <c r="G128" s="3762" t="s">
        <v>3823</v>
      </c>
    </row>
    <row r="129" spans="1:7" ht="24">
      <c r="A129" s="4379"/>
      <c r="B129" s="3754" t="s">
        <v>3824</v>
      </c>
      <c r="C129" s="3754" t="s">
        <v>3825</v>
      </c>
      <c r="D129" s="3755">
        <v>10</v>
      </c>
      <c r="E129" s="3756">
        <v>7.4576269999999996</v>
      </c>
      <c r="F129" s="3754">
        <v>2200</v>
      </c>
      <c r="G129" s="3754" t="s">
        <v>3826</v>
      </c>
    </row>
    <row r="130" spans="1:7">
      <c r="A130" s="4379"/>
      <c r="B130" s="3754" t="s">
        <v>3827</v>
      </c>
      <c r="C130" s="3753" t="s">
        <v>3759</v>
      </c>
      <c r="D130" s="3755">
        <v>10</v>
      </c>
      <c r="E130" s="3756">
        <v>1.0169490000000001</v>
      </c>
      <c r="F130" s="3754">
        <v>300</v>
      </c>
      <c r="G130" s="3754"/>
    </row>
    <row r="131" spans="1:7">
      <c r="A131" s="4379"/>
      <c r="B131" s="3753" t="s">
        <v>3828</v>
      </c>
      <c r="C131" s="3753" t="s">
        <v>3759</v>
      </c>
      <c r="D131" s="3755">
        <v>10</v>
      </c>
      <c r="E131" s="3756">
        <v>0.50847500000000001</v>
      </c>
      <c r="F131" s="3753">
        <v>150</v>
      </c>
      <c r="G131" s="3753"/>
    </row>
    <row r="132" spans="1:7">
      <c r="A132" s="4379"/>
      <c r="B132" s="3753" t="s">
        <v>3829</v>
      </c>
      <c r="C132" s="3753" t="s">
        <v>3796</v>
      </c>
      <c r="D132" s="3755">
        <v>10</v>
      </c>
      <c r="E132" s="3756">
        <v>0.33898299999999998</v>
      </c>
      <c r="F132" s="3753">
        <v>100</v>
      </c>
      <c r="G132" s="3753"/>
    </row>
    <row r="133" spans="1:7">
      <c r="A133" s="4379"/>
      <c r="B133" s="3753" t="s">
        <v>3830</v>
      </c>
      <c r="C133" s="3753" t="s">
        <v>3796</v>
      </c>
      <c r="D133" s="3755">
        <v>10</v>
      </c>
      <c r="E133" s="3756">
        <v>0.67796599999999996</v>
      </c>
      <c r="F133" s="3753">
        <v>200</v>
      </c>
      <c r="G133" s="3753"/>
    </row>
    <row r="134" spans="1:7">
      <c r="A134" s="4379"/>
      <c r="B134" s="3753" t="s">
        <v>3831</v>
      </c>
      <c r="C134" s="3753" t="s">
        <v>3796</v>
      </c>
      <c r="D134" s="3755">
        <v>10</v>
      </c>
      <c r="E134" s="3756">
        <v>1.0169490000000001</v>
      </c>
      <c r="F134" s="3753">
        <v>300</v>
      </c>
      <c r="G134" s="3753"/>
    </row>
    <row r="135" spans="1:7">
      <c r="A135" s="4379"/>
      <c r="B135" s="3753" t="s">
        <v>3832</v>
      </c>
      <c r="C135" s="3753" t="s">
        <v>3796</v>
      </c>
      <c r="D135" s="3755">
        <v>10</v>
      </c>
      <c r="E135" s="3756">
        <v>4.0677969999999997</v>
      </c>
      <c r="F135" s="3753">
        <v>1200</v>
      </c>
      <c r="G135" s="3762"/>
    </row>
    <row r="136" spans="1:7">
      <c r="A136" s="4379"/>
      <c r="B136" s="3754" t="s">
        <v>3833</v>
      </c>
      <c r="C136" s="3754" t="s">
        <v>3796</v>
      </c>
      <c r="D136" s="3755">
        <v>10</v>
      </c>
      <c r="E136" s="3756">
        <v>2.372881</v>
      </c>
      <c r="F136" s="3754">
        <v>700</v>
      </c>
      <c r="G136" s="3754"/>
    </row>
    <row r="137" spans="1:7">
      <c r="A137" s="4379"/>
      <c r="B137" s="3754" t="s">
        <v>3834</v>
      </c>
      <c r="C137" s="3754" t="s">
        <v>3796</v>
      </c>
      <c r="D137" s="3755">
        <v>10</v>
      </c>
      <c r="E137" s="3756">
        <v>3.389831</v>
      </c>
      <c r="F137" s="3754">
        <v>1000</v>
      </c>
      <c r="G137" s="3754"/>
    </row>
    <row r="138" spans="1:7">
      <c r="A138" s="4379"/>
      <c r="B138" s="3754" t="s">
        <v>3835</v>
      </c>
      <c r="C138" s="3753" t="s">
        <v>3362</v>
      </c>
      <c r="D138" s="3755">
        <v>10</v>
      </c>
      <c r="E138" s="3756">
        <v>1.6949149999999999</v>
      </c>
      <c r="F138" s="3753">
        <v>500</v>
      </c>
      <c r="G138" s="3753" t="s">
        <v>3836</v>
      </c>
    </row>
    <row r="139" spans="1:7">
      <c r="A139" s="4379"/>
      <c r="B139" s="3754" t="s">
        <v>3837</v>
      </c>
      <c r="C139" s="4380" t="s">
        <v>3737</v>
      </c>
      <c r="D139" s="3755">
        <v>10</v>
      </c>
      <c r="E139" s="3756">
        <v>2.7118639999999998</v>
      </c>
      <c r="F139" s="3754">
        <v>800</v>
      </c>
      <c r="G139" s="3754" t="s">
        <v>3838</v>
      </c>
    </row>
    <row r="140" spans="1:7">
      <c r="A140" s="4379"/>
      <c r="B140" s="3754" t="s">
        <v>3839</v>
      </c>
      <c r="C140" s="4380"/>
      <c r="D140" s="3755">
        <v>10</v>
      </c>
      <c r="E140" s="3756">
        <v>4.7457630000000002</v>
      </c>
      <c r="F140" s="3754">
        <v>1400</v>
      </c>
      <c r="G140" s="3754" t="s">
        <v>3797</v>
      </c>
    </row>
    <row r="141" spans="1:7">
      <c r="A141" s="4379"/>
      <c r="B141" s="3754" t="s">
        <v>3840</v>
      </c>
      <c r="C141" s="4380"/>
      <c r="D141" s="3755">
        <v>10</v>
      </c>
      <c r="E141" s="3756">
        <v>7.4576269999999996</v>
      </c>
      <c r="F141" s="3754">
        <v>2200</v>
      </c>
      <c r="G141" s="3754" t="s">
        <v>3841</v>
      </c>
    </row>
    <row r="142" spans="1:7">
      <c r="A142" s="4379"/>
      <c r="B142" s="3754" t="s">
        <v>3842</v>
      </c>
      <c r="C142" s="3753" t="s">
        <v>3759</v>
      </c>
      <c r="D142" s="3755">
        <v>10</v>
      </c>
      <c r="E142" s="3756">
        <v>0.74576299999999995</v>
      </c>
      <c r="F142" s="3754">
        <v>220</v>
      </c>
      <c r="G142" s="3754"/>
    </row>
    <row r="143" spans="1:7">
      <c r="A143" s="4379"/>
      <c r="B143" s="3754" t="s">
        <v>3843</v>
      </c>
      <c r="C143" s="3753" t="s">
        <v>3759</v>
      </c>
      <c r="D143" s="3755">
        <v>10</v>
      </c>
      <c r="E143" s="3756">
        <v>1.0169490000000001</v>
      </c>
      <c r="F143" s="3754">
        <v>300</v>
      </c>
      <c r="G143" s="3754"/>
    </row>
    <row r="144" spans="1:7">
      <c r="A144" s="4379"/>
      <c r="B144" s="3754" t="s">
        <v>3844</v>
      </c>
      <c r="C144" s="3753" t="s">
        <v>3759</v>
      </c>
      <c r="D144" s="3755">
        <v>10</v>
      </c>
      <c r="E144" s="3756">
        <v>0.74576299999999995</v>
      </c>
      <c r="F144" s="3754">
        <v>220</v>
      </c>
      <c r="G144" s="3754"/>
    </row>
    <row r="145" spans="1:7">
      <c r="A145" s="4379"/>
      <c r="B145" s="3754" t="s">
        <v>3845</v>
      </c>
      <c r="C145" s="3754" t="s">
        <v>3825</v>
      </c>
      <c r="D145" s="3755">
        <v>10</v>
      </c>
      <c r="E145" s="3756">
        <v>5.084746</v>
      </c>
      <c r="F145" s="3754">
        <v>1500</v>
      </c>
      <c r="G145" s="3754" t="s">
        <v>3826</v>
      </c>
    </row>
    <row r="146" spans="1:7">
      <c r="A146" s="4379"/>
      <c r="B146" s="3754" t="s">
        <v>3846</v>
      </c>
      <c r="C146" s="3754" t="s">
        <v>3825</v>
      </c>
      <c r="D146" s="3755">
        <v>10</v>
      </c>
      <c r="E146" s="3756">
        <v>10.169492</v>
      </c>
      <c r="F146" s="3754">
        <v>3000</v>
      </c>
      <c r="G146" s="3754"/>
    </row>
    <row r="147" spans="1:7">
      <c r="A147" s="4379"/>
      <c r="B147" s="3763" t="s">
        <v>3847</v>
      </c>
      <c r="C147" s="3763" t="s">
        <v>3759</v>
      </c>
      <c r="D147" s="3755">
        <v>10</v>
      </c>
      <c r="E147" s="3764">
        <v>1.0169490000000001</v>
      </c>
      <c r="F147" s="3763">
        <v>300</v>
      </c>
      <c r="G147" s="3763"/>
    </row>
    <row r="148" spans="1:7">
      <c r="A148" s="4379"/>
      <c r="B148" s="3754" t="s">
        <v>3848</v>
      </c>
      <c r="C148" s="3753" t="s">
        <v>3759</v>
      </c>
      <c r="D148" s="3755">
        <v>10</v>
      </c>
      <c r="E148" s="3756">
        <v>0.20338999999999999</v>
      </c>
      <c r="F148" s="3754">
        <v>60</v>
      </c>
      <c r="G148" s="3754" t="s">
        <v>3849</v>
      </c>
    </row>
    <row r="149" spans="1:7">
      <c r="A149" s="4379"/>
      <c r="B149" s="3754" t="s">
        <v>3850</v>
      </c>
      <c r="C149" s="3753" t="s">
        <v>3759</v>
      </c>
      <c r="D149" s="3755">
        <v>10</v>
      </c>
      <c r="E149" s="3756">
        <v>0.25423699999999999</v>
      </c>
      <c r="F149" s="3754">
        <v>75</v>
      </c>
      <c r="G149" s="3754" t="s">
        <v>3851</v>
      </c>
    </row>
    <row r="150" spans="1:7">
      <c r="A150" s="4379"/>
      <c r="B150" s="3754" t="s">
        <v>3852</v>
      </c>
      <c r="C150" s="3753" t="s">
        <v>3759</v>
      </c>
      <c r="D150" s="3755">
        <v>10</v>
      </c>
      <c r="E150" s="3756">
        <v>1.6949149999999999</v>
      </c>
      <c r="F150" s="3754">
        <v>500</v>
      </c>
      <c r="G150" s="3754"/>
    </row>
    <row r="151" spans="1:7">
      <c r="A151" s="4379"/>
      <c r="B151" s="3754" t="s">
        <v>3853</v>
      </c>
      <c r="C151" s="3754" t="s">
        <v>3825</v>
      </c>
      <c r="D151" s="3755">
        <v>10</v>
      </c>
      <c r="E151" s="3756">
        <v>2.0610170000000001</v>
      </c>
      <c r="F151" s="3754">
        <v>608</v>
      </c>
      <c r="G151" s="3765" t="s">
        <v>3854</v>
      </c>
    </row>
    <row r="152" spans="1:7">
      <c r="A152" s="4379"/>
      <c r="B152" s="3754" t="s">
        <v>3855</v>
      </c>
      <c r="C152" s="3754" t="s">
        <v>3664</v>
      </c>
      <c r="D152" s="3755">
        <v>10</v>
      </c>
      <c r="E152" s="3756">
        <v>101.69491499999999</v>
      </c>
      <c r="F152" s="3754">
        <v>30000</v>
      </c>
      <c r="G152" s="3754"/>
    </row>
    <row r="153" spans="1:7">
      <c r="A153" s="4379"/>
      <c r="B153" s="3754" t="s">
        <v>3856</v>
      </c>
      <c r="C153" s="3754" t="s">
        <v>3664</v>
      </c>
      <c r="D153" s="3755">
        <v>10</v>
      </c>
      <c r="E153" s="3756">
        <v>67.796610000000001</v>
      </c>
      <c r="F153" s="3754">
        <v>20000</v>
      </c>
      <c r="G153" s="3754"/>
    </row>
    <row r="154" spans="1:7">
      <c r="A154" s="4379"/>
      <c r="B154" s="3754" t="s">
        <v>3857</v>
      </c>
      <c r="C154" s="3766" t="s">
        <v>3858</v>
      </c>
      <c r="D154" s="3755">
        <v>10</v>
      </c>
      <c r="E154" s="3756">
        <v>0.83728800000000003</v>
      </c>
      <c r="F154" s="3754">
        <v>247</v>
      </c>
      <c r="G154" s="3754"/>
    </row>
    <row r="155" spans="1:7">
      <c r="A155" s="4379"/>
      <c r="B155" s="3754" t="s">
        <v>3859</v>
      </c>
      <c r="C155" s="3766" t="s">
        <v>3858</v>
      </c>
      <c r="D155" s="3755">
        <v>10</v>
      </c>
      <c r="E155" s="3756">
        <v>0.56610199999999999</v>
      </c>
      <c r="F155" s="3754">
        <v>167</v>
      </c>
      <c r="G155" s="3754"/>
    </row>
    <row r="156" spans="1:7">
      <c r="A156" s="4379"/>
      <c r="B156" s="3754" t="s">
        <v>3860</v>
      </c>
      <c r="C156" s="3753" t="s">
        <v>3759</v>
      </c>
      <c r="D156" s="3755">
        <v>10</v>
      </c>
      <c r="E156" s="3756">
        <v>0.169492</v>
      </c>
      <c r="F156" s="3754">
        <v>50</v>
      </c>
      <c r="G156" s="3754"/>
    </row>
    <row r="157" spans="1:7">
      <c r="A157" s="4379"/>
      <c r="B157" s="3754" t="s">
        <v>3861</v>
      </c>
      <c r="C157" s="3753" t="s">
        <v>3759</v>
      </c>
      <c r="D157" s="3755">
        <v>10</v>
      </c>
      <c r="E157" s="3756">
        <v>1.6949149999999999</v>
      </c>
      <c r="F157" s="3754">
        <v>500</v>
      </c>
      <c r="G157" s="3753" t="s">
        <v>3862</v>
      </c>
    </row>
    <row r="158" spans="1:7">
      <c r="A158" s="4379"/>
      <c r="B158" s="3754" t="s">
        <v>3863</v>
      </c>
      <c r="C158" s="3753" t="s">
        <v>3759</v>
      </c>
      <c r="D158" s="3755">
        <v>10</v>
      </c>
      <c r="E158" s="3756">
        <v>5.0847000000000003E-2</v>
      </c>
      <c r="F158" s="3754">
        <v>15</v>
      </c>
      <c r="G158" s="3753"/>
    </row>
    <row r="159" spans="1:7">
      <c r="A159" s="4379"/>
      <c r="B159" s="3754" t="s">
        <v>3864</v>
      </c>
      <c r="C159" s="3753" t="s">
        <v>3759</v>
      </c>
      <c r="D159" s="3755">
        <v>10</v>
      </c>
      <c r="E159" s="3756">
        <v>0.46779700000000002</v>
      </c>
      <c r="F159" s="3754">
        <v>138</v>
      </c>
      <c r="G159" s="3753"/>
    </row>
    <row r="160" spans="1:7">
      <c r="A160" s="4379"/>
      <c r="B160" s="3754" t="s">
        <v>3865</v>
      </c>
      <c r="C160" s="3753" t="s">
        <v>3759</v>
      </c>
      <c r="D160" s="3755">
        <v>10</v>
      </c>
      <c r="E160" s="3756">
        <v>0.40677999999999997</v>
      </c>
      <c r="F160" s="3754">
        <v>120</v>
      </c>
      <c r="G160" s="3753"/>
    </row>
    <row r="161" spans="1:7">
      <c r="A161" s="4379"/>
      <c r="B161" s="3754" t="s">
        <v>3866</v>
      </c>
      <c r="C161" s="3753" t="s">
        <v>3759</v>
      </c>
      <c r="D161" s="3755">
        <v>10</v>
      </c>
      <c r="E161" s="3756">
        <v>0.67118599999999995</v>
      </c>
      <c r="F161" s="3754">
        <v>198</v>
      </c>
      <c r="G161" s="3753"/>
    </row>
    <row r="162" spans="1:7">
      <c r="A162" s="4379"/>
      <c r="B162" s="3754" t="s">
        <v>3867</v>
      </c>
      <c r="C162" s="3753" t="s">
        <v>3759</v>
      </c>
      <c r="D162" s="3755">
        <v>10</v>
      </c>
      <c r="E162" s="3756">
        <v>1.2271190000000001</v>
      </c>
      <c r="F162" s="3754">
        <v>362</v>
      </c>
      <c r="G162" s="3753"/>
    </row>
    <row r="163" spans="1:7">
      <c r="A163" s="4379"/>
      <c r="B163" s="3754" t="s">
        <v>3868</v>
      </c>
      <c r="C163" s="3753" t="s">
        <v>3759</v>
      </c>
      <c r="D163" s="3755">
        <v>10</v>
      </c>
      <c r="E163" s="3756">
        <v>1.2271190000000001</v>
      </c>
      <c r="F163" s="3754">
        <v>362</v>
      </c>
      <c r="G163" s="3754"/>
    </row>
    <row r="164" spans="1:7">
      <c r="A164" s="4379"/>
      <c r="B164" s="3754" t="s">
        <v>3869</v>
      </c>
      <c r="C164" s="3766" t="s">
        <v>3858</v>
      </c>
      <c r="D164" s="3755">
        <v>10</v>
      </c>
      <c r="E164" s="3756">
        <v>0.71186400000000005</v>
      </c>
      <c r="F164" s="3754">
        <v>210</v>
      </c>
      <c r="G164" s="3754"/>
    </row>
    <row r="165" spans="1:7">
      <c r="A165" s="4379"/>
      <c r="B165" s="3767"/>
      <c r="C165" s="3767"/>
      <c r="D165" s="3755">
        <v>10</v>
      </c>
      <c r="E165" s="3768"/>
      <c r="F165" s="3767"/>
      <c r="G165" s="3767"/>
    </row>
    <row r="166" spans="1:7">
      <c r="A166" s="4379"/>
      <c r="B166" s="3754" t="s">
        <v>3870</v>
      </c>
      <c r="C166" s="3754" t="s">
        <v>3871</v>
      </c>
      <c r="D166" s="3755">
        <v>10</v>
      </c>
      <c r="E166" s="3754">
        <v>1.2881359999999999</v>
      </c>
      <c r="F166" s="3754">
        <v>380</v>
      </c>
      <c r="G166" s="3754"/>
    </row>
    <row r="167" spans="1:7">
      <c r="A167" s="4379"/>
      <c r="B167" s="3754" t="s">
        <v>3872</v>
      </c>
      <c r="C167" s="3754" t="s">
        <v>3871</v>
      </c>
      <c r="D167" s="3755">
        <v>10</v>
      </c>
      <c r="E167" s="3754">
        <v>1.6949149999999999</v>
      </c>
      <c r="F167" s="3754">
        <v>500</v>
      </c>
      <c r="G167" s="3754"/>
    </row>
    <row r="168" spans="1:7">
      <c r="A168" s="4379"/>
      <c r="B168" s="3754" t="s">
        <v>3873</v>
      </c>
      <c r="C168" s="3754" t="s">
        <v>3871</v>
      </c>
      <c r="D168" s="3755">
        <v>10</v>
      </c>
      <c r="E168" s="3754">
        <v>0.67796599999999996</v>
      </c>
      <c r="F168" s="3754">
        <v>200</v>
      </c>
      <c r="G168" s="3754"/>
    </row>
    <row r="169" spans="1:7">
      <c r="A169" s="4379"/>
      <c r="B169" s="3754" t="s">
        <v>3874</v>
      </c>
      <c r="C169" s="3754" t="s">
        <v>3871</v>
      </c>
      <c r="D169" s="3755">
        <v>10</v>
      </c>
      <c r="E169" s="3754">
        <v>1.0169490000000001</v>
      </c>
      <c r="F169" s="3754">
        <v>300</v>
      </c>
      <c r="G169" s="3754"/>
    </row>
    <row r="170" spans="1:7">
      <c r="A170" s="4379"/>
      <c r="B170" s="3754" t="s">
        <v>3875</v>
      </c>
      <c r="C170" s="3754" t="s">
        <v>3819</v>
      </c>
      <c r="D170" s="3755">
        <v>10</v>
      </c>
      <c r="E170" s="3754">
        <v>0.169492</v>
      </c>
      <c r="F170" s="3754">
        <v>50</v>
      </c>
      <c r="G170" s="3754" t="s">
        <v>3876</v>
      </c>
    </row>
    <row r="171" spans="1:7">
      <c r="A171" s="4379"/>
      <c r="B171" s="3754" t="s">
        <v>3877</v>
      </c>
      <c r="C171" s="3754" t="s">
        <v>3871</v>
      </c>
      <c r="D171" s="3755">
        <v>10</v>
      </c>
      <c r="E171" s="3754">
        <v>5.0847000000000003E-2</v>
      </c>
      <c r="F171" s="3754">
        <v>15</v>
      </c>
      <c r="G171" s="3754" t="s">
        <v>3878</v>
      </c>
    </row>
    <row r="172" spans="1:7">
      <c r="A172" s="4379"/>
      <c r="B172" s="3754" t="s">
        <v>3879</v>
      </c>
      <c r="C172" s="3754"/>
      <c r="D172" s="3755"/>
      <c r="E172" s="3769"/>
      <c r="F172" s="3754">
        <v>32</v>
      </c>
      <c r="G172" s="3754" t="s">
        <v>3880</v>
      </c>
    </row>
    <row r="173" spans="1:7">
      <c r="A173" s="4379"/>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249977111117893"/>
  </sheetPr>
  <dimension ref="A1:I28"/>
  <sheetViews>
    <sheetView workbookViewId="0">
      <selection activeCell="D5" sqref="D5"/>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382" t="s">
        <v>4252</v>
      </c>
      <c r="B1" s="4383"/>
      <c r="C1" s="4383"/>
      <c r="D1" s="4383"/>
      <c r="E1" s="4383"/>
      <c r="F1" s="4383"/>
      <c r="G1" s="4383"/>
      <c r="H1" s="4383"/>
      <c r="I1" s="4383"/>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267508</v>
      </c>
      <c r="E3" s="3281" t="s">
        <v>3021</v>
      </c>
      <c r="F3" s="3337">
        <v>75.8</v>
      </c>
      <c r="G3" s="3337">
        <v>1</v>
      </c>
      <c r="H3" s="3337">
        <f>'输机表-建筑物及附属物'!Z30</f>
        <v>71477</v>
      </c>
      <c r="I3" s="3337"/>
    </row>
    <row r="4" spans="1:9" ht="21.75" customHeight="1">
      <c r="A4" s="3281" t="s">
        <v>3020</v>
      </c>
      <c r="B4" s="3337">
        <v>72.36</v>
      </c>
      <c r="C4" s="3337">
        <v>1</v>
      </c>
      <c r="D4" s="3337">
        <f>'输机表-建筑物及附属物'!D30</f>
        <v>56630</v>
      </c>
      <c r="E4" s="3281" t="s">
        <v>3025</v>
      </c>
      <c r="F4" s="3337">
        <v>2.5299999999999998</v>
      </c>
      <c r="G4" s="3337">
        <v>1</v>
      </c>
      <c r="H4" s="3337">
        <f>'输机表-建筑物及附属物'!AA30</f>
        <v>2039</v>
      </c>
      <c r="I4" s="3337"/>
    </row>
    <row r="5" spans="1:9" ht="21.75" customHeight="1">
      <c r="A5" s="3281" t="s">
        <v>3024</v>
      </c>
      <c r="B5" s="3337">
        <v>2688.82</v>
      </c>
      <c r="C5" s="3337">
        <v>1</v>
      </c>
      <c r="D5" s="3337">
        <f>'输机表-建筑物及附属物'!E30</f>
        <v>3402523</v>
      </c>
      <c r="E5" s="3281" t="s">
        <v>3027</v>
      </c>
      <c r="F5" s="3337">
        <v>68.77</v>
      </c>
      <c r="G5" s="3337">
        <v>1</v>
      </c>
      <c r="H5" s="3337">
        <f>'输机表-建筑物及附属物'!AB30</f>
        <v>57833</v>
      </c>
      <c r="I5" s="3875"/>
    </row>
    <row r="6" spans="1:9" ht="21.75" customHeight="1">
      <c r="A6" s="3281" t="s">
        <v>3026</v>
      </c>
      <c r="B6" s="3337">
        <v>39.07</v>
      </c>
      <c r="C6" s="3337">
        <v>1</v>
      </c>
      <c r="D6" s="3337">
        <f>'输机表-建筑物及附属物'!F30</f>
        <v>46239</v>
      </c>
      <c r="E6" s="3281" t="s">
        <v>3029</v>
      </c>
      <c r="F6" s="3337">
        <v>39.090000000000003</v>
      </c>
      <c r="G6" s="3337">
        <v>1</v>
      </c>
      <c r="H6" s="3337">
        <f>'输机表-建筑物及附属物'!AC30</f>
        <v>57727</v>
      </c>
      <c r="I6" s="3337"/>
    </row>
    <row r="7" spans="1:9" ht="21.75" customHeight="1">
      <c r="A7" s="3282" t="s">
        <v>3028</v>
      </c>
      <c r="B7" s="3875">
        <v>74.41</v>
      </c>
      <c r="C7" s="3875">
        <v>1</v>
      </c>
      <c r="D7" s="3875">
        <f>'输机表-建筑物及附属物'!G30</f>
        <v>49316</v>
      </c>
      <c r="E7" s="3282" t="s">
        <v>3031</v>
      </c>
      <c r="F7" s="3875">
        <v>264.44</v>
      </c>
      <c r="G7" s="3875">
        <v>2</v>
      </c>
      <c r="H7" s="3875">
        <f>'输机表-建筑物及附属物'!AD30+'输机表-建筑物及附属物'!AE30</f>
        <v>371985</v>
      </c>
      <c r="I7" s="3875"/>
    </row>
    <row r="8" spans="1:9" ht="21.75" customHeight="1">
      <c r="A8" s="3282" t="s">
        <v>3030</v>
      </c>
      <c r="B8" s="3875">
        <v>43.63</v>
      </c>
      <c r="C8" s="3875">
        <v>1</v>
      </c>
      <c r="D8" s="3875">
        <f>'输机表-建筑物及附属物'!H30</f>
        <v>20833</v>
      </c>
      <c r="E8" s="3281" t="s">
        <v>3033</v>
      </c>
      <c r="F8" s="3337">
        <v>32.94</v>
      </c>
      <c r="G8" s="3337">
        <v>1</v>
      </c>
      <c r="H8" s="3337">
        <f>'输机表-建筑物及附属物'!AF30</f>
        <v>23056</v>
      </c>
      <c r="I8" s="3337"/>
    </row>
    <row r="9" spans="1:9" ht="21.75" customHeight="1">
      <c r="A9" s="3282" t="s">
        <v>3032</v>
      </c>
      <c r="B9" s="3875">
        <v>134.66999999999999</v>
      </c>
      <c r="C9" s="3875">
        <v>1</v>
      </c>
      <c r="D9" s="3875">
        <f>'输机表-建筑物及附属物'!I30</f>
        <v>100624</v>
      </c>
      <c r="E9" s="3281" t="s">
        <v>3035</v>
      </c>
      <c r="F9" s="3337">
        <v>61.1</v>
      </c>
      <c r="G9" s="3337">
        <v>1</v>
      </c>
      <c r="H9" s="3337">
        <f>'输机表-建筑物及附属物'!AG30</f>
        <v>38264</v>
      </c>
      <c r="I9" s="3875"/>
    </row>
    <row r="10" spans="1:9" ht="21.75" customHeight="1">
      <c r="A10" s="3282" t="s">
        <v>3034</v>
      </c>
      <c r="B10" s="3875">
        <v>25.34</v>
      </c>
      <c r="C10" s="3875">
        <v>1</v>
      </c>
      <c r="D10" s="3875">
        <f>'输机表-建筑物及附属物'!J30</f>
        <v>8725</v>
      </c>
      <c r="E10" s="3281" t="s">
        <v>3037</v>
      </c>
      <c r="F10" s="3337">
        <v>148.86000000000001</v>
      </c>
      <c r="G10" s="3337">
        <v>1</v>
      </c>
      <c r="H10" s="3337">
        <f>'输机表-建筑物及附属物'!AH30</f>
        <v>77237</v>
      </c>
      <c r="I10" s="3337"/>
    </row>
    <row r="11" spans="1:9" ht="21.75" customHeight="1">
      <c r="A11" s="3282" t="s">
        <v>3036</v>
      </c>
      <c r="B11" s="3875">
        <v>45.63</v>
      </c>
      <c r="C11" s="3875">
        <v>1</v>
      </c>
      <c r="D11" s="3875">
        <f>'输机表-建筑物及附属物'!K30</f>
        <v>46776</v>
      </c>
      <c r="E11" s="3281" t="s">
        <v>3039</v>
      </c>
      <c r="F11" s="3337">
        <v>755.52</v>
      </c>
      <c r="G11" s="3337">
        <v>1</v>
      </c>
      <c r="H11" s="3337">
        <f>'输机表-建筑物及附属物'!AI30</f>
        <v>763231</v>
      </c>
      <c r="I11" s="3337"/>
    </row>
    <row r="12" spans="1:9" ht="21.75" customHeight="1">
      <c r="A12" s="3282" t="s">
        <v>3038</v>
      </c>
      <c r="B12" s="3875">
        <v>30.3</v>
      </c>
      <c r="C12" s="3875">
        <v>1</v>
      </c>
      <c r="D12" s="3875">
        <f>'输机表-建筑物及附属物'!L30</f>
        <v>21297</v>
      </c>
      <c r="E12" s="3281" t="s">
        <v>3043</v>
      </c>
      <c r="F12" s="3337">
        <v>141.71</v>
      </c>
      <c r="G12" s="3337">
        <v>1</v>
      </c>
      <c r="H12" s="3337">
        <f>'输机表-建筑物及附属物'!AJ30</f>
        <v>103863</v>
      </c>
      <c r="I12" s="3337"/>
    </row>
    <row r="13" spans="1:9" ht="21.75" customHeight="1">
      <c r="A13" s="3282" t="s">
        <v>3040</v>
      </c>
      <c r="B13" s="3875">
        <v>27.07</v>
      </c>
      <c r="C13" s="3875">
        <v>1</v>
      </c>
      <c r="D13" s="3875">
        <f>'输机表-建筑物及附属物'!M30</f>
        <v>26412</v>
      </c>
      <c r="E13" s="3281" t="s">
        <v>3045</v>
      </c>
      <c r="F13" s="3337">
        <v>14.84</v>
      </c>
      <c r="G13" s="3337">
        <v>1</v>
      </c>
      <c r="H13" s="3337">
        <f>'输机表-建筑物及附属物'!AK30</f>
        <v>13687</v>
      </c>
      <c r="I13" s="3337"/>
    </row>
    <row r="14" spans="1:9" ht="21.75" customHeight="1">
      <c r="A14" s="3282" t="s">
        <v>3044</v>
      </c>
      <c r="B14" s="3875">
        <v>96.12</v>
      </c>
      <c r="C14" s="3875">
        <v>1</v>
      </c>
      <c r="D14" s="3875">
        <f>'输机表-建筑物及附属物'!N30</f>
        <v>146951</v>
      </c>
      <c r="E14" s="3281" t="s">
        <v>3047</v>
      </c>
      <c r="F14" s="3337">
        <v>190.68</v>
      </c>
      <c r="G14" s="3337">
        <v>1</v>
      </c>
      <c r="H14" s="3337">
        <f>'输机表-建筑物及附属物'!AL30</f>
        <v>194163</v>
      </c>
      <c r="I14" s="3875"/>
    </row>
    <row r="15" spans="1:9" ht="21.75" customHeight="1">
      <c r="A15" s="3282" t="s">
        <v>3048</v>
      </c>
      <c r="B15" s="3875">
        <v>62.41</v>
      </c>
      <c r="C15" s="3875">
        <v>1</v>
      </c>
      <c r="D15" s="3875">
        <f>'输机表-建筑物及附属物'!O30</f>
        <v>57623</v>
      </c>
      <c r="E15" s="3281" t="s">
        <v>3049</v>
      </c>
      <c r="F15" s="3337">
        <v>248.95</v>
      </c>
      <c r="G15" s="3337">
        <v>1</v>
      </c>
      <c r="H15" s="3337">
        <f>'输机表-建筑物及附属物'!AM30</f>
        <v>175864</v>
      </c>
      <c r="I15" s="3337"/>
    </row>
    <row r="16" spans="1:9" ht="21.75" customHeight="1">
      <c r="A16" s="3282" t="s">
        <v>3050</v>
      </c>
      <c r="B16" s="3875">
        <v>44.91</v>
      </c>
      <c r="C16" s="3875">
        <v>1</v>
      </c>
      <c r="D16" s="3875">
        <f>'输机表-建筑物及附属物'!P30</f>
        <v>39016</v>
      </c>
      <c r="E16" s="3281" t="s">
        <v>3051</v>
      </c>
      <c r="F16" s="3337">
        <v>7.64</v>
      </c>
      <c r="G16" s="3337">
        <v>1</v>
      </c>
      <c r="H16" s="3337">
        <f>'输机表-建筑物及附属物'!AN30</f>
        <v>5040</v>
      </c>
      <c r="I16" s="3337"/>
    </row>
    <row r="17" spans="1:9" ht="21.75" customHeight="1">
      <c r="A17" s="3282" t="s">
        <v>3052</v>
      </c>
      <c r="B17" s="3875">
        <v>53.52</v>
      </c>
      <c r="C17" s="3875">
        <v>1</v>
      </c>
      <c r="D17" s="3875">
        <f>'输机表-建筑物及附属物'!Q30</f>
        <v>43743</v>
      </c>
      <c r="E17" s="3281" t="s">
        <v>3053</v>
      </c>
      <c r="F17" s="3337">
        <v>104.43</v>
      </c>
      <c r="G17" s="3337">
        <v>1</v>
      </c>
      <c r="H17" s="3337">
        <f>'输机表-建筑物及附属物'!AO30</f>
        <v>91953</v>
      </c>
      <c r="I17" s="3337"/>
    </row>
    <row r="18" spans="1:9" ht="21.75" customHeight="1">
      <c r="A18" s="3282" t="s">
        <v>3054</v>
      </c>
      <c r="B18" s="3875">
        <v>198.85</v>
      </c>
      <c r="C18" s="3875">
        <v>1</v>
      </c>
      <c r="D18" s="3875">
        <f>'输机表-建筑物及附属物'!R30</f>
        <v>275054</v>
      </c>
      <c r="E18" s="3281" t="s">
        <v>3055</v>
      </c>
      <c r="F18" s="3337">
        <v>22.81</v>
      </c>
      <c r="G18" s="3337">
        <v>1</v>
      </c>
      <c r="H18" s="3337">
        <f>'输机表-建筑物及附属物'!AP30</f>
        <v>15763</v>
      </c>
      <c r="I18" s="3337"/>
    </row>
    <row r="19" spans="1:9" ht="21.75" customHeight="1">
      <c r="A19" s="3282" t="s">
        <v>3056</v>
      </c>
      <c r="B19" s="3875">
        <v>20.350000000000001</v>
      </c>
      <c r="C19" s="3875">
        <v>1</v>
      </c>
      <c r="D19" s="3875">
        <f>'输机表-建筑物及附属物'!S30</f>
        <v>15718</v>
      </c>
      <c r="E19" s="3281" t="s">
        <v>3057</v>
      </c>
      <c r="F19" s="3337">
        <v>81.99</v>
      </c>
      <c r="G19" s="3337">
        <v>1</v>
      </c>
      <c r="H19" s="3337">
        <f>'输机表-建筑物及附属物'!AQ30</f>
        <v>47968</v>
      </c>
      <c r="I19" s="3337"/>
    </row>
    <row r="20" spans="1:9" ht="21.75" customHeight="1">
      <c r="A20" s="3282" t="s">
        <v>3064</v>
      </c>
      <c r="B20" s="3875">
        <v>30.53</v>
      </c>
      <c r="C20" s="3875">
        <v>1</v>
      </c>
      <c r="D20" s="3875">
        <f>'输机表-建筑物及附属物'!T30</f>
        <v>17600</v>
      </c>
      <c r="E20" s="3281" t="s">
        <v>3059</v>
      </c>
      <c r="F20" s="3337">
        <v>385.42</v>
      </c>
      <c r="G20" s="3337">
        <v>1</v>
      </c>
      <c r="H20" s="3337">
        <f>'输机表-建筑物及附属物'!AR30</f>
        <v>255247</v>
      </c>
      <c r="I20" s="3337"/>
    </row>
    <row r="21" spans="1:9" ht="21.75" customHeight="1">
      <c r="A21" s="3282" t="s">
        <v>3066</v>
      </c>
      <c r="B21" s="3875">
        <v>152.88</v>
      </c>
      <c r="C21" s="3875">
        <v>1</v>
      </c>
      <c r="D21" s="3875">
        <f>'输机表-建筑物及附属物'!U30</f>
        <v>138214</v>
      </c>
      <c r="E21" s="3281" t="s">
        <v>3061</v>
      </c>
      <c r="F21" s="3337">
        <v>16.32</v>
      </c>
      <c r="G21" s="3337">
        <v>1</v>
      </c>
      <c r="H21" s="3337">
        <f>'输机表-建筑物及附属物'!AS30</f>
        <v>16722</v>
      </c>
      <c r="I21" s="3337"/>
    </row>
    <row r="22" spans="1:9" ht="21.75" customHeight="1">
      <c r="A22" s="3282" t="s">
        <v>3068</v>
      </c>
      <c r="B22" s="3875">
        <v>66.97</v>
      </c>
      <c r="C22" s="3875">
        <v>1</v>
      </c>
      <c r="D22" s="3875">
        <f>'输机表-建筑物及附属物'!V30</f>
        <v>50286</v>
      </c>
      <c r="E22" s="3281" t="s">
        <v>3063</v>
      </c>
      <c r="F22" s="3337">
        <v>58.39</v>
      </c>
      <c r="G22" s="3337">
        <v>1</v>
      </c>
      <c r="H22" s="3337">
        <f>'输机表-建筑物及附属物'!AT30</f>
        <v>52293</v>
      </c>
      <c r="I22" s="3337"/>
    </row>
    <row r="23" spans="1:9" ht="21.75" customHeight="1">
      <c r="A23" s="3282" t="s">
        <v>3070</v>
      </c>
      <c r="B23" s="3875">
        <v>119.15</v>
      </c>
      <c r="C23" s="3875">
        <v>1</v>
      </c>
      <c r="D23" s="3875">
        <f>'输机表-建筑物及附属物'!W30</f>
        <v>81999</v>
      </c>
      <c r="E23" s="3281" t="s">
        <v>3065</v>
      </c>
      <c r="F23" s="3337">
        <v>14.42</v>
      </c>
      <c r="G23" s="3337">
        <v>1</v>
      </c>
      <c r="H23" s="3337">
        <f>'输机表-建筑物及附属物'!AU30</f>
        <v>15635</v>
      </c>
      <c r="I23" s="3337"/>
    </row>
    <row r="24" spans="1:9" ht="21.75" customHeight="1">
      <c r="A24" s="3282" t="s">
        <v>3072</v>
      </c>
      <c r="B24" s="3875">
        <v>78.010000000000005</v>
      </c>
      <c r="C24" s="3875">
        <v>1</v>
      </c>
      <c r="D24" s="3875">
        <f>'输机表-建筑物及附属物'!X30</f>
        <v>28388</v>
      </c>
      <c r="E24" s="3281" t="s">
        <v>3067</v>
      </c>
      <c r="F24" s="3337">
        <v>44.17</v>
      </c>
      <c r="G24" s="3337">
        <v>1</v>
      </c>
      <c r="H24" s="3337">
        <f>'输机表-建筑物及附属物'!AV30</f>
        <v>25819</v>
      </c>
      <c r="I24" s="3337"/>
    </row>
    <row r="25" spans="1:9" ht="21.75" customHeight="1">
      <c r="A25" s="3281" t="s">
        <v>3019</v>
      </c>
      <c r="B25" s="3337">
        <v>536.21</v>
      </c>
      <c r="C25" s="3337">
        <v>1</v>
      </c>
      <c r="D25" s="3337">
        <f>'输机表-建筑物及附属物'!Y30</f>
        <v>616133</v>
      </c>
      <c r="E25" s="3281" t="s">
        <v>3069</v>
      </c>
      <c r="F25" s="3337">
        <v>27.48</v>
      </c>
      <c r="G25" s="3337">
        <v>1</v>
      </c>
      <c r="H25" s="3337">
        <f>'输机表-建筑物及附属物'!AW30</f>
        <v>17662</v>
      </c>
      <c r="I25" s="3337"/>
    </row>
    <row r="26" spans="1:9" ht="21.75" customHeight="1">
      <c r="A26" s="3283" t="s">
        <v>3074</v>
      </c>
      <c r="B26" s="3875">
        <f>SUM(B3:B25)</f>
        <v>4976.8700000000008</v>
      </c>
      <c r="C26" s="3875"/>
      <c r="D26" s="3875">
        <f>SUM(D3:D25)</f>
        <v>5557608</v>
      </c>
      <c r="E26" s="3283" t="s">
        <v>3075</v>
      </c>
      <c r="F26" s="3875">
        <f>SUM(F3:F25)</f>
        <v>2808.2999999999997</v>
      </c>
      <c r="G26" s="3875"/>
      <c r="H26" s="3875">
        <f>SUM(H3:H25)</f>
        <v>2494528</v>
      </c>
      <c r="I26" s="3875"/>
    </row>
    <row r="27" spans="1:9" ht="23.25" customHeight="1">
      <c r="A27" s="3876" t="s">
        <v>4198</v>
      </c>
      <c r="B27" s="4383">
        <f>B26+F26</f>
        <v>7785.17</v>
      </c>
      <c r="C27" s="4383"/>
      <c r="D27" s="4383"/>
      <c r="E27" s="4383"/>
      <c r="F27" s="4383"/>
      <c r="G27" s="4383"/>
      <c r="H27" s="4383"/>
      <c r="I27" s="4383"/>
    </row>
    <row r="28" spans="1:9" ht="24.75" customHeight="1">
      <c r="A28" s="3877" t="s">
        <v>4199</v>
      </c>
      <c r="B28" s="4383">
        <f>D26+H26</f>
        <v>8052136</v>
      </c>
      <c r="C28" s="4383"/>
      <c r="D28" s="4383"/>
      <c r="E28" s="4383"/>
      <c r="F28" s="4383"/>
      <c r="G28" s="4383"/>
      <c r="H28" s="4383"/>
      <c r="I28" s="4383"/>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249977111117893"/>
  </sheetPr>
  <dimension ref="A1:I31"/>
  <sheetViews>
    <sheetView workbookViewId="0">
      <selection activeCell="F16" sqref="F16:H16"/>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388" t="s">
        <v>4144</v>
      </c>
      <c r="B1" s="4389"/>
      <c r="C1" s="4389"/>
      <c r="D1" s="4389"/>
      <c r="E1" s="4389"/>
      <c r="F1" s="4389"/>
      <c r="G1" s="4389"/>
      <c r="H1" s="4390"/>
    </row>
    <row r="2" spans="1:8" ht="27" customHeight="1">
      <c r="A2" s="3878" t="s">
        <v>3407</v>
      </c>
      <c r="B2" s="3878" t="s">
        <v>4146</v>
      </c>
      <c r="C2" s="3878" t="s">
        <v>3332</v>
      </c>
      <c r="D2" s="3878" t="s">
        <v>3350</v>
      </c>
      <c r="E2" s="3878" t="s">
        <v>3407</v>
      </c>
      <c r="F2" s="3878" t="s">
        <v>4146</v>
      </c>
      <c r="G2" s="3878" t="s">
        <v>3332</v>
      </c>
      <c r="H2" s="3878" t="s">
        <v>3350</v>
      </c>
    </row>
    <row r="3" spans="1:8" ht="27" customHeight="1">
      <c r="A3" s="3878" t="s">
        <v>4204</v>
      </c>
      <c r="B3" s="3878">
        <f>'输机表-建筑物及附属物'!B38</f>
        <v>18144</v>
      </c>
      <c r="C3" s="3878">
        <v>147</v>
      </c>
      <c r="D3" s="3878" t="s">
        <v>3362</v>
      </c>
      <c r="E3" s="3878" t="s">
        <v>4217</v>
      </c>
      <c r="F3" s="3878">
        <f>'输机表-建筑物及附属物'!B50</f>
        <v>4215</v>
      </c>
      <c r="G3" s="3878">
        <v>33.58</v>
      </c>
      <c r="H3" s="3878" t="s">
        <v>3369</v>
      </c>
    </row>
    <row r="4" spans="1:8" ht="27" customHeight="1">
      <c r="A4" s="3878" t="s">
        <v>3702</v>
      </c>
      <c r="B4" s="3878">
        <f>'输机表-建筑物及附属物'!C38</f>
        <v>2696</v>
      </c>
      <c r="C4" s="3878">
        <v>7</v>
      </c>
      <c r="D4" s="3878" t="s">
        <v>3362</v>
      </c>
      <c r="E4" s="3878" t="s">
        <v>4218</v>
      </c>
      <c r="F4" s="3878">
        <f>'输机表-建筑物及附属物'!C50</f>
        <v>8314</v>
      </c>
      <c r="G4" s="3878">
        <v>72</v>
      </c>
      <c r="H4" s="3878" t="s">
        <v>4229</v>
      </c>
    </row>
    <row r="5" spans="1:8" ht="27" customHeight="1">
      <c r="A5" s="3878" t="s">
        <v>4205</v>
      </c>
      <c r="B5" s="3878">
        <f>'输机表-建筑物及附属物'!D38</f>
        <v>642</v>
      </c>
      <c r="C5" s="3878">
        <v>2</v>
      </c>
      <c r="D5" s="3878" t="s">
        <v>3362</v>
      </c>
      <c r="E5" s="3878" t="s">
        <v>4219</v>
      </c>
      <c r="F5" s="3878">
        <f>'输机表-建筑物及附属物'!D50</f>
        <v>5658</v>
      </c>
      <c r="G5" s="3878">
        <v>56.35</v>
      </c>
      <c r="H5" s="3878" t="s">
        <v>3369</v>
      </c>
    </row>
    <row r="6" spans="1:8" ht="27" customHeight="1">
      <c r="A6" s="3878" t="s">
        <v>4206</v>
      </c>
      <c r="B6" s="3878">
        <f>'输机表-建筑物及附属物'!E38</f>
        <v>11715</v>
      </c>
      <c r="C6" s="3878">
        <v>28</v>
      </c>
      <c r="D6" s="3878" t="s">
        <v>3362</v>
      </c>
      <c r="E6" s="3878" t="s">
        <v>4220</v>
      </c>
      <c r="F6" s="3878">
        <f>'输机表-建筑物及附属物'!F50</f>
        <v>89166</v>
      </c>
      <c r="G6" s="3878">
        <v>1720.04</v>
      </c>
      <c r="H6" s="3878" t="s">
        <v>3369</v>
      </c>
    </row>
    <row r="7" spans="1:8" ht="27" customHeight="1">
      <c r="A7" s="3878" t="s">
        <v>4207</v>
      </c>
      <c r="B7" s="3878">
        <f>'输机表-建筑物及附属物'!F38</f>
        <v>4350</v>
      </c>
      <c r="C7" s="3878">
        <v>2</v>
      </c>
      <c r="D7" s="3878" t="s">
        <v>3362</v>
      </c>
      <c r="E7" s="3878" t="s">
        <v>4221</v>
      </c>
      <c r="F7" s="3878">
        <f>'输机表-建筑物及附属物'!G50</f>
        <v>104198</v>
      </c>
      <c r="G7" s="3878">
        <v>2010</v>
      </c>
      <c r="H7" s="3878" t="s">
        <v>3369</v>
      </c>
    </row>
    <row r="8" spans="1:8" ht="27" customHeight="1">
      <c r="A8" s="3878" t="s">
        <v>4208</v>
      </c>
      <c r="B8" s="3878">
        <f>'输机表-建筑物及附属物'!G38</f>
        <v>3730</v>
      </c>
      <c r="C8" s="3878">
        <v>74.290000000000006</v>
      </c>
      <c r="D8" s="3878" t="s">
        <v>3369</v>
      </c>
      <c r="E8" s="3879" t="s">
        <v>4222</v>
      </c>
      <c r="F8" s="3878">
        <f>'输机表-建筑物及附属物'!H50</f>
        <v>1178836</v>
      </c>
      <c r="G8" s="3878">
        <v>22740</v>
      </c>
      <c r="H8" s="3878" t="s">
        <v>3369</v>
      </c>
    </row>
    <row r="9" spans="1:8" ht="27" customHeight="1">
      <c r="A9" s="3878" t="s">
        <v>4209</v>
      </c>
      <c r="B9" s="3878">
        <f>'输机表-建筑物及附属物'!H38</f>
        <v>26937</v>
      </c>
      <c r="C9" s="3878">
        <v>99.2</v>
      </c>
      <c r="D9" s="3878" t="s">
        <v>3369</v>
      </c>
      <c r="E9" s="3879" t="s">
        <v>4223</v>
      </c>
      <c r="F9" s="3880">
        <f>'输机表-建筑物及附属物'!B56</f>
        <v>13330</v>
      </c>
      <c r="G9" s="3878">
        <f>'输机表-建筑物及附属物'!B53</f>
        <v>45</v>
      </c>
      <c r="H9" s="3878" t="s">
        <v>3369</v>
      </c>
    </row>
    <row r="10" spans="1:8" ht="27" customHeight="1">
      <c r="A10" s="3878" t="s">
        <v>4210</v>
      </c>
      <c r="B10" s="3878">
        <f>'输机表-建筑物及附属物'!B44</f>
        <v>16736</v>
      </c>
      <c r="C10" s="3878">
        <v>10</v>
      </c>
      <c r="D10" s="3878" t="s">
        <v>3362</v>
      </c>
      <c r="E10" s="3879" t="s">
        <v>4224</v>
      </c>
      <c r="F10" s="3878">
        <f>'输机表-建筑物及附属物'!BH30</f>
        <v>15039</v>
      </c>
      <c r="G10" s="3878">
        <f>'输机表-建筑物及附属物'!BH8</f>
        <v>45</v>
      </c>
      <c r="H10" s="3878" t="s">
        <v>3369</v>
      </c>
    </row>
    <row r="11" spans="1:8" ht="27" customHeight="1">
      <c r="A11" s="3878" t="s">
        <v>4211</v>
      </c>
      <c r="B11" s="3878">
        <f>'输机表-建筑物及附属物'!C44</f>
        <v>5021</v>
      </c>
      <c r="C11" s="3878">
        <v>2</v>
      </c>
      <c r="D11" s="3878" t="s">
        <v>3362</v>
      </c>
      <c r="E11" s="3879" t="s">
        <v>4225</v>
      </c>
      <c r="F11" s="3878">
        <f>'输机表-建筑物及附属物'!BI30</f>
        <v>15039</v>
      </c>
      <c r="G11" s="3878">
        <f>'输机表-建筑物及附属物'!BI8</f>
        <v>45</v>
      </c>
      <c r="H11" s="3878" t="s">
        <v>3369</v>
      </c>
    </row>
    <row r="12" spans="1:8" ht="27" customHeight="1">
      <c r="A12" s="3878" t="s">
        <v>4212</v>
      </c>
      <c r="B12" s="3878">
        <f>'输机表-建筑物及附属物'!D44</f>
        <v>3942</v>
      </c>
      <c r="C12" s="3878">
        <v>13.46</v>
      </c>
      <c r="D12" s="3878" t="s">
        <v>3369</v>
      </c>
      <c r="E12" s="3881" t="s">
        <v>4226</v>
      </c>
      <c r="F12" s="3880">
        <f>'输机表-建筑物及附属物'!C56</f>
        <v>1106</v>
      </c>
      <c r="G12" s="3878">
        <v>16</v>
      </c>
      <c r="H12" s="3878" t="s">
        <v>4231</v>
      </c>
    </row>
    <row r="13" spans="1:8" ht="27" customHeight="1">
      <c r="A13" s="3878" t="s">
        <v>4213</v>
      </c>
      <c r="B13" s="3878">
        <f>'输机表-建筑物及附属物'!E44</f>
        <v>156</v>
      </c>
      <c r="C13" s="3878">
        <v>6.3</v>
      </c>
      <c r="D13" s="3878" t="s">
        <v>4229</v>
      </c>
      <c r="E13" s="3879" t="s">
        <v>4227</v>
      </c>
      <c r="F13" s="3880">
        <f>'附属物-墙地棚'!D31</f>
        <v>177290</v>
      </c>
      <c r="G13" s="3878">
        <f>'附属物-墙地棚'!B31</f>
        <v>828.63000000000011</v>
      </c>
      <c r="H13" s="3878" t="s">
        <v>4230</v>
      </c>
    </row>
    <row r="14" spans="1:8" ht="27" customHeight="1">
      <c r="A14" s="3878" t="s">
        <v>4214</v>
      </c>
      <c r="B14" s="3878">
        <f>'输机表-建筑物及附属物'!F44</f>
        <v>8504</v>
      </c>
      <c r="C14" s="3878">
        <v>13</v>
      </c>
      <c r="D14" s="3878" t="s">
        <v>3362</v>
      </c>
      <c r="E14" s="3882" t="s">
        <v>4228</v>
      </c>
      <c r="F14" s="3880">
        <f>SUM(G18:G23)</f>
        <v>955340</v>
      </c>
      <c r="G14" s="3878"/>
      <c r="H14" s="3878"/>
    </row>
    <row r="15" spans="1:8" ht="27" customHeight="1">
      <c r="A15" s="3878" t="s">
        <v>4215</v>
      </c>
      <c r="B15" s="3878">
        <f>'输机表-建筑物及附属物'!G44</f>
        <v>4118</v>
      </c>
      <c r="C15" s="3878">
        <v>12</v>
      </c>
      <c r="D15" s="3878" t="s">
        <v>3362</v>
      </c>
    </row>
    <row r="16" spans="1:8" ht="27" customHeight="1">
      <c r="A16" s="3878" t="s">
        <v>4216</v>
      </c>
      <c r="B16" s="3878">
        <f>'输机表-建筑物及附属物'!H44</f>
        <v>3012</v>
      </c>
      <c r="C16" s="3878">
        <v>9</v>
      </c>
      <c r="D16" s="3878" t="s">
        <v>4230</v>
      </c>
      <c r="E16" s="3883" t="s">
        <v>4169</v>
      </c>
      <c r="F16" s="4385">
        <f>SUM(B3:B16)+SUM(F3:F15)</f>
        <v>2677234</v>
      </c>
      <c r="G16" s="4386"/>
      <c r="H16" s="4387"/>
    </row>
    <row r="17" spans="1:9" ht="15.75" customHeight="1"/>
    <row r="18" spans="1:9" ht="21" customHeight="1">
      <c r="F18" s="3878" t="s">
        <v>4253</v>
      </c>
      <c r="G18" s="3248">
        <v>303696</v>
      </c>
      <c r="H18" s="3248">
        <v>1500</v>
      </c>
      <c r="I18" s="3248" t="s">
        <v>4269</v>
      </c>
    </row>
    <row r="19" spans="1:9" ht="21" customHeight="1">
      <c r="F19" s="3878" t="s">
        <v>4160</v>
      </c>
      <c r="G19" s="3248">
        <v>197759</v>
      </c>
      <c r="H19" s="3248">
        <v>1496</v>
      </c>
    </row>
    <row r="20" spans="1:9" ht="21" customHeight="1">
      <c r="A20" s="4384" t="s">
        <v>4203</v>
      </c>
      <c r="B20" s="4384"/>
      <c r="C20" s="4384"/>
      <c r="D20" s="4384"/>
      <c r="F20" s="3878" t="s">
        <v>4161</v>
      </c>
      <c r="G20" s="3248">
        <v>139924</v>
      </c>
      <c r="H20" s="3248">
        <v>500</v>
      </c>
    </row>
    <row r="21" spans="1:9" ht="21" customHeight="1">
      <c r="A21" s="3884" t="s">
        <v>3022</v>
      </c>
      <c r="B21" s="3851">
        <v>26.23</v>
      </c>
      <c r="C21" s="3851">
        <v>1</v>
      </c>
      <c r="D21" s="3851">
        <f>'输机表-建筑物及附属物'!AX30</f>
        <v>0</v>
      </c>
      <c r="F21" s="3878" t="s">
        <v>4162</v>
      </c>
      <c r="G21" s="3894">
        <v>145504</v>
      </c>
      <c r="H21" s="3248">
        <v>800</v>
      </c>
    </row>
    <row r="22" spans="1:9" ht="21" customHeight="1">
      <c r="A22" s="3884" t="s">
        <v>3042</v>
      </c>
      <c r="B22" s="3851">
        <v>208.67</v>
      </c>
      <c r="C22" s="3851">
        <v>1</v>
      </c>
      <c r="D22" s="3851">
        <f>'输机表-建筑物及附属物'!AY30</f>
        <v>56447</v>
      </c>
      <c r="F22" s="3878" t="s">
        <v>4164</v>
      </c>
      <c r="G22" s="3894">
        <v>26438</v>
      </c>
      <c r="H22" s="3248">
        <v>200</v>
      </c>
    </row>
    <row r="23" spans="1:9" ht="27">
      <c r="A23" s="3884" t="s">
        <v>3046</v>
      </c>
      <c r="B23" s="3851">
        <v>105.35</v>
      </c>
      <c r="C23" s="3851">
        <v>1</v>
      </c>
      <c r="D23" s="3851">
        <f>'输机表-建筑物及附属物'!AZ30</f>
        <v>24490</v>
      </c>
      <c r="F23" s="3878" t="s">
        <v>4166</v>
      </c>
      <c r="G23" s="3894">
        <v>142019</v>
      </c>
      <c r="H23" s="3248">
        <v>400</v>
      </c>
    </row>
    <row r="24" spans="1:9">
      <c r="A24" s="3884" t="s">
        <v>3058</v>
      </c>
      <c r="B24" s="3851">
        <v>119.22</v>
      </c>
      <c r="C24" s="3851">
        <v>1</v>
      </c>
      <c r="D24" s="3851">
        <f>'输机表-建筑物及附属物'!BA30</f>
        <v>35650</v>
      </c>
    </row>
    <row r="25" spans="1:9">
      <c r="A25" s="3884" t="s">
        <v>3060</v>
      </c>
      <c r="B25" s="3851">
        <v>7.45</v>
      </c>
      <c r="C25" s="3851">
        <v>1</v>
      </c>
      <c r="D25" s="3851">
        <f>'输机表-建筑物及附属物'!BB30</f>
        <v>1718</v>
      </c>
    </row>
    <row r="26" spans="1:9">
      <c r="A26" s="3884" t="s">
        <v>3062</v>
      </c>
      <c r="B26" s="3851">
        <v>16.39</v>
      </c>
      <c r="C26" s="3851">
        <v>1</v>
      </c>
      <c r="D26" s="3851">
        <f>'输机表-建筑物及附属物'!BC30</f>
        <v>2771</v>
      </c>
    </row>
    <row r="27" spans="1:9">
      <c r="A27" s="3884" t="s">
        <v>3023</v>
      </c>
      <c r="B27" s="3851">
        <v>137.52000000000001</v>
      </c>
      <c r="C27" s="3851">
        <v>1</v>
      </c>
      <c r="D27" s="3851">
        <f>'输机表-建筑物及附属物'!BD30</f>
        <v>23252</v>
      </c>
    </row>
    <row r="28" spans="1:9">
      <c r="A28" s="3884" t="s">
        <v>3041</v>
      </c>
      <c r="B28" s="3851">
        <v>94.57</v>
      </c>
      <c r="C28" s="3851">
        <v>1</v>
      </c>
      <c r="D28" s="3851">
        <f>'输机表-建筑物及附属物'!BE30</f>
        <v>15990</v>
      </c>
    </row>
    <row r="29" spans="1:9">
      <c r="A29" s="3884" t="s">
        <v>3071</v>
      </c>
      <c r="B29" s="3851">
        <v>12.85</v>
      </c>
      <c r="C29" s="3851">
        <v>1</v>
      </c>
      <c r="D29" s="3851">
        <v>0</v>
      </c>
    </row>
    <row r="30" spans="1:9">
      <c r="A30" s="3884" t="s">
        <v>3073</v>
      </c>
      <c r="B30" s="3851">
        <v>100.38</v>
      </c>
      <c r="C30" s="3851">
        <v>1</v>
      </c>
      <c r="D30" s="3851">
        <f>'输机表-建筑物及附属物'!BG30</f>
        <v>16972</v>
      </c>
    </row>
    <row r="31" spans="1:9">
      <c r="A31" s="3851" t="s">
        <v>4202</v>
      </c>
      <c r="B31" s="3851">
        <f>SUM(B21:B30)</f>
        <v>828.63000000000011</v>
      </c>
      <c r="C31" s="3851"/>
      <c r="D31" s="3851">
        <f>SUM(D21:D30)</f>
        <v>177290</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14" t="s">
        <v>2027</v>
      </c>
      <c r="B1" s="3914"/>
      <c r="C1" s="3914"/>
      <c r="D1" s="3914"/>
      <c r="E1" s="3914"/>
      <c r="F1" s="3914"/>
      <c r="G1" s="3914"/>
      <c r="H1" s="3914"/>
      <c r="I1" s="3914"/>
      <c r="J1" s="3914"/>
      <c r="K1" s="3914"/>
      <c r="L1" s="3914"/>
      <c r="M1" s="3914"/>
      <c r="N1" s="3914"/>
      <c r="O1" s="3914"/>
      <c r="P1" s="3914"/>
      <c r="Q1" s="3914"/>
      <c r="R1" s="3914"/>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915" t="s">
        <v>2018</v>
      </c>
      <c r="B3" s="3915" t="s">
        <v>2712</v>
      </c>
      <c r="C3" s="3916" t="s">
        <v>2019</v>
      </c>
      <c r="D3" s="3915" t="s">
        <v>2716</v>
      </c>
      <c r="E3" s="3910" t="s">
        <v>2020</v>
      </c>
      <c r="F3" s="3910"/>
      <c r="G3" s="3910"/>
      <c r="H3" s="3910" t="s">
        <v>2021</v>
      </c>
      <c r="I3" s="3910"/>
      <c r="J3" s="3910"/>
      <c r="K3" s="3916" t="s">
        <v>2022</v>
      </c>
      <c r="L3" s="3916" t="s">
        <v>2023</v>
      </c>
      <c r="M3" s="3915" t="s">
        <v>2713</v>
      </c>
      <c r="N3" s="3917" t="str">
        <f>"（分摊）"&amp;项目基本情况!B16&amp;"国有建设用地使用权面积/㎡"</f>
        <v>（分摊）划拨国有建设用地使用权面积/㎡</v>
      </c>
      <c r="O3" s="3915" t="s">
        <v>2052</v>
      </c>
      <c r="P3" s="3916" t="s">
        <v>2032</v>
      </c>
      <c r="Q3" s="3916" t="s">
        <v>2053</v>
      </c>
      <c r="R3" s="3916" t="s">
        <v>2024</v>
      </c>
    </row>
    <row r="4" spans="1:18" ht="36.75" customHeight="1">
      <c r="A4" s="3915"/>
      <c r="B4" s="3915"/>
      <c r="C4" s="3916"/>
      <c r="D4" s="3915"/>
      <c r="E4" s="2491" t="s">
        <v>2031</v>
      </c>
      <c r="F4" s="2491" t="s">
        <v>2725</v>
      </c>
      <c r="G4" s="2491" t="s">
        <v>2025</v>
      </c>
      <c r="H4" s="2491" t="s">
        <v>2026</v>
      </c>
      <c r="I4" s="2491" t="s">
        <v>2726</v>
      </c>
      <c r="J4" s="2491" t="s">
        <v>2025</v>
      </c>
      <c r="K4" s="3916"/>
      <c r="L4" s="3916"/>
      <c r="M4" s="3915"/>
      <c r="N4" s="3917"/>
      <c r="O4" s="3915"/>
      <c r="P4" s="3916"/>
      <c r="Q4" s="3916"/>
      <c r="R4" s="391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756</v>
      </c>
      <c r="Q5" s="1725">
        <f ca="1">结果表!D42</f>
        <v>756</v>
      </c>
      <c r="R5" s="1726">
        <f ca="1">结果表!C42</f>
        <v>1973</v>
      </c>
    </row>
    <row r="6" spans="1:18">
      <c r="A6" s="3911" t="str">
        <f>IF(项目基本情况!B9="市场价格","——","抵押价格")</f>
        <v>——</v>
      </c>
      <c r="B6" s="3912"/>
      <c r="C6" s="3912"/>
      <c r="D6" s="3912"/>
      <c r="E6" s="3912"/>
      <c r="F6" s="3912"/>
      <c r="G6" s="3912"/>
      <c r="H6" s="3912"/>
      <c r="I6" s="3912"/>
      <c r="J6" s="3912"/>
      <c r="K6" s="3912"/>
      <c r="L6" s="3912"/>
      <c r="M6" s="3912"/>
      <c r="N6" s="3912"/>
      <c r="O6" s="3912"/>
      <c r="P6" s="3912"/>
      <c r="Q6" s="3913"/>
      <c r="R6" s="1727" t="str">
        <f>结果表!O39</f>
        <v>——</v>
      </c>
    </row>
    <row r="7" spans="1:18">
      <c r="A7" s="3911" t="str">
        <f>IF(项目基本情况!B9="市场价格","——",IF(项目基本情况!E8="已注销及未注销","抵押担保权已注销时的抵押价格","——"))</f>
        <v>——</v>
      </c>
      <c r="B7" s="3912"/>
      <c r="C7" s="3912"/>
      <c r="D7" s="3912"/>
      <c r="E7" s="3912"/>
      <c r="F7" s="3912"/>
      <c r="G7" s="3912"/>
      <c r="H7" s="3912"/>
      <c r="I7" s="3912"/>
      <c r="J7" s="3912"/>
      <c r="K7" s="3912"/>
      <c r="L7" s="3912"/>
      <c r="M7" s="3912"/>
      <c r="N7" s="3912"/>
      <c r="O7" s="3912"/>
      <c r="P7" s="3912"/>
      <c r="Q7" s="3913"/>
      <c r="R7" s="1727" t="str">
        <f>结果表!O40</f>
        <v>——</v>
      </c>
    </row>
    <row r="8" spans="1:18">
      <c r="A8" s="3911" t="str">
        <f>IF(项目基本情况!B9="市场价格","——",项目基本情况!E9)</f>
        <v>——</v>
      </c>
      <c r="B8" s="3912"/>
      <c r="C8" s="3912"/>
      <c r="D8" s="3912"/>
      <c r="E8" s="3912"/>
      <c r="F8" s="3912"/>
      <c r="G8" s="3912"/>
      <c r="H8" s="3912"/>
      <c r="I8" s="3912"/>
      <c r="J8" s="3912"/>
      <c r="K8" s="3912"/>
      <c r="L8" s="3912"/>
      <c r="M8" s="3912"/>
      <c r="N8" s="3912"/>
      <c r="O8" s="3912"/>
      <c r="P8" s="3912"/>
      <c r="Q8" s="391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249977111117893"/>
  </sheetPr>
  <dimension ref="A1:G50"/>
  <sheetViews>
    <sheetView workbookViewId="0">
      <selection activeCell="I50" sqref="I50"/>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396" t="s">
        <v>4254</v>
      </c>
      <c r="B1" s="4397"/>
      <c r="C1" s="4397"/>
      <c r="D1" s="4397"/>
      <c r="E1" s="4397"/>
      <c r="F1" s="4398"/>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391">
        <v>2</v>
      </c>
      <c r="B4" s="4391" t="s">
        <v>4097</v>
      </c>
      <c r="C4" s="3831" t="s">
        <v>4096</v>
      </c>
      <c r="D4" s="3831">
        <f>(12+20)/2*(5+20)/2</f>
        <v>200</v>
      </c>
      <c r="E4" s="3831">
        <v>13</v>
      </c>
      <c r="F4" s="3831">
        <f t="shared" ref="F4:F49" si="0">D4*E4</f>
        <v>2600</v>
      </c>
      <c r="G4" s="3828"/>
    </row>
    <row r="5" spans="1:7" ht="15" hidden="1">
      <c r="A5" s="4391"/>
      <c r="B5" s="4391"/>
      <c r="C5" s="3831" t="s">
        <v>4098</v>
      </c>
      <c r="D5" s="3831">
        <f>(32+48+100)/3*(25+35+45)/3</f>
        <v>2100</v>
      </c>
      <c r="E5" s="3831"/>
      <c r="F5" s="3831">
        <f t="shared" si="0"/>
        <v>0</v>
      </c>
      <c r="G5" s="3828"/>
    </row>
    <row r="6" spans="1:7" ht="15">
      <c r="A6" s="4391">
        <v>3</v>
      </c>
      <c r="B6" s="4391" t="s">
        <v>4099</v>
      </c>
      <c r="C6" s="3831" t="s">
        <v>4100</v>
      </c>
      <c r="D6" s="3831">
        <f>(28+52)/2*(5+20)/2</f>
        <v>500</v>
      </c>
      <c r="E6" s="3831">
        <v>12</v>
      </c>
      <c r="F6" s="3831">
        <f t="shared" si="0"/>
        <v>6000</v>
      </c>
      <c r="G6" s="3828"/>
    </row>
    <row r="7" spans="1:7" ht="15" hidden="1">
      <c r="A7" s="4391"/>
      <c r="B7" s="4391"/>
      <c r="C7" s="3831" t="s">
        <v>4098</v>
      </c>
      <c r="D7" s="3831">
        <f>(76+104+150)/3*(25+35+45)/3</f>
        <v>3850</v>
      </c>
      <c r="E7" s="3831"/>
      <c r="F7" s="3831">
        <f t="shared" si="0"/>
        <v>0</v>
      </c>
      <c r="G7" s="3828"/>
    </row>
    <row r="8" spans="1:7" ht="15" hidden="1">
      <c r="A8" s="4391"/>
      <c r="B8" s="4391"/>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391">
        <v>5</v>
      </c>
      <c r="B10" s="4391" t="s">
        <v>4103</v>
      </c>
      <c r="C10" s="3831" t="s">
        <v>4100</v>
      </c>
      <c r="D10" s="3831">
        <f>(12+20)/2*(5+20)/2</f>
        <v>200</v>
      </c>
      <c r="E10" s="3831"/>
      <c r="F10" s="3831">
        <f t="shared" si="0"/>
        <v>0</v>
      </c>
      <c r="G10" s="3828"/>
    </row>
    <row r="11" spans="1:7" ht="15" hidden="1">
      <c r="A11" s="4391"/>
      <c r="B11" s="4391"/>
      <c r="C11" s="3831" t="s">
        <v>4098</v>
      </c>
      <c r="D11" s="3831">
        <f>(32+48+100)/3*(25+35+45)/3</f>
        <v>2100</v>
      </c>
      <c r="E11" s="3831"/>
      <c r="F11" s="3831">
        <f t="shared" si="0"/>
        <v>0</v>
      </c>
      <c r="G11" s="3828"/>
    </row>
    <row r="12" spans="1:7" ht="15" hidden="1">
      <c r="A12" s="4391"/>
      <c r="B12" s="4391"/>
      <c r="C12" s="3831" t="s">
        <v>4101</v>
      </c>
      <c r="D12" s="3831">
        <f>100*50</f>
        <v>5000</v>
      </c>
      <c r="E12" s="3831"/>
      <c r="F12" s="3831">
        <f t="shared" si="0"/>
        <v>0</v>
      </c>
      <c r="G12" s="3828"/>
    </row>
    <row r="13" spans="1:7" ht="15" hidden="1">
      <c r="A13" s="4391">
        <v>6</v>
      </c>
      <c r="B13" s="4391" t="s">
        <v>4104</v>
      </c>
      <c r="C13" s="3831" t="s">
        <v>4100</v>
      </c>
      <c r="D13" s="3831">
        <f>ROUND((6+12)/2*(5+20)/2,0)</f>
        <v>113</v>
      </c>
      <c r="E13" s="3831"/>
      <c r="F13" s="3831">
        <f t="shared" si="0"/>
        <v>0</v>
      </c>
      <c r="G13" s="3828"/>
    </row>
    <row r="14" spans="1:7" ht="15" hidden="1">
      <c r="A14" s="4391"/>
      <c r="B14" s="4391"/>
      <c r="C14" s="3831" t="s">
        <v>4098</v>
      </c>
      <c r="D14" s="3831">
        <f>(20+32+56)/3*(25+35+45)/3</f>
        <v>1260</v>
      </c>
      <c r="E14" s="3831"/>
      <c r="F14" s="3831">
        <f t="shared" si="0"/>
        <v>0</v>
      </c>
      <c r="G14" s="3828"/>
    </row>
    <row r="15" spans="1:7" ht="15" hidden="1">
      <c r="A15" s="4391"/>
      <c r="B15" s="4391"/>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391">
        <v>8</v>
      </c>
      <c r="B17" s="4391" t="s">
        <v>4106</v>
      </c>
      <c r="C17" s="3831" t="s">
        <v>4100</v>
      </c>
      <c r="D17" s="3831">
        <f>(12+20)/2*(5+20)/2</f>
        <v>200</v>
      </c>
      <c r="E17" s="3831">
        <v>2</v>
      </c>
      <c r="F17" s="3831">
        <f t="shared" si="0"/>
        <v>400</v>
      </c>
      <c r="G17" s="3828"/>
    </row>
    <row r="18" spans="1:7" ht="15" hidden="1">
      <c r="A18" s="4391"/>
      <c r="B18" s="4391"/>
      <c r="C18" s="3831" t="s">
        <v>4098</v>
      </c>
      <c r="D18" s="3831">
        <f>(32+48+100)/3*(25+35+45)/3</f>
        <v>2100</v>
      </c>
      <c r="E18" s="3831"/>
      <c r="F18" s="3831">
        <f t="shared" si="0"/>
        <v>0</v>
      </c>
      <c r="G18" s="3828"/>
    </row>
    <row r="19" spans="1:7" ht="15" hidden="1">
      <c r="A19" s="4391"/>
      <c r="B19" s="4391"/>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391">
        <v>10</v>
      </c>
      <c r="B21" s="4391" t="s">
        <v>4108</v>
      </c>
      <c r="C21" s="3831" t="s">
        <v>4100</v>
      </c>
      <c r="D21" s="3831">
        <f>(28+52)/2*(5+20)/2</f>
        <v>500</v>
      </c>
      <c r="E21" s="3831">
        <v>1</v>
      </c>
      <c r="F21" s="3831">
        <f t="shared" si="0"/>
        <v>500</v>
      </c>
      <c r="G21" s="3828"/>
    </row>
    <row r="22" spans="1:7" ht="15" hidden="1">
      <c r="A22" s="4391"/>
      <c r="B22" s="4391"/>
      <c r="C22" s="3831" t="s">
        <v>4098</v>
      </c>
      <c r="D22" s="3831">
        <f>(76+104+150)/3*(25+35+45)/3</f>
        <v>3850</v>
      </c>
      <c r="E22" s="3831"/>
      <c r="F22" s="3831">
        <f t="shared" si="0"/>
        <v>0</v>
      </c>
      <c r="G22" s="3828"/>
    </row>
    <row r="23" spans="1:7" ht="15" hidden="1">
      <c r="A23" s="4391">
        <v>11</v>
      </c>
      <c r="B23" s="4391" t="s">
        <v>4109</v>
      </c>
      <c r="C23" s="3831" t="s">
        <v>4100</v>
      </c>
      <c r="D23" s="3831">
        <f>(12+20)/2*(5+20)/2</f>
        <v>200</v>
      </c>
      <c r="E23" s="3831"/>
      <c r="F23" s="3831">
        <f t="shared" si="0"/>
        <v>0</v>
      </c>
      <c r="G23" s="3828"/>
    </row>
    <row r="24" spans="1:7" ht="15" hidden="1">
      <c r="A24" s="4391"/>
      <c r="B24" s="4391"/>
      <c r="C24" s="3831" t="s">
        <v>4098</v>
      </c>
      <c r="D24" s="3831">
        <f>(32+48+100)/3*(25+35+45)/3</f>
        <v>2100</v>
      </c>
      <c r="E24" s="3831"/>
      <c r="F24" s="3831">
        <f t="shared" si="0"/>
        <v>0</v>
      </c>
      <c r="G24" s="3828"/>
    </row>
    <row r="25" spans="1:7" ht="15" hidden="1">
      <c r="A25" s="4391">
        <v>12</v>
      </c>
      <c r="B25" s="4391" t="s">
        <v>4110</v>
      </c>
      <c r="C25" s="3831" t="s">
        <v>4100</v>
      </c>
      <c r="D25" s="3831">
        <f>(28+52)/2*(5+20)/2</f>
        <v>500</v>
      </c>
      <c r="E25" s="3831"/>
      <c r="F25" s="3831">
        <f t="shared" si="0"/>
        <v>0</v>
      </c>
      <c r="G25" s="3828"/>
    </row>
    <row r="26" spans="1:7" ht="15" hidden="1">
      <c r="A26" s="4391"/>
      <c r="B26" s="4391"/>
      <c r="C26" s="3831" t="s">
        <v>4098</v>
      </c>
      <c r="D26" s="3831">
        <f>(76+104+150)/3*(25+35+45)/3</f>
        <v>3850</v>
      </c>
      <c r="E26" s="3831"/>
      <c r="F26" s="3831">
        <f t="shared" si="0"/>
        <v>0</v>
      </c>
      <c r="G26" s="3828"/>
    </row>
    <row r="27" spans="1:7" ht="15" hidden="1">
      <c r="A27" s="4391">
        <v>13</v>
      </c>
      <c r="B27" s="4391" t="s">
        <v>4111</v>
      </c>
      <c r="C27" s="3831" t="s">
        <v>4100</v>
      </c>
      <c r="D27" s="3831">
        <f>(12+20)/2*(5+20)/2</f>
        <v>200</v>
      </c>
      <c r="E27" s="3831"/>
      <c r="F27" s="3831">
        <f t="shared" si="0"/>
        <v>0</v>
      </c>
      <c r="G27" s="3828"/>
    </row>
    <row r="28" spans="1:7" ht="15" hidden="1">
      <c r="A28" s="4391"/>
      <c r="B28" s="4391"/>
      <c r="C28" s="3831" t="s">
        <v>4098</v>
      </c>
      <c r="D28" s="3831">
        <f>(32+48+100)/3*(25+35+45)/3</f>
        <v>2100</v>
      </c>
      <c r="E28" s="3831"/>
      <c r="F28" s="3831">
        <f t="shared" si="0"/>
        <v>0</v>
      </c>
      <c r="G28" s="3828"/>
    </row>
    <row r="29" spans="1:7" ht="15" hidden="1">
      <c r="A29" s="4391"/>
      <c r="B29" s="4391"/>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391">
        <v>16</v>
      </c>
      <c r="B32" s="4391" t="s">
        <v>4115</v>
      </c>
      <c r="C32" s="3831" t="s">
        <v>4116</v>
      </c>
      <c r="D32" s="3831">
        <v>150</v>
      </c>
      <c r="E32" s="3831"/>
      <c r="F32" s="3831">
        <f t="shared" si="0"/>
        <v>0</v>
      </c>
      <c r="G32" s="3828"/>
    </row>
    <row r="33" spans="1:7" ht="15" hidden="1">
      <c r="A33" s="4391"/>
      <c r="B33" s="4391"/>
      <c r="C33" s="3831" t="s">
        <v>4117</v>
      </c>
      <c r="D33" s="3831">
        <v>150</v>
      </c>
      <c r="E33" s="3831"/>
      <c r="F33" s="3831">
        <f t="shared" si="0"/>
        <v>0</v>
      </c>
      <c r="G33" s="3828"/>
    </row>
    <row r="34" spans="1:7" ht="15" hidden="1">
      <c r="A34" s="4391">
        <v>17</v>
      </c>
      <c r="B34" s="4391" t="s">
        <v>4118</v>
      </c>
      <c r="C34" s="3831" t="s">
        <v>4100</v>
      </c>
      <c r="D34" s="3831">
        <f>ROUND((6+12)/2*(5+20)/2,0)</f>
        <v>113</v>
      </c>
      <c r="E34" s="3831"/>
      <c r="F34" s="3831">
        <f t="shared" si="0"/>
        <v>0</v>
      </c>
      <c r="G34" s="3828"/>
    </row>
    <row r="35" spans="1:7" ht="15">
      <c r="A35" s="4391"/>
      <c r="B35" s="4391"/>
      <c r="C35" s="3831" t="s">
        <v>4098</v>
      </c>
      <c r="D35" s="3831">
        <f>(20+32+56)/3*(25+35+45)/3</f>
        <v>1260</v>
      </c>
      <c r="E35" s="3831">
        <v>29</v>
      </c>
      <c r="F35" s="3831">
        <f t="shared" si="0"/>
        <v>36540</v>
      </c>
      <c r="G35" s="3828"/>
    </row>
    <row r="36" spans="1:7" ht="15" hidden="1">
      <c r="A36" s="4391"/>
      <c r="B36" s="4391"/>
      <c r="C36" s="3831" t="s">
        <v>4101</v>
      </c>
      <c r="D36" s="3831">
        <f>56*50</f>
        <v>2800</v>
      </c>
      <c r="E36" s="3831"/>
      <c r="F36" s="3831">
        <f t="shared" si="0"/>
        <v>0</v>
      </c>
      <c r="G36" s="3828"/>
    </row>
    <row r="37" spans="1:7" ht="15" hidden="1">
      <c r="A37" s="4391">
        <v>18</v>
      </c>
      <c r="B37" s="4391" t="s">
        <v>4119</v>
      </c>
      <c r="C37" s="3831" t="s">
        <v>4120</v>
      </c>
      <c r="D37" s="3831">
        <f>(28+52)/2*(5+20)/2</f>
        <v>500</v>
      </c>
      <c r="E37" s="3831"/>
      <c r="F37" s="3831">
        <f t="shared" si="0"/>
        <v>0</v>
      </c>
      <c r="G37" s="3828"/>
    </row>
    <row r="38" spans="1:7" ht="15" hidden="1">
      <c r="A38" s="4391"/>
      <c r="B38" s="4391"/>
      <c r="C38" s="3831" t="s">
        <v>4121</v>
      </c>
      <c r="D38" s="3831">
        <f>(76+104+150)/3*(25+35+45)/3</f>
        <v>3850</v>
      </c>
      <c r="E38" s="3831"/>
      <c r="F38" s="3831">
        <f t="shared" si="0"/>
        <v>0</v>
      </c>
      <c r="G38" s="3828"/>
    </row>
    <row r="39" spans="1:7" ht="15">
      <c r="A39" s="4391">
        <v>19</v>
      </c>
      <c r="B39" s="4391" t="s">
        <v>4122</v>
      </c>
      <c r="C39" s="3831" t="s">
        <v>4120</v>
      </c>
      <c r="D39" s="3831">
        <f>(12+20)/2*(5+20)/2</f>
        <v>200</v>
      </c>
      <c r="E39" s="3831">
        <v>10</v>
      </c>
      <c r="F39" s="3831">
        <f t="shared" si="0"/>
        <v>2000</v>
      </c>
      <c r="G39" s="3828"/>
    </row>
    <row r="40" spans="1:7" ht="15" hidden="1">
      <c r="A40" s="4391"/>
      <c r="B40" s="4391"/>
      <c r="C40" s="3831" t="s">
        <v>4121</v>
      </c>
      <c r="D40" s="3831">
        <f>(32+48+100)/3*(25+35+45)/3</f>
        <v>2100</v>
      </c>
      <c r="E40" s="3831"/>
      <c r="F40" s="3831">
        <f t="shared" si="0"/>
        <v>0</v>
      </c>
      <c r="G40" s="3828"/>
    </row>
    <row r="41" spans="1:7" ht="15" hidden="1">
      <c r="A41" s="4391"/>
      <c r="B41" s="4391"/>
      <c r="C41" s="3831" t="s">
        <v>4123</v>
      </c>
      <c r="D41" s="3831">
        <f>100*50</f>
        <v>5000</v>
      </c>
      <c r="E41" s="3831"/>
      <c r="F41" s="3831">
        <f t="shared" si="0"/>
        <v>0</v>
      </c>
      <c r="G41" s="3828"/>
    </row>
    <row r="42" spans="1:7" ht="15" hidden="1">
      <c r="A42" s="4391">
        <v>20</v>
      </c>
      <c r="B42" s="4391" t="s">
        <v>4124</v>
      </c>
      <c r="C42" s="3831" t="s">
        <v>4100</v>
      </c>
      <c r="D42" s="3831">
        <f>(20+44)/2*(5+20)/2</f>
        <v>400</v>
      </c>
      <c r="E42" s="3831"/>
      <c r="F42" s="3831">
        <f t="shared" si="0"/>
        <v>0</v>
      </c>
      <c r="G42" s="3828"/>
    </row>
    <row r="43" spans="1:7" ht="15">
      <c r="A43" s="4391"/>
      <c r="B43" s="4391"/>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5">
        <v>20</v>
      </c>
      <c r="E45" s="3831">
        <v>145</v>
      </c>
      <c r="F45" s="3831">
        <f t="shared" si="0"/>
        <v>2900</v>
      </c>
      <c r="G45" s="3828"/>
    </row>
    <row r="46" spans="1:7" ht="15">
      <c r="A46" s="4392">
        <v>23</v>
      </c>
      <c r="B46" s="4394" t="s">
        <v>4129</v>
      </c>
      <c r="C46" s="3841" t="s">
        <v>4131</v>
      </c>
      <c r="D46" s="3841">
        <f>(12+20)/2*(5+20)/2</f>
        <v>200</v>
      </c>
      <c r="E46" s="3831">
        <v>5</v>
      </c>
      <c r="F46" s="3831">
        <f t="shared" si="0"/>
        <v>1000</v>
      </c>
      <c r="G46" s="3828"/>
    </row>
    <row r="47" spans="1:7" ht="15" hidden="1">
      <c r="A47" s="4393"/>
      <c r="B47" s="4395"/>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828"/>
    </row>
  </sheetData>
  <mergeCells count="31">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 ref="A46:A47"/>
    <mergeCell ref="B46:B47"/>
    <mergeCell ref="A32:A33"/>
    <mergeCell ref="B32:B33"/>
    <mergeCell ref="A34:A36"/>
    <mergeCell ref="B34:B36"/>
    <mergeCell ref="A37:A38"/>
    <mergeCell ref="B37:B38"/>
    <mergeCell ref="B21:B22"/>
    <mergeCell ref="A4:A5"/>
    <mergeCell ref="B4:B5"/>
    <mergeCell ref="A6:A8"/>
    <mergeCell ref="B6:B8"/>
    <mergeCell ref="A10:A12"/>
    <mergeCell ref="B10:B12"/>
  </mergeCells>
  <phoneticPr fontId="228"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32" t="s">
        <v>516</v>
      </c>
      <c r="D4" s="4133"/>
      <c r="E4" s="4190" t="s">
        <v>517</v>
      </c>
      <c r="F4" s="4191"/>
      <c r="G4" s="4132" t="s">
        <v>518</v>
      </c>
      <c r="H4" s="4133"/>
      <c r="I4" s="4132" t="s">
        <v>519</v>
      </c>
      <c r="J4" s="4133"/>
      <c r="K4" s="508" t="s">
        <v>520</v>
      </c>
      <c r="L4" s="2015"/>
      <c r="M4" s="2016"/>
      <c r="N4" s="2016"/>
      <c r="O4" s="2016"/>
      <c r="P4" s="4134" t="s">
        <v>521</v>
      </c>
      <c r="Q4" s="4135"/>
      <c r="R4" s="4120" t="s">
        <v>517</v>
      </c>
      <c r="S4" s="4121"/>
      <c r="T4" s="4120" t="s">
        <v>518</v>
      </c>
      <c r="U4" s="4121"/>
      <c r="V4" s="4140" t="s">
        <v>519</v>
      </c>
      <c r="W4" s="4140"/>
      <c r="X4" s="1502"/>
      <c r="Y4" s="4120" t="s">
        <v>521</v>
      </c>
      <c r="Z4" s="4121"/>
      <c r="AA4" s="4115" t="s">
        <v>517</v>
      </c>
      <c r="AB4" s="4116" t="s">
        <v>518</v>
      </c>
      <c r="AC4" s="4115" t="s">
        <v>519</v>
      </c>
    </row>
    <row r="5" spans="1:29" ht="15">
      <c r="A5" s="509"/>
      <c r="B5" s="510"/>
      <c r="C5" s="4143" t="s">
        <v>2897</v>
      </c>
      <c r="D5" s="4144"/>
      <c r="E5" s="4186" t="s">
        <v>2898</v>
      </c>
      <c r="F5" s="4187"/>
      <c r="G5" s="4143" t="s">
        <v>2899</v>
      </c>
      <c r="H5" s="4144"/>
      <c r="I5" s="4143" t="s">
        <v>2900</v>
      </c>
      <c r="J5" s="4144"/>
      <c r="K5" s="508"/>
      <c r="L5" s="2015"/>
      <c r="M5" s="2016"/>
      <c r="N5" s="2016"/>
      <c r="O5" s="2016"/>
      <c r="P5" s="4136"/>
      <c r="Q5" s="4137"/>
      <c r="R5" s="4122"/>
      <c r="S5" s="4123"/>
      <c r="T5" s="4122"/>
      <c r="U5" s="4123"/>
      <c r="V5" s="4140"/>
      <c r="W5" s="4140"/>
      <c r="X5" s="1502"/>
      <c r="Y5" s="4122"/>
      <c r="Z5" s="4123"/>
      <c r="AA5" s="4116"/>
      <c r="AB5" s="4116"/>
      <c r="AC5" s="4116"/>
    </row>
    <row r="6" spans="1:29" ht="15.75" thickBot="1">
      <c r="A6" s="511"/>
      <c r="B6" s="512"/>
      <c r="C6" s="4141" t="s">
        <v>2901</v>
      </c>
      <c r="D6" s="4142"/>
      <c r="E6" s="4188" t="s">
        <v>2901</v>
      </c>
      <c r="F6" s="4189"/>
      <c r="G6" s="4141" t="s">
        <v>2901</v>
      </c>
      <c r="H6" s="4142"/>
      <c r="I6" s="4141" t="s">
        <v>2901</v>
      </c>
      <c r="J6" s="4142"/>
      <c r="K6" s="508" t="s">
        <v>522</v>
      </c>
      <c r="L6" s="2015"/>
      <c r="M6" s="2016"/>
      <c r="N6" s="2016"/>
      <c r="O6" s="2016"/>
      <c r="P6" s="4138"/>
      <c r="Q6" s="4139"/>
      <c r="R6" s="4122"/>
      <c r="S6" s="4123"/>
      <c r="T6" s="4124"/>
      <c r="U6" s="4125"/>
      <c r="V6" s="4140"/>
      <c r="W6" s="4140"/>
      <c r="X6" s="1502"/>
      <c r="Y6" s="4124"/>
      <c r="Z6" s="4125"/>
      <c r="AA6" s="4117"/>
      <c r="AB6" s="4117"/>
      <c r="AC6" s="4117"/>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18" t="s">
        <v>524</v>
      </c>
      <c r="Q7" s="4127"/>
      <c r="R7" s="1503" t="s">
        <v>8</v>
      </c>
      <c r="S7" s="1504">
        <f t="shared" ref="S7:S15" si="0">F7</f>
        <v>0</v>
      </c>
      <c r="T7" s="1503" t="s">
        <v>8</v>
      </c>
      <c r="U7" s="1504">
        <f t="shared" ref="U7:U15" si="1">H7</f>
        <v>0</v>
      </c>
      <c r="V7" s="1503" t="s">
        <v>8</v>
      </c>
      <c r="W7" s="1504">
        <f t="shared" ref="W7:W15" si="2">J7</f>
        <v>0</v>
      </c>
      <c r="X7" s="1505"/>
      <c r="Y7" s="4118" t="s">
        <v>524</v>
      </c>
      <c r="Z7" s="4119"/>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18" t="s">
        <v>527</v>
      </c>
      <c r="Q8" s="4119"/>
      <c r="R8" s="1503" t="s">
        <v>8</v>
      </c>
      <c r="S8" s="1504">
        <f t="shared" si="0"/>
        <v>0</v>
      </c>
      <c r="T8" s="1503" t="s">
        <v>8</v>
      </c>
      <c r="U8" s="1504">
        <f t="shared" si="1"/>
        <v>0</v>
      </c>
      <c r="V8" s="1503" t="s">
        <v>8</v>
      </c>
      <c r="W8" s="1504">
        <f t="shared" si="2"/>
        <v>0</v>
      </c>
      <c r="X8" s="1505"/>
      <c r="Y8" s="4118" t="s">
        <v>527</v>
      </c>
      <c r="Z8" s="4119"/>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26" t="s">
        <v>529</v>
      </c>
      <c r="Q9" s="1134" t="str">
        <f t="shared" ref="Q9:Q15" si="6">B9</f>
        <v>用途</v>
      </c>
      <c r="R9" s="1503" t="s">
        <v>8</v>
      </c>
      <c r="S9" s="1504">
        <f t="shared" si="0"/>
        <v>100</v>
      </c>
      <c r="T9" s="1503" t="s">
        <v>8</v>
      </c>
      <c r="U9" s="1504">
        <f t="shared" si="1"/>
        <v>100</v>
      </c>
      <c r="V9" s="1503" t="s">
        <v>8</v>
      </c>
      <c r="W9" s="1504">
        <f t="shared" si="2"/>
        <v>100</v>
      </c>
      <c r="X9" s="1505"/>
      <c r="Y9" s="4049"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26"/>
      <c r="Q10" s="1134" t="str">
        <f t="shared" si="6"/>
        <v>土地使用年限（年）</v>
      </c>
      <c r="R10" s="1503" t="s">
        <v>8</v>
      </c>
      <c r="S10" s="1504">
        <f t="shared" si="0"/>
        <v>100</v>
      </c>
      <c r="T10" s="1503" t="s">
        <v>8</v>
      </c>
      <c r="U10" s="1504">
        <f t="shared" si="1"/>
        <v>100</v>
      </c>
      <c r="V10" s="1503" t="s">
        <v>8</v>
      </c>
      <c r="W10" s="1504">
        <f t="shared" si="2"/>
        <v>100</v>
      </c>
      <c r="X10" s="1505"/>
      <c r="Y10" s="4049"/>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26"/>
      <c r="Q11" s="1134" t="str">
        <f t="shared" si="6"/>
        <v>容积率</v>
      </c>
      <c r="R11" s="1503" t="s">
        <v>8</v>
      </c>
      <c r="S11" s="1504" t="e">
        <f t="shared" si="0"/>
        <v>#N/A</v>
      </c>
      <c r="T11" s="1503" t="s">
        <v>8</v>
      </c>
      <c r="U11" s="1504" t="e">
        <f t="shared" si="1"/>
        <v>#N/A</v>
      </c>
      <c r="V11" s="1503" t="s">
        <v>8</v>
      </c>
      <c r="W11" s="1504" t="e">
        <f t="shared" si="2"/>
        <v>#N/A</v>
      </c>
      <c r="X11" s="1505"/>
      <c r="Y11" s="4049"/>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26"/>
      <c r="Q12" s="1134">
        <f t="shared" si="6"/>
        <v>111</v>
      </c>
      <c r="R12" s="1503" t="s">
        <v>8</v>
      </c>
      <c r="S12" s="1504">
        <f t="shared" si="0"/>
        <v>100</v>
      </c>
      <c r="T12" s="1503" t="s">
        <v>8</v>
      </c>
      <c r="U12" s="1504">
        <f t="shared" si="1"/>
        <v>100</v>
      </c>
      <c r="V12" s="1503" t="s">
        <v>8</v>
      </c>
      <c r="W12" s="1504">
        <f t="shared" si="2"/>
        <v>100</v>
      </c>
      <c r="X12" s="1505"/>
      <c r="Y12" s="4049"/>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26"/>
      <c r="Q13" s="1134">
        <f t="shared" si="6"/>
        <v>111</v>
      </c>
      <c r="R13" s="1503" t="s">
        <v>8</v>
      </c>
      <c r="S13" s="1504">
        <f t="shared" si="0"/>
        <v>100</v>
      </c>
      <c r="T13" s="1503" t="s">
        <v>8</v>
      </c>
      <c r="U13" s="1504">
        <f t="shared" si="1"/>
        <v>100</v>
      </c>
      <c r="V13" s="1503" t="s">
        <v>8</v>
      </c>
      <c r="W13" s="1504">
        <f t="shared" si="2"/>
        <v>100</v>
      </c>
      <c r="X13" s="1505"/>
      <c r="Y13" s="4049"/>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26"/>
      <c r="Q14" s="1134">
        <f t="shared" si="6"/>
        <v>111</v>
      </c>
      <c r="R14" s="1503" t="s">
        <v>8</v>
      </c>
      <c r="S14" s="1504">
        <f t="shared" si="0"/>
        <v>100</v>
      </c>
      <c r="T14" s="1503" t="s">
        <v>8</v>
      </c>
      <c r="U14" s="1504">
        <f t="shared" si="1"/>
        <v>100</v>
      </c>
      <c r="V14" s="1503" t="s">
        <v>8</v>
      </c>
      <c r="W14" s="1504">
        <f t="shared" si="2"/>
        <v>100</v>
      </c>
      <c r="X14" s="1505"/>
      <c r="Y14" s="4049"/>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28" t="s">
        <v>534</v>
      </c>
      <c r="Q15" s="1507" t="str">
        <f t="shared" si="6"/>
        <v>产业集聚程度</v>
      </c>
      <c r="R15" s="1508" t="s">
        <v>8</v>
      </c>
      <c r="S15" s="1509">
        <f t="shared" si="0"/>
        <v>100</v>
      </c>
      <c r="T15" s="1508" t="s">
        <v>8</v>
      </c>
      <c r="U15" s="1509">
        <f t="shared" si="1"/>
        <v>100</v>
      </c>
      <c r="V15" s="1508" t="s">
        <v>8</v>
      </c>
      <c r="W15" s="1509">
        <f t="shared" si="2"/>
        <v>100</v>
      </c>
      <c r="X15" s="1502"/>
      <c r="Y15" s="412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29"/>
      <c r="Q16" s="1507"/>
      <c r="R16" s="1508"/>
      <c r="S16" s="1509"/>
      <c r="T16" s="1508"/>
      <c r="U16" s="1509"/>
      <c r="V16" s="1508"/>
      <c r="W16" s="1509"/>
      <c r="X16" s="1502"/>
      <c r="Y16" s="412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29"/>
      <c r="Q17" s="1507" t="str">
        <f>B17</f>
        <v>交通便捷度</v>
      </c>
      <c r="R17" s="1508" t="s">
        <v>8</v>
      </c>
      <c r="S17" s="1509">
        <f>F17</f>
        <v>100</v>
      </c>
      <c r="T17" s="1508" t="s">
        <v>8</v>
      </c>
      <c r="U17" s="1509">
        <f>H17</f>
        <v>100</v>
      </c>
      <c r="V17" s="1508" t="s">
        <v>8</v>
      </c>
      <c r="W17" s="1509">
        <f>J17</f>
        <v>100</v>
      </c>
      <c r="X17" s="1502"/>
      <c r="Y17" s="412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29"/>
      <c r="Q18" s="1507"/>
      <c r="R18" s="1508"/>
      <c r="S18" s="1509"/>
      <c r="T18" s="1508"/>
      <c r="U18" s="1509"/>
      <c r="V18" s="1508"/>
      <c r="W18" s="1509"/>
      <c r="X18" s="1502"/>
      <c r="Y18" s="4129"/>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29"/>
      <c r="Q19" s="1507" t="str">
        <f>B19</f>
        <v>公共配套设施</v>
      </c>
      <c r="R19" s="1508" t="s">
        <v>8</v>
      </c>
      <c r="S19" s="1509">
        <f>F19</f>
        <v>100</v>
      </c>
      <c r="T19" s="1508" t="s">
        <v>8</v>
      </c>
      <c r="U19" s="1509">
        <f>H19</f>
        <v>100</v>
      </c>
      <c r="V19" s="1508" t="s">
        <v>8</v>
      </c>
      <c r="W19" s="1509">
        <f>J19</f>
        <v>100</v>
      </c>
      <c r="X19" s="1502"/>
      <c r="Y19" s="412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29"/>
      <c r="Q20" s="1507"/>
      <c r="R20" s="1508"/>
      <c r="S20" s="1509"/>
      <c r="T20" s="1508"/>
      <c r="U20" s="1509"/>
      <c r="V20" s="1508"/>
      <c r="W20" s="1509"/>
      <c r="X20" s="1502"/>
      <c r="Y20" s="4129"/>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29"/>
      <c r="Q21" s="2429" t="str">
        <f>B21</f>
        <v>基础设施水平</v>
      </c>
      <c r="R21" s="1508" t="s">
        <v>8</v>
      </c>
      <c r="S21" s="1509">
        <f>F21</f>
        <v>100</v>
      </c>
      <c r="T21" s="1508" t="s">
        <v>8</v>
      </c>
      <c r="U21" s="1509">
        <f>H21</f>
        <v>100</v>
      </c>
      <c r="V21" s="1508" t="s">
        <v>8</v>
      </c>
      <c r="W21" s="1509">
        <f>J21</f>
        <v>100</v>
      </c>
      <c r="X21" s="2431"/>
      <c r="Y21" s="4129"/>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29"/>
      <c r="Q22" s="2429"/>
      <c r="R22" s="1508"/>
      <c r="S22" s="1509"/>
      <c r="T22" s="1508"/>
      <c r="U22" s="1509"/>
      <c r="V22" s="1508"/>
      <c r="W22" s="1509"/>
      <c r="X22" s="2431"/>
      <c r="Y22" s="4129"/>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29"/>
      <c r="Q23" s="1507" t="str">
        <f>B23</f>
        <v>环境质量</v>
      </c>
      <c r="R23" s="1508" t="s">
        <v>8</v>
      </c>
      <c r="S23" s="1509">
        <f>F23</f>
        <v>100</v>
      </c>
      <c r="T23" s="1508" t="s">
        <v>8</v>
      </c>
      <c r="U23" s="1509">
        <f>H23</f>
        <v>100</v>
      </c>
      <c r="V23" s="1508" t="s">
        <v>8</v>
      </c>
      <c r="W23" s="1509">
        <f>J23</f>
        <v>100</v>
      </c>
      <c r="X23" s="1502"/>
      <c r="Y23" s="412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29"/>
      <c r="Q24" s="1507"/>
      <c r="R24" s="1508"/>
      <c r="S24" s="1509"/>
      <c r="T24" s="1508"/>
      <c r="U24" s="1509"/>
      <c r="V24" s="1508"/>
      <c r="W24" s="1509"/>
      <c r="X24" s="1502"/>
      <c r="Y24" s="412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29"/>
      <c r="Q25" s="1507">
        <f>B25</f>
        <v>111</v>
      </c>
      <c r="R25" s="1508" t="s">
        <v>8</v>
      </c>
      <c r="S25" s="1509">
        <f>F25</f>
        <v>100</v>
      </c>
      <c r="T25" s="1508" t="s">
        <v>8</v>
      </c>
      <c r="U25" s="1509">
        <f>H25</f>
        <v>100</v>
      </c>
      <c r="V25" s="1508" t="s">
        <v>8</v>
      </c>
      <c r="W25" s="1509">
        <f>J25</f>
        <v>100</v>
      </c>
      <c r="X25" s="1502"/>
      <c r="Y25" s="412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29"/>
      <c r="Q26" s="1507">
        <f t="shared" ref="Q26:Q40" si="11">B26</f>
        <v>111</v>
      </c>
      <c r="R26" s="1508" t="s">
        <v>8</v>
      </c>
      <c r="S26" s="1509">
        <f>F26</f>
        <v>100</v>
      </c>
      <c r="T26" s="1508" t="s">
        <v>8</v>
      </c>
      <c r="U26" s="1509">
        <f>H26</f>
        <v>100</v>
      </c>
      <c r="V26" s="1508" t="s">
        <v>8</v>
      </c>
      <c r="W26" s="1509">
        <f>J26</f>
        <v>100</v>
      </c>
      <c r="X26" s="1502"/>
      <c r="Y26" s="412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29"/>
      <c r="Q27" s="1134">
        <f t="shared" si="11"/>
        <v>111</v>
      </c>
      <c r="R27" s="1503" t="s">
        <v>8</v>
      </c>
      <c r="S27" s="1504">
        <f>F27</f>
        <v>100</v>
      </c>
      <c r="T27" s="1503" t="s">
        <v>8</v>
      </c>
      <c r="U27" s="1504">
        <f>H27</f>
        <v>100</v>
      </c>
      <c r="V27" s="1503" t="s">
        <v>8</v>
      </c>
      <c r="W27" s="1504">
        <f>J27</f>
        <v>100</v>
      </c>
      <c r="X27" s="1505"/>
      <c r="Y27" s="412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29"/>
      <c r="Q28" s="1507">
        <f t="shared" si="11"/>
        <v>111</v>
      </c>
      <c r="R28" s="1508" t="s">
        <v>8</v>
      </c>
      <c r="S28" s="1509">
        <f t="shared" ref="S28:S40" si="12">F28</f>
        <v>100</v>
      </c>
      <c r="T28" s="1508" t="s">
        <v>8</v>
      </c>
      <c r="U28" s="1509">
        <f t="shared" ref="U28:U40" si="13">H28</f>
        <v>100</v>
      </c>
      <c r="V28" s="1508" t="s">
        <v>8</v>
      </c>
      <c r="W28" s="1509">
        <f t="shared" ref="W28:W40" si="14">J28</f>
        <v>100</v>
      </c>
      <c r="X28" s="1502"/>
      <c r="Y28" s="4129"/>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30" t="s">
        <v>544</v>
      </c>
      <c r="Q29" s="1507" t="str">
        <f t="shared" si="11"/>
        <v>建筑类型</v>
      </c>
      <c r="R29" s="1508" t="s">
        <v>8</v>
      </c>
      <c r="S29" s="1509">
        <f t="shared" si="12"/>
        <v>100</v>
      </c>
      <c r="T29" s="1508" t="s">
        <v>8</v>
      </c>
      <c r="U29" s="1509">
        <f t="shared" si="13"/>
        <v>100</v>
      </c>
      <c r="V29" s="1508" t="s">
        <v>8</v>
      </c>
      <c r="W29" s="1509">
        <f t="shared" si="14"/>
        <v>100</v>
      </c>
      <c r="X29" s="1502"/>
      <c r="Y29" s="413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31"/>
      <c r="Q30" s="1536" t="str">
        <f t="shared" si="11"/>
        <v>项目建筑规模</v>
      </c>
      <c r="R30" s="1512" t="s">
        <v>8</v>
      </c>
      <c r="S30" s="1513" t="e">
        <f t="shared" si="12"/>
        <v>#N/A</v>
      </c>
      <c r="T30" s="1512" t="s">
        <v>8</v>
      </c>
      <c r="U30" s="1513" t="e">
        <f t="shared" si="13"/>
        <v>#N/A</v>
      </c>
      <c r="V30" s="1512" t="s">
        <v>8</v>
      </c>
      <c r="W30" s="1513" t="e">
        <f t="shared" si="14"/>
        <v>#N/A</v>
      </c>
      <c r="X30" s="1514"/>
      <c r="Y30" s="413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31"/>
      <c r="Q31" s="1507" t="str">
        <f t="shared" si="11"/>
        <v>建筑结构</v>
      </c>
      <c r="R31" s="1508" t="s">
        <v>8</v>
      </c>
      <c r="S31" s="1509">
        <f t="shared" si="12"/>
        <v>100</v>
      </c>
      <c r="T31" s="1508" t="s">
        <v>8</v>
      </c>
      <c r="U31" s="1509">
        <f t="shared" si="13"/>
        <v>100</v>
      </c>
      <c r="V31" s="1508" t="s">
        <v>8</v>
      </c>
      <c r="W31" s="1509">
        <f t="shared" si="14"/>
        <v>100</v>
      </c>
      <c r="X31" s="1502"/>
      <c r="Y31" s="413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31"/>
      <c r="Q32" s="1507" t="str">
        <f t="shared" si="11"/>
        <v>公共部分装修</v>
      </c>
      <c r="R32" s="1508" t="s">
        <v>8</v>
      </c>
      <c r="S32" s="1509">
        <f t="shared" si="12"/>
        <v>100</v>
      </c>
      <c r="T32" s="1508" t="s">
        <v>8</v>
      </c>
      <c r="U32" s="1509">
        <f t="shared" si="13"/>
        <v>100</v>
      </c>
      <c r="V32" s="1508" t="s">
        <v>8</v>
      </c>
      <c r="W32" s="1509">
        <f t="shared" si="14"/>
        <v>100</v>
      </c>
      <c r="X32" s="1502"/>
      <c r="Y32" s="413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31"/>
      <c r="Q33" s="1507" t="str">
        <f t="shared" si="11"/>
        <v>成新度</v>
      </c>
      <c r="R33" s="1508" t="s">
        <v>8</v>
      </c>
      <c r="S33" s="1509" t="e">
        <f t="shared" si="12"/>
        <v>#N/A</v>
      </c>
      <c r="T33" s="1508" t="s">
        <v>8</v>
      </c>
      <c r="U33" s="1509" t="e">
        <f t="shared" si="13"/>
        <v>#N/A</v>
      </c>
      <c r="V33" s="1508" t="s">
        <v>8</v>
      </c>
      <c r="W33" s="1509" t="e">
        <f t="shared" si="14"/>
        <v>#N/A</v>
      </c>
      <c r="X33" s="1502"/>
      <c r="Y33" s="413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31"/>
      <c r="Q34" s="1134" t="str">
        <f t="shared" si="11"/>
        <v>物业管理</v>
      </c>
      <c r="R34" s="1503" t="s">
        <v>8</v>
      </c>
      <c r="S34" s="1504">
        <f t="shared" si="12"/>
        <v>100</v>
      </c>
      <c r="T34" s="1503" t="s">
        <v>8</v>
      </c>
      <c r="U34" s="1504">
        <f t="shared" si="13"/>
        <v>100</v>
      </c>
      <c r="V34" s="1503" t="s">
        <v>8</v>
      </c>
      <c r="W34" s="1504">
        <f t="shared" si="14"/>
        <v>100</v>
      </c>
      <c r="X34" s="1505"/>
      <c r="Y34" s="4131"/>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31" t="s">
        <v>544</v>
      </c>
      <c r="Q35" s="1507" t="str">
        <f t="shared" si="11"/>
        <v>市政基础设施</v>
      </c>
      <c r="R35" s="1508" t="s">
        <v>8</v>
      </c>
      <c r="S35" s="1509">
        <f t="shared" si="12"/>
        <v>100</v>
      </c>
      <c r="T35" s="1508" t="s">
        <v>8</v>
      </c>
      <c r="U35" s="1509">
        <f t="shared" si="13"/>
        <v>100</v>
      </c>
      <c r="V35" s="1508" t="s">
        <v>8</v>
      </c>
      <c r="W35" s="1509">
        <f t="shared" si="14"/>
        <v>100</v>
      </c>
      <c r="X35" s="1502"/>
      <c r="Y35" s="413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31"/>
      <c r="Q36" s="1507" t="str">
        <f t="shared" si="11"/>
        <v>内部装修</v>
      </c>
      <c r="R36" s="1508" t="s">
        <v>8</v>
      </c>
      <c r="S36" s="1509">
        <f t="shared" si="12"/>
        <v>100</v>
      </c>
      <c r="T36" s="1508" t="s">
        <v>8</v>
      </c>
      <c r="U36" s="1509">
        <f t="shared" si="13"/>
        <v>100</v>
      </c>
      <c r="V36" s="1508" t="s">
        <v>8</v>
      </c>
      <c r="W36" s="1509">
        <f t="shared" si="14"/>
        <v>100</v>
      </c>
      <c r="X36" s="1502"/>
      <c r="Y36" s="413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31"/>
      <c r="Q37" s="1507" t="str">
        <f t="shared" si="11"/>
        <v>内部装修状况</v>
      </c>
      <c r="R37" s="1508" t="s">
        <v>8</v>
      </c>
      <c r="S37" s="1509">
        <f t="shared" si="12"/>
        <v>100</v>
      </c>
      <c r="T37" s="1508" t="s">
        <v>8</v>
      </c>
      <c r="U37" s="1509">
        <f t="shared" si="13"/>
        <v>100</v>
      </c>
      <c r="V37" s="1508" t="s">
        <v>8</v>
      </c>
      <c r="W37" s="1509">
        <f t="shared" si="14"/>
        <v>100</v>
      </c>
      <c r="X37" s="1502"/>
      <c r="Y37" s="413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31"/>
      <c r="Q38" s="1536">
        <f t="shared" si="11"/>
        <v>111</v>
      </c>
      <c r="R38" s="1512" t="s">
        <v>8</v>
      </c>
      <c r="S38" s="1513">
        <f t="shared" si="12"/>
        <v>100</v>
      </c>
      <c r="T38" s="1512" t="s">
        <v>8</v>
      </c>
      <c r="U38" s="1513">
        <f t="shared" si="13"/>
        <v>100</v>
      </c>
      <c r="V38" s="1512" t="s">
        <v>8</v>
      </c>
      <c r="W38" s="1513">
        <f t="shared" si="14"/>
        <v>100</v>
      </c>
      <c r="X38" s="1514"/>
      <c r="Y38" s="413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31"/>
      <c r="Q39" s="1507">
        <f t="shared" si="11"/>
        <v>111</v>
      </c>
      <c r="R39" s="1508" t="s">
        <v>8</v>
      </c>
      <c r="S39" s="1509">
        <f t="shared" si="12"/>
        <v>100</v>
      </c>
      <c r="T39" s="1508" t="s">
        <v>8</v>
      </c>
      <c r="U39" s="1509">
        <f t="shared" si="13"/>
        <v>100</v>
      </c>
      <c r="V39" s="1508" t="s">
        <v>8</v>
      </c>
      <c r="W39" s="1509">
        <f t="shared" si="14"/>
        <v>100</v>
      </c>
      <c r="X39" s="1502"/>
      <c r="Y39" s="413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194"/>
      <c r="Q40" s="1507">
        <f t="shared" si="11"/>
        <v>111</v>
      </c>
      <c r="R40" s="1508" t="s">
        <v>8</v>
      </c>
      <c r="S40" s="1509">
        <f t="shared" si="12"/>
        <v>100</v>
      </c>
      <c r="T40" s="1508" t="s">
        <v>8</v>
      </c>
      <c r="U40" s="1509">
        <f t="shared" si="13"/>
        <v>100</v>
      </c>
      <c r="V40" s="1508" t="s">
        <v>8</v>
      </c>
      <c r="W40" s="1509">
        <f t="shared" si="14"/>
        <v>100</v>
      </c>
      <c r="X40" s="1502"/>
      <c r="Y40" s="4194"/>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26" t="str">
        <f>A41</f>
        <v>成交单价（元/平方米）</v>
      </c>
      <c r="Q41" s="4126"/>
      <c r="R41" s="4193">
        <f>E41</f>
        <v>0</v>
      </c>
      <c r="S41" s="4193"/>
      <c r="T41" s="4193">
        <f>G41</f>
        <v>0</v>
      </c>
      <c r="U41" s="4193"/>
      <c r="V41" s="4193">
        <f>I41</f>
        <v>0</v>
      </c>
      <c r="W41" s="4193"/>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26" t="str">
        <f>A42</f>
        <v>比较价格（元/平方米）</v>
      </c>
      <c r="Q42" s="4126"/>
      <c r="R42" s="4193" t="e">
        <f>IF(F1="售价",ROUND(PRODUCT(R41,AA7:AA40),0),ROUND(PRODUCT(R41,AA7:AA40),1))</f>
        <v>#DIV/0!</v>
      </c>
      <c r="S42" s="4193"/>
      <c r="T42" s="4193" t="e">
        <f>IF(F1="售价",ROUND(PRODUCT(T41,AB7:AB40),0),ROUND(PRODUCT(T41,AB7:AB40),1))</f>
        <v>#DIV/0!</v>
      </c>
      <c r="U42" s="4193"/>
      <c r="V42" s="4193" t="e">
        <f>IF(F1="售价",ROUND(PRODUCT(V41,AC7:AC40),0),ROUND(PRODUCT(V41,AC7:AC40),1))</f>
        <v>#DIV/0!</v>
      </c>
      <c r="W42" s="4193"/>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147" t="str">
        <f>A43</f>
        <v>估价对象XX用房的比较价格（楼面单价，元/平方米）</v>
      </c>
      <c r="Q43" s="4148"/>
      <c r="R43" s="4192" t="e">
        <f>IF(F1="售价",ROUND(IF(D42="简单平均",AVERAGE(R42:V42),R42*F42+T42*H42+V42*J42),0),ROUND(IF(D42="简单平均",AVERAGE(R42:V42),R42*F42+T42*H42+V42*J42),1))</f>
        <v>#DIV/0!</v>
      </c>
      <c r="S43" s="4192"/>
      <c r="T43" s="4192"/>
      <c r="U43" s="4192"/>
      <c r="V43" s="4192"/>
      <c r="W43" s="4192"/>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249977111117893"/>
  </sheetPr>
  <dimension ref="A1:G33"/>
  <sheetViews>
    <sheetView zoomScale="90" zoomScaleNormal="90" workbookViewId="0">
      <selection activeCell="A16" sqref="A16:D19"/>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401" t="s">
        <v>3908</v>
      </c>
      <c r="B2" s="4401"/>
      <c r="C2" s="4401"/>
      <c r="D2" s="4401"/>
      <c r="F2" s="3248" t="s">
        <v>4232</v>
      </c>
      <c r="G2" s="3855">
        <v>0.44</v>
      </c>
    </row>
    <row r="3" spans="1:7">
      <c r="A3" s="4399" t="s">
        <v>3909</v>
      </c>
      <c r="B3" s="4399"/>
      <c r="C3" s="4400">
        <v>0.75</v>
      </c>
      <c r="D3" s="4400"/>
      <c r="F3" s="3856" t="s">
        <v>4233</v>
      </c>
      <c r="G3" s="3857">
        <v>0.3</v>
      </c>
    </row>
    <row r="4" spans="1:7">
      <c r="A4" s="4399" t="s">
        <v>3910</v>
      </c>
      <c r="B4" s="4399"/>
      <c r="C4" s="4400">
        <v>30</v>
      </c>
      <c r="D4" s="4400"/>
      <c r="F4" s="3248" t="s">
        <v>4234</v>
      </c>
      <c r="G4" s="3855">
        <v>0.16</v>
      </c>
    </row>
    <row r="5" spans="1:7">
      <c r="A5" s="4399" t="s">
        <v>3911</v>
      </c>
      <c r="B5" s="4399"/>
      <c r="C5" s="4400">
        <v>7785.17</v>
      </c>
      <c r="D5" s="4400"/>
      <c r="F5" s="3248" t="s">
        <v>4235</v>
      </c>
      <c r="G5" s="3855">
        <v>0.1</v>
      </c>
    </row>
    <row r="6" spans="1:7">
      <c r="A6" s="4399" t="s">
        <v>3912</v>
      </c>
      <c r="B6" s="4399"/>
      <c r="C6" s="4400">
        <f>ROUND(C3*C4*C5/10000,2)</f>
        <v>17.52</v>
      </c>
      <c r="D6" s="4400"/>
    </row>
    <row r="8" spans="1:7" ht="53.25" customHeight="1">
      <c r="A8" s="4401" t="s">
        <v>3913</v>
      </c>
      <c r="B8" s="4401"/>
      <c r="C8" s="4401"/>
      <c r="D8" s="4401"/>
      <c r="F8" s="3825" t="s">
        <v>3914</v>
      </c>
      <c r="G8" s="3248"/>
    </row>
    <row r="9" spans="1:7">
      <c r="A9" s="3794"/>
      <c r="B9" s="3793" t="s">
        <v>3915</v>
      </c>
      <c r="C9" s="3795" t="s">
        <v>3916</v>
      </c>
      <c r="D9" s="3795" t="s">
        <v>3917</v>
      </c>
      <c r="F9" s="3796">
        <f>ROUND((C6+B14+C19)*C24,4)</f>
        <v>617.98800000000006</v>
      </c>
    </row>
    <row r="10" spans="1:7">
      <c r="A10" s="3794" t="s">
        <v>4087</v>
      </c>
      <c r="B10" s="3797">
        <f>丰怀利润表!G8</f>
        <v>2041056.4</v>
      </c>
      <c r="C10" s="3795" t="s">
        <v>3918</v>
      </c>
      <c r="D10" s="3798">
        <f>ROUND(B10/12,2)</f>
        <v>170088.03</v>
      </c>
      <c r="F10" s="3854">
        <f>ROUND(F9*G3,4)</f>
        <v>185.3964</v>
      </c>
    </row>
    <row r="11" spans="1:7">
      <c r="A11" s="3794" t="s">
        <v>4201</v>
      </c>
      <c r="B11" s="3793" t="s">
        <v>3918</v>
      </c>
      <c r="C11" s="3853">
        <v>0</v>
      </c>
      <c r="D11" s="3798">
        <f>ROUND(C11/5,2)</f>
        <v>0</v>
      </c>
    </row>
    <row r="12" spans="1:7">
      <c r="A12" s="3794" t="s">
        <v>3919</v>
      </c>
      <c r="B12" s="4404">
        <f>D10</f>
        <v>170088.03</v>
      </c>
      <c r="C12" s="4405"/>
      <c r="D12" s="4405"/>
      <c r="F12" s="3248"/>
    </row>
    <row r="13" spans="1:7">
      <c r="A13" s="3794" t="s">
        <v>3920</v>
      </c>
      <c r="B13" s="4405">
        <v>1.2</v>
      </c>
      <c r="C13" s="4405"/>
      <c r="D13" s="4405"/>
    </row>
    <row r="14" spans="1:7">
      <c r="A14" s="3794" t="s">
        <v>3912</v>
      </c>
      <c r="B14" s="4400">
        <f>ROUND(B12*B13/10000,2)</f>
        <v>20.41</v>
      </c>
      <c r="C14" s="4400"/>
      <c r="D14" s="4400"/>
    </row>
    <row r="16" spans="1:7">
      <c r="A16" s="4401" t="s">
        <v>3921</v>
      </c>
      <c r="B16" s="4401"/>
      <c r="C16" s="4401"/>
      <c r="D16" s="4401"/>
    </row>
    <row r="17" spans="1:7">
      <c r="A17" s="4399" t="s">
        <v>3922</v>
      </c>
      <c r="B17" s="4399"/>
      <c r="C17" s="4400">
        <v>162</v>
      </c>
      <c r="D17" s="4400"/>
    </row>
    <row r="18" spans="1:7">
      <c r="A18" s="4402" t="s">
        <v>3923</v>
      </c>
      <c r="B18" s="4402"/>
      <c r="C18" s="4400">
        <v>2200</v>
      </c>
      <c r="D18" s="4400"/>
    </row>
    <row r="19" spans="1:7">
      <c r="A19" s="4402" t="s">
        <v>3924</v>
      </c>
      <c r="B19" s="4402"/>
      <c r="C19" s="4403">
        <f>ROUND(C17*C18/10000,2)</f>
        <v>35.64</v>
      </c>
      <c r="D19" s="4403"/>
    </row>
    <row r="21" spans="1:7" ht="27" customHeight="1">
      <c r="A21" s="4401" t="s">
        <v>3925</v>
      </c>
      <c r="B21" s="4401"/>
      <c r="C21" s="4401"/>
      <c r="D21" s="4401"/>
    </row>
    <row r="22" spans="1:7">
      <c r="A22" s="4399" t="s">
        <v>3926</v>
      </c>
      <c r="B22" s="4399"/>
      <c r="C22" s="4400">
        <v>7</v>
      </c>
      <c r="D22" s="4400"/>
    </row>
    <row r="23" spans="1:7">
      <c r="A23" s="4399" t="s">
        <v>3927</v>
      </c>
      <c r="B23" s="4399"/>
      <c r="C23" s="4400">
        <v>1.2</v>
      </c>
      <c r="D23" s="4400"/>
    </row>
    <row r="24" spans="1:7">
      <c r="A24" s="4399" t="s">
        <v>3884</v>
      </c>
      <c r="B24" s="4399"/>
      <c r="C24" s="4400">
        <f>C22*C23</f>
        <v>8.4</v>
      </c>
      <c r="D24" s="4400"/>
    </row>
    <row r="26" spans="1:7" ht="27" hidden="1" customHeight="1">
      <c r="A26" s="4401" t="s">
        <v>3928</v>
      </c>
      <c r="B26" s="4401"/>
      <c r="C26" s="4401"/>
      <c r="D26" s="4401"/>
      <c r="E26" s="4401"/>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26:E26"/>
    <mergeCell ref="A21:D21"/>
    <mergeCell ref="A22:B22"/>
    <mergeCell ref="C22:D22"/>
    <mergeCell ref="A23:B23"/>
    <mergeCell ref="C23:D23"/>
    <mergeCell ref="A24:B24"/>
    <mergeCell ref="C24:D24"/>
    <mergeCell ref="A19:B19"/>
    <mergeCell ref="C19:D19"/>
    <mergeCell ref="A6:B6"/>
    <mergeCell ref="C6:D6"/>
    <mergeCell ref="A8:D8"/>
    <mergeCell ref="B12:D12"/>
    <mergeCell ref="B13:D13"/>
    <mergeCell ref="B14:D14"/>
    <mergeCell ref="A16:D16"/>
    <mergeCell ref="A17:B17"/>
    <mergeCell ref="C17:D17"/>
    <mergeCell ref="A18:B18"/>
    <mergeCell ref="C18:D18"/>
    <mergeCell ref="A5:B5"/>
    <mergeCell ref="C5:D5"/>
    <mergeCell ref="A2:D2"/>
    <mergeCell ref="A3:B3"/>
    <mergeCell ref="C3:D3"/>
    <mergeCell ref="A4:B4"/>
    <mergeCell ref="C4:D4"/>
  </mergeCells>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42"/>
  <sheetViews>
    <sheetView topLeftCell="A7"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406" t="s">
        <v>4086</v>
      </c>
      <c r="B41" s="4407"/>
      <c r="C41" s="4407"/>
      <c r="D41" s="4407"/>
      <c r="E41" s="4407"/>
      <c r="F41" s="4407"/>
      <c r="G41" s="4407"/>
      <c r="H41" s="4407"/>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408" t="s">
        <v>4132</v>
      </c>
      <c r="B1" s="4409"/>
      <c r="C1" s="4409"/>
      <c r="D1" s="4409"/>
      <c r="E1" s="4409"/>
      <c r="F1" s="4409"/>
      <c r="G1" s="4409"/>
      <c r="H1" s="4409"/>
    </row>
    <row r="2" spans="1:11" ht="10.5" customHeight="1">
      <c r="A2" s="4408" t="s">
        <v>4133</v>
      </c>
      <c r="B2" s="4408"/>
      <c r="C2" s="4408"/>
      <c r="D2" s="4408"/>
      <c r="E2" s="4408"/>
      <c r="F2" s="4408"/>
      <c r="G2" s="4408"/>
      <c r="H2" s="4408"/>
    </row>
    <row r="3" spans="1:11" ht="2.25" customHeight="1">
      <c r="A3" s="4408"/>
      <c r="B3" s="4408"/>
      <c r="C3" s="4408"/>
      <c r="D3" s="4408"/>
      <c r="E3" s="4408"/>
      <c r="F3" s="4408"/>
      <c r="G3" s="4408"/>
      <c r="H3" s="4408"/>
    </row>
    <row r="4" spans="1:11" ht="15.75" customHeight="1">
      <c r="A4" s="3844" t="s">
        <v>4134</v>
      </c>
      <c r="B4" s="4408" t="s">
        <v>4135</v>
      </c>
      <c r="C4" s="4409"/>
      <c r="D4" s="4409"/>
      <c r="E4" s="3844" t="s">
        <v>4136</v>
      </c>
      <c r="F4" s="4408" t="s">
        <v>4135</v>
      </c>
      <c r="G4" s="4409"/>
      <c r="H4" s="4409"/>
    </row>
    <row r="5" spans="1:11">
      <c r="A5" s="4409" t="s">
        <v>4137</v>
      </c>
      <c r="B5" s="4409"/>
      <c r="C5" s="4408">
        <v>7636486</v>
      </c>
      <c r="D5" s="4408"/>
      <c r="E5" s="4409" t="s">
        <v>4138</v>
      </c>
      <c r="F5" s="4409">
        <v>7785.17</v>
      </c>
      <c r="G5" s="4409"/>
      <c r="H5" s="4409"/>
    </row>
    <row r="6" spans="1:11" ht="20.25" customHeight="1">
      <c r="A6" s="4409"/>
      <c r="B6" s="4409"/>
      <c r="C6" s="4408"/>
      <c r="D6" s="4408"/>
      <c r="E6" s="4409"/>
      <c r="F6" s="4409"/>
      <c r="G6" s="4409"/>
      <c r="H6" s="4409"/>
    </row>
    <row r="7" spans="1:11" ht="39.75" customHeight="1">
      <c r="A7" s="3281" t="s">
        <v>3243</v>
      </c>
      <c r="B7" s="4409" t="s">
        <v>4139</v>
      </c>
      <c r="C7" s="4409"/>
      <c r="D7" s="3281" t="s">
        <v>4140</v>
      </c>
      <c r="E7" s="3281" t="s">
        <v>3243</v>
      </c>
      <c r="F7" s="4409" t="s">
        <v>4139</v>
      </c>
      <c r="G7" s="4409"/>
      <c r="H7" s="3281" t="s">
        <v>4140</v>
      </c>
    </row>
    <row r="8" spans="1:11">
      <c r="A8" s="3281" t="s">
        <v>3018</v>
      </c>
      <c r="B8" s="4410">
        <v>335.66</v>
      </c>
      <c r="C8" s="4410"/>
      <c r="D8" s="3845">
        <v>221553</v>
      </c>
      <c r="E8" s="3281" t="s">
        <v>4141</v>
      </c>
      <c r="F8" s="4411">
        <v>75.8</v>
      </c>
      <c r="G8" s="4411"/>
      <c r="H8" s="3845">
        <v>49322</v>
      </c>
      <c r="J8" s="3843">
        <v>1</v>
      </c>
      <c r="K8" s="3843">
        <v>221553</v>
      </c>
    </row>
    <row r="9" spans="1:11">
      <c r="A9" s="3281" t="s">
        <v>3020</v>
      </c>
      <c r="B9" s="4410">
        <v>72.36</v>
      </c>
      <c r="C9" s="4410"/>
      <c r="D9" s="3845">
        <v>77303</v>
      </c>
      <c r="E9" s="3281" t="s">
        <v>4142</v>
      </c>
      <c r="F9" s="4409">
        <v>2.5299999999999998</v>
      </c>
      <c r="G9" s="4409"/>
      <c r="H9" s="3845">
        <v>3052</v>
      </c>
      <c r="J9" s="3843">
        <v>2</v>
      </c>
      <c r="K9" s="3843">
        <v>77303</v>
      </c>
    </row>
    <row r="10" spans="1:11">
      <c r="A10" s="3281" t="s">
        <v>3024</v>
      </c>
      <c r="B10" s="4410">
        <v>2688.82</v>
      </c>
      <c r="C10" s="4410"/>
      <c r="D10" s="3845">
        <v>3784040</v>
      </c>
      <c r="E10" s="3281" t="s">
        <v>4143</v>
      </c>
      <c r="F10" s="4409">
        <v>68.77</v>
      </c>
      <c r="G10" s="4409"/>
      <c r="H10" s="3845">
        <v>51210</v>
      </c>
      <c r="J10" s="3843">
        <v>3</v>
      </c>
      <c r="K10" s="3843">
        <v>3784040</v>
      </c>
    </row>
    <row r="11" spans="1:11">
      <c r="A11" s="3281" t="s">
        <v>3026</v>
      </c>
      <c r="B11" s="4410">
        <v>39.07</v>
      </c>
      <c r="C11" s="4410"/>
      <c r="D11" s="3845">
        <v>56530</v>
      </c>
      <c r="E11" s="3281" t="s">
        <v>3029</v>
      </c>
      <c r="F11" s="4409">
        <v>39.090000000000003</v>
      </c>
      <c r="G11" s="4409"/>
      <c r="H11" s="3845">
        <v>34489</v>
      </c>
      <c r="J11" s="3843">
        <v>4</v>
      </c>
      <c r="K11" s="3843">
        <v>56530</v>
      </c>
    </row>
    <row r="12" spans="1:11">
      <c r="A12" s="3281" t="s">
        <v>3028</v>
      </c>
      <c r="B12" s="4410">
        <v>74.41</v>
      </c>
      <c r="C12" s="4410"/>
      <c r="D12" s="3845">
        <v>47313</v>
      </c>
      <c r="E12" s="3281" t="s">
        <v>3031</v>
      </c>
      <c r="F12" s="4409">
        <v>264.44</v>
      </c>
      <c r="G12" s="4409"/>
      <c r="H12" s="3845">
        <v>341096</v>
      </c>
      <c r="J12" s="3843">
        <v>5</v>
      </c>
      <c r="K12" s="3843">
        <v>47313</v>
      </c>
    </row>
    <row r="13" spans="1:11">
      <c r="A13" s="3281" t="s">
        <v>3030</v>
      </c>
      <c r="B13" s="4412">
        <v>43.63</v>
      </c>
      <c r="C13" s="4412"/>
      <c r="D13" s="3845">
        <v>18209</v>
      </c>
      <c r="E13" s="3281" t="s">
        <v>3033</v>
      </c>
      <c r="F13" s="4409">
        <v>32.94</v>
      </c>
      <c r="G13" s="4409"/>
      <c r="H13" s="3845">
        <v>27531</v>
      </c>
      <c r="J13" s="3843">
        <v>6</v>
      </c>
      <c r="K13" s="3843">
        <v>18209</v>
      </c>
    </row>
    <row r="14" spans="1:11">
      <c r="A14" s="3281" t="s">
        <v>3032</v>
      </c>
      <c r="B14" s="4410">
        <v>134.66999999999999</v>
      </c>
      <c r="C14" s="4410"/>
      <c r="D14" s="3845">
        <v>92759</v>
      </c>
      <c r="E14" s="3281" t="s">
        <v>3035</v>
      </c>
      <c r="F14" s="4409">
        <v>61.1</v>
      </c>
      <c r="G14" s="4409"/>
      <c r="H14" s="3845">
        <v>46748</v>
      </c>
      <c r="J14" s="3843">
        <v>7</v>
      </c>
      <c r="K14" s="3843">
        <v>92759</v>
      </c>
    </row>
    <row r="15" spans="1:11">
      <c r="A15" s="3281" t="s">
        <v>3034</v>
      </c>
      <c r="B15" s="4410">
        <v>25.34</v>
      </c>
      <c r="C15" s="4410"/>
      <c r="D15" s="3845">
        <v>8023</v>
      </c>
      <c r="E15" s="3281" t="s">
        <v>3037</v>
      </c>
      <c r="F15" s="4409">
        <v>148.86000000000001</v>
      </c>
      <c r="G15" s="4409"/>
      <c r="H15" s="3845">
        <v>59597</v>
      </c>
      <c r="J15" s="3843">
        <v>8</v>
      </c>
      <c r="K15" s="3843">
        <v>8023</v>
      </c>
    </row>
    <row r="16" spans="1:11">
      <c r="A16" s="3281" t="s">
        <v>3036</v>
      </c>
      <c r="B16" s="4410">
        <v>45.63</v>
      </c>
      <c r="C16" s="4410"/>
      <c r="D16" s="3845">
        <v>47412</v>
      </c>
      <c r="E16" s="3281" t="s">
        <v>3039</v>
      </c>
      <c r="F16" s="4409">
        <v>755.52</v>
      </c>
      <c r="G16" s="4409"/>
      <c r="H16" s="3845">
        <v>731851</v>
      </c>
      <c r="J16" s="3843">
        <v>9</v>
      </c>
      <c r="K16" s="3843">
        <v>47412</v>
      </c>
    </row>
    <row r="17" spans="1:11">
      <c r="A17" s="3281" t="s">
        <v>3038</v>
      </c>
      <c r="B17" s="4410">
        <v>30.3</v>
      </c>
      <c r="C17" s="4410"/>
      <c r="D17" s="3845">
        <v>17218</v>
      </c>
      <c r="E17" s="3281" t="s">
        <v>3043</v>
      </c>
      <c r="F17" s="4409">
        <v>141.71</v>
      </c>
      <c r="G17" s="4409"/>
      <c r="H17" s="3846">
        <v>104553</v>
      </c>
      <c r="J17" s="3843">
        <v>10</v>
      </c>
      <c r="K17" s="3843">
        <v>17218</v>
      </c>
    </row>
    <row r="18" spans="1:11">
      <c r="A18" s="3281" t="s">
        <v>3040</v>
      </c>
      <c r="B18" s="4410">
        <v>27.07</v>
      </c>
      <c r="C18" s="4410"/>
      <c r="D18" s="3845">
        <v>12349</v>
      </c>
      <c r="E18" s="3281" t="s">
        <v>3045</v>
      </c>
      <c r="F18" s="4409">
        <v>14.84</v>
      </c>
      <c r="G18" s="4409"/>
      <c r="H18" s="3846">
        <v>12139</v>
      </c>
      <c r="J18" s="3843">
        <v>11</v>
      </c>
      <c r="K18" s="3843">
        <v>12349</v>
      </c>
    </row>
    <row r="19" spans="1:11">
      <c r="A19" s="3281" t="s">
        <v>3044</v>
      </c>
      <c r="B19" s="4410">
        <v>96.12</v>
      </c>
      <c r="C19" s="4410"/>
      <c r="D19" s="3845">
        <v>49701</v>
      </c>
      <c r="E19" s="3281" t="s">
        <v>3047</v>
      </c>
      <c r="F19" s="4409">
        <v>190.68</v>
      </c>
      <c r="G19" s="4409"/>
      <c r="H19" s="3846">
        <v>117738</v>
      </c>
      <c r="J19" s="3843">
        <v>12</v>
      </c>
      <c r="K19" s="3843">
        <v>49701</v>
      </c>
    </row>
    <row r="20" spans="1:11">
      <c r="A20" s="3281" t="s">
        <v>3048</v>
      </c>
      <c r="B20" s="4410">
        <v>62.41</v>
      </c>
      <c r="C20" s="4410"/>
      <c r="D20" s="3845">
        <v>51420</v>
      </c>
      <c r="E20" s="3281" t="s">
        <v>3049</v>
      </c>
      <c r="F20" s="4409">
        <v>248.95</v>
      </c>
      <c r="G20" s="4409"/>
      <c r="H20" s="3846">
        <v>151536</v>
      </c>
      <c r="J20" s="3843">
        <v>13</v>
      </c>
      <c r="K20" s="3843">
        <v>51420</v>
      </c>
    </row>
    <row r="21" spans="1:11">
      <c r="A21" s="3281" t="s">
        <v>3050</v>
      </c>
      <c r="B21" s="4410">
        <v>44.91</v>
      </c>
      <c r="C21" s="4410"/>
      <c r="D21" s="3845">
        <v>40966</v>
      </c>
      <c r="E21" s="3281" t="s">
        <v>3051</v>
      </c>
      <c r="F21" s="4409">
        <v>7.64</v>
      </c>
      <c r="G21" s="4409"/>
      <c r="H21" s="3846">
        <v>5804</v>
      </c>
      <c r="J21" s="3843">
        <v>14</v>
      </c>
      <c r="K21" s="3843">
        <v>40966</v>
      </c>
    </row>
    <row r="22" spans="1:11">
      <c r="A22" s="3281" t="s">
        <v>3052</v>
      </c>
      <c r="B22" s="4410">
        <v>53.52</v>
      </c>
      <c r="C22" s="4410"/>
      <c r="D22" s="3845">
        <v>43721</v>
      </c>
      <c r="E22" s="3281" t="s">
        <v>3053</v>
      </c>
      <c r="F22" s="4409">
        <v>104.43</v>
      </c>
      <c r="G22" s="4409"/>
      <c r="H22" s="3846">
        <v>56505</v>
      </c>
      <c r="J22" s="3843">
        <v>15</v>
      </c>
      <c r="K22" s="3843">
        <v>43721</v>
      </c>
    </row>
    <row r="23" spans="1:11">
      <c r="A23" s="3281" t="s">
        <v>3054</v>
      </c>
      <c r="B23" s="4410">
        <v>198.85</v>
      </c>
      <c r="C23" s="4410"/>
      <c r="D23" s="3845">
        <v>184330</v>
      </c>
      <c r="E23" s="3281" t="s">
        <v>3055</v>
      </c>
      <c r="F23" s="4409">
        <v>22.81</v>
      </c>
      <c r="G23" s="4409"/>
      <c r="H23" s="3846">
        <v>16542</v>
      </c>
      <c r="J23" s="3843">
        <v>16</v>
      </c>
      <c r="K23" s="3843">
        <v>184330</v>
      </c>
    </row>
    <row r="24" spans="1:11">
      <c r="A24" s="3281" t="s">
        <v>3056</v>
      </c>
      <c r="B24" s="4410">
        <v>20.350000000000001</v>
      </c>
      <c r="C24" s="4410"/>
      <c r="D24" s="3845">
        <v>16481</v>
      </c>
      <c r="E24" s="3281" t="s">
        <v>3057</v>
      </c>
      <c r="F24" s="4409">
        <v>81.99</v>
      </c>
      <c r="G24" s="4409"/>
      <c r="H24" s="3846">
        <v>32131</v>
      </c>
      <c r="J24" s="3843">
        <v>17</v>
      </c>
      <c r="K24" s="3843">
        <v>16481</v>
      </c>
    </row>
    <row r="25" spans="1:11">
      <c r="A25" s="3281" t="s">
        <v>3064</v>
      </c>
      <c r="B25" s="4410">
        <v>30.53</v>
      </c>
      <c r="C25" s="4410"/>
      <c r="D25" s="3845">
        <v>10439</v>
      </c>
      <c r="E25" s="3281" t="s">
        <v>3059</v>
      </c>
      <c r="F25" s="4409">
        <v>385.42</v>
      </c>
      <c r="G25" s="4409"/>
      <c r="H25" s="3846">
        <v>267311</v>
      </c>
      <c r="J25" s="3843">
        <v>18</v>
      </c>
      <c r="K25" s="3843">
        <v>10439</v>
      </c>
    </row>
    <row r="26" spans="1:11">
      <c r="A26" s="3281" t="s">
        <v>3066</v>
      </c>
      <c r="B26" s="4410">
        <v>152.88</v>
      </c>
      <c r="C26" s="4410"/>
      <c r="D26" s="3845">
        <v>104630</v>
      </c>
      <c r="E26" s="3281" t="s">
        <v>3061</v>
      </c>
      <c r="F26" s="4409">
        <v>16.32</v>
      </c>
      <c r="G26" s="4409"/>
      <c r="H26" s="3845">
        <v>15833</v>
      </c>
      <c r="J26" s="3843">
        <v>19</v>
      </c>
      <c r="K26" s="3843">
        <v>104630</v>
      </c>
    </row>
    <row r="27" spans="1:11">
      <c r="A27" s="3281" t="s">
        <v>3068</v>
      </c>
      <c r="B27" s="4410">
        <v>66.97</v>
      </c>
      <c r="C27" s="4410"/>
      <c r="D27" s="3845">
        <v>56385</v>
      </c>
      <c r="E27" s="3281" t="s">
        <v>3063</v>
      </c>
      <c r="F27" s="4409">
        <v>58.39</v>
      </c>
      <c r="G27" s="4409"/>
      <c r="H27" s="3845">
        <v>41867</v>
      </c>
      <c r="J27" s="3843">
        <v>20</v>
      </c>
      <c r="K27" s="3843">
        <v>56385</v>
      </c>
    </row>
    <row r="28" spans="1:11">
      <c r="A28" s="3281" t="s">
        <v>3070</v>
      </c>
      <c r="B28" s="4410">
        <v>119.15</v>
      </c>
      <c r="C28" s="4410"/>
      <c r="D28" s="3845">
        <v>45576</v>
      </c>
      <c r="E28" s="3281" t="s">
        <v>3065</v>
      </c>
      <c r="F28" s="4409">
        <v>14.42</v>
      </c>
      <c r="G28" s="4409"/>
      <c r="H28" s="3845">
        <v>14040</v>
      </c>
      <c r="J28" s="3843">
        <v>21</v>
      </c>
      <c r="K28" s="3843">
        <v>45576</v>
      </c>
    </row>
    <row r="29" spans="1:11">
      <c r="A29" s="3281" t="s">
        <v>3072</v>
      </c>
      <c r="B29" s="4411">
        <v>78.010000000000005</v>
      </c>
      <c r="C29" s="4411"/>
      <c r="D29" s="3845">
        <v>17178</v>
      </c>
      <c r="E29" s="3281" t="s">
        <v>3067</v>
      </c>
      <c r="F29" s="4409">
        <v>44.17</v>
      </c>
      <c r="G29" s="4409"/>
      <c r="H29" s="3845">
        <v>24445</v>
      </c>
      <c r="J29" s="3843">
        <v>22</v>
      </c>
      <c r="K29" s="3843">
        <v>17178</v>
      </c>
    </row>
    <row r="30" spans="1:11">
      <c r="A30" s="3281" t="s">
        <v>3019</v>
      </c>
      <c r="B30" s="4409">
        <v>536.21</v>
      </c>
      <c r="C30" s="4409"/>
      <c r="D30" s="3845">
        <v>412172</v>
      </c>
      <c r="E30" s="3281" t="s">
        <v>3069</v>
      </c>
      <c r="F30" s="4409">
        <v>27.48</v>
      </c>
      <c r="G30" s="4409"/>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409" t="s">
        <v>4144</v>
      </c>
      <c r="B32" s="4409"/>
      <c r="C32" s="4409"/>
      <c r="D32" s="4409"/>
      <c r="E32" s="4413" t="s">
        <v>4145</v>
      </c>
      <c r="F32" s="4414"/>
      <c r="G32" s="4414"/>
      <c r="H32" s="4415"/>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416" t="s">
        <v>4170</v>
      </c>
      <c r="B48" s="4417"/>
      <c r="C48" s="4417"/>
      <c r="D48" s="4418"/>
      <c r="E48" s="4416" t="s">
        <v>4170</v>
      </c>
      <c r="F48" s="4417"/>
      <c r="G48" s="4417"/>
      <c r="H48" s="4418"/>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32:D32"/>
    <mergeCell ref="E32:H32"/>
    <mergeCell ref="A48:D48"/>
    <mergeCell ref="E48:H48"/>
    <mergeCell ref="B28:C28"/>
    <mergeCell ref="F28:G28"/>
    <mergeCell ref="B29:C29"/>
    <mergeCell ref="F29:G29"/>
    <mergeCell ref="B30:C30"/>
    <mergeCell ref="F30:G30"/>
    <mergeCell ref="B25:C25"/>
    <mergeCell ref="F25:G25"/>
    <mergeCell ref="B26:C26"/>
    <mergeCell ref="F26:G26"/>
    <mergeCell ref="B27:C27"/>
    <mergeCell ref="F27:G27"/>
    <mergeCell ref="B22:C22"/>
    <mergeCell ref="F22:G22"/>
    <mergeCell ref="B23:C23"/>
    <mergeCell ref="F23:G23"/>
    <mergeCell ref="B24:C24"/>
    <mergeCell ref="F24:G24"/>
    <mergeCell ref="B19:C19"/>
    <mergeCell ref="F19:G19"/>
    <mergeCell ref="B20:C20"/>
    <mergeCell ref="F20:G20"/>
    <mergeCell ref="B21:C21"/>
    <mergeCell ref="F21:G21"/>
    <mergeCell ref="B16:C16"/>
    <mergeCell ref="F16:G16"/>
    <mergeCell ref="B17:C17"/>
    <mergeCell ref="F17:G17"/>
    <mergeCell ref="B18:C18"/>
    <mergeCell ref="F18:G18"/>
    <mergeCell ref="B13:C13"/>
    <mergeCell ref="F13:G13"/>
    <mergeCell ref="B14:C14"/>
    <mergeCell ref="F14:G14"/>
    <mergeCell ref="B15:C15"/>
    <mergeCell ref="F15:G15"/>
    <mergeCell ref="B10:C10"/>
    <mergeCell ref="F10:G10"/>
    <mergeCell ref="B11:C11"/>
    <mergeCell ref="F11:G11"/>
    <mergeCell ref="B12:C12"/>
    <mergeCell ref="F12:G12"/>
    <mergeCell ref="B7:C7"/>
    <mergeCell ref="F7:G7"/>
    <mergeCell ref="B8:C8"/>
    <mergeCell ref="F8:G8"/>
    <mergeCell ref="B9:C9"/>
    <mergeCell ref="F9:G9"/>
    <mergeCell ref="A1:H1"/>
    <mergeCell ref="A2:H3"/>
    <mergeCell ref="B4:D4"/>
    <mergeCell ref="F4:H4"/>
    <mergeCell ref="A5:B6"/>
    <mergeCell ref="C5:D6"/>
    <mergeCell ref="E5:E6"/>
    <mergeCell ref="F5:H6"/>
  </mergeCells>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5"/>
  <sheetViews>
    <sheetView topLeftCell="A52" workbookViewId="0">
      <selection activeCell="G172" sqref="G172"/>
    </sheetView>
  </sheetViews>
  <sheetFormatPr defaultRowHeight="13.5"/>
  <cols>
    <col min="6" max="6" width="20.125" customWidth="1"/>
  </cols>
  <sheetData>
    <row r="1" spans="1:6" ht="38.25" thickBot="1">
      <c r="A1" s="3898" t="s">
        <v>2360</v>
      </c>
      <c r="B1" s="3899" t="s">
        <v>4270</v>
      </c>
      <c r="C1" s="3899" t="s">
        <v>4271</v>
      </c>
      <c r="D1" s="3899" t="s">
        <v>4272</v>
      </c>
      <c r="E1" s="3899" t="s">
        <v>3332</v>
      </c>
      <c r="F1" s="3899" t="s">
        <v>4273</v>
      </c>
    </row>
    <row r="2" spans="1:6" ht="38.25" thickBot="1">
      <c r="A2" s="3900">
        <v>1</v>
      </c>
      <c r="B2" s="3901" t="s">
        <v>4274</v>
      </c>
      <c r="C2" s="3901" t="s">
        <v>4275</v>
      </c>
      <c r="D2" s="3902" t="s">
        <v>4276</v>
      </c>
      <c r="E2" s="3902">
        <v>1</v>
      </c>
      <c r="F2" s="3902">
        <v>0.90300000000000002</v>
      </c>
    </row>
    <row r="3" spans="1:6" ht="57" thickBot="1">
      <c r="A3" s="3900">
        <v>2</v>
      </c>
      <c r="B3" s="3901" t="s">
        <v>4277</v>
      </c>
      <c r="C3" s="3901" t="s">
        <v>4278</v>
      </c>
      <c r="D3" s="3902" t="s">
        <v>4279</v>
      </c>
      <c r="E3" s="3902">
        <v>1</v>
      </c>
      <c r="F3" s="3902">
        <v>0.78259999999999996</v>
      </c>
    </row>
    <row r="4" spans="1:6" ht="38.25" thickBot="1">
      <c r="A4" s="3900">
        <v>3</v>
      </c>
      <c r="B4" s="3901" t="s">
        <v>4280</v>
      </c>
      <c r="C4" s="3902" t="s">
        <v>4281</v>
      </c>
      <c r="D4" s="3902" t="s">
        <v>4282</v>
      </c>
      <c r="E4" s="3902">
        <v>1</v>
      </c>
      <c r="F4" s="3902">
        <v>2.1215999999999999</v>
      </c>
    </row>
    <row r="5" spans="1:6" ht="57" thickBot="1">
      <c r="A5" s="3900">
        <v>4</v>
      </c>
      <c r="B5" s="3901" t="s">
        <v>4283</v>
      </c>
      <c r="C5" s="3901" t="s">
        <v>4284</v>
      </c>
      <c r="D5" s="3902" t="s">
        <v>4285</v>
      </c>
      <c r="E5" s="3902">
        <v>1</v>
      </c>
      <c r="F5" s="3902">
        <v>4.9000000000000002E-2</v>
      </c>
    </row>
    <row r="6" spans="1:6" ht="57" thickBot="1">
      <c r="A6" s="3900">
        <v>5</v>
      </c>
      <c r="B6" s="3901" t="s">
        <v>4286</v>
      </c>
      <c r="C6" s="3901" t="s">
        <v>4287</v>
      </c>
      <c r="D6" s="3902" t="s">
        <v>4288</v>
      </c>
      <c r="E6" s="3902">
        <v>1</v>
      </c>
      <c r="F6" s="3902">
        <v>0.58799999999999997</v>
      </c>
    </row>
    <row r="7" spans="1:6" ht="38.25" thickBot="1">
      <c r="A7" s="3900">
        <v>6</v>
      </c>
      <c r="B7" s="3901" t="s">
        <v>4289</v>
      </c>
      <c r="C7" s="3901" t="s">
        <v>4290</v>
      </c>
      <c r="D7" s="3901" t="s">
        <v>4291</v>
      </c>
      <c r="E7" s="3902">
        <v>1</v>
      </c>
      <c r="F7" s="3902">
        <v>0.28320000000000001</v>
      </c>
    </row>
    <row r="8" spans="1:6" ht="75.75" thickBot="1">
      <c r="A8" s="3900">
        <v>7</v>
      </c>
      <c r="B8" s="3901" t="s">
        <v>4292</v>
      </c>
      <c r="C8" s="3901" t="s">
        <v>4293</v>
      </c>
      <c r="D8" s="3902" t="s">
        <v>4294</v>
      </c>
      <c r="E8" s="3902">
        <v>1</v>
      </c>
      <c r="F8" s="3902">
        <v>1.0791999999999999</v>
      </c>
    </row>
    <row r="9" spans="1:6" ht="75.75" thickBot="1">
      <c r="A9" s="3900">
        <v>8</v>
      </c>
      <c r="B9" s="3901" t="s">
        <v>4295</v>
      </c>
      <c r="C9" s="3901" t="s">
        <v>4296</v>
      </c>
      <c r="D9" s="3902" t="s">
        <v>4297</v>
      </c>
      <c r="E9" s="3902">
        <v>1</v>
      </c>
      <c r="F9" s="3902">
        <v>0.21290000000000001</v>
      </c>
    </row>
    <row r="10" spans="1:6" ht="75.75" thickBot="1">
      <c r="A10" s="3900">
        <v>9</v>
      </c>
      <c r="B10" s="3901" t="s">
        <v>4295</v>
      </c>
      <c r="C10" s="3901" t="s">
        <v>4296</v>
      </c>
      <c r="D10" s="3902" t="s">
        <v>4298</v>
      </c>
      <c r="E10" s="3902">
        <v>1</v>
      </c>
      <c r="F10" s="3902">
        <v>9.9000000000000005E-2</v>
      </c>
    </row>
    <row r="11" spans="1:6" ht="75.75" thickBot="1">
      <c r="A11" s="3900">
        <v>10</v>
      </c>
      <c r="B11" s="3901" t="s">
        <v>4295</v>
      </c>
      <c r="C11" s="3901" t="s">
        <v>4296</v>
      </c>
      <c r="D11" s="3902" t="s">
        <v>4299</v>
      </c>
      <c r="E11" s="3902">
        <v>1</v>
      </c>
      <c r="F11" s="3902">
        <v>0.33829999999999999</v>
      </c>
    </row>
    <row r="12" spans="1:6" ht="75.75" thickBot="1">
      <c r="A12" s="3900">
        <v>11</v>
      </c>
      <c r="B12" s="3901" t="s">
        <v>4295</v>
      </c>
      <c r="C12" s="3901" t="s">
        <v>4296</v>
      </c>
      <c r="D12" s="3902" t="s">
        <v>4300</v>
      </c>
      <c r="E12" s="3902">
        <v>1</v>
      </c>
      <c r="F12" s="3902">
        <v>1.4365000000000001</v>
      </c>
    </row>
    <row r="13" spans="1:6" ht="75.75" thickBot="1">
      <c r="A13" s="3900">
        <v>12</v>
      </c>
      <c r="B13" s="3901" t="s">
        <v>4295</v>
      </c>
      <c r="C13" s="3901" t="s">
        <v>4296</v>
      </c>
      <c r="D13" s="3902" t="s">
        <v>4300</v>
      </c>
      <c r="E13" s="3902">
        <v>2</v>
      </c>
      <c r="F13" s="3902">
        <v>10.523999999999999</v>
      </c>
    </row>
    <row r="14" spans="1:6" ht="57" thickBot="1">
      <c r="A14" s="3900">
        <v>13</v>
      </c>
      <c r="B14" s="3902" t="s">
        <v>4301</v>
      </c>
      <c r="C14" s="3901" t="s">
        <v>4302</v>
      </c>
      <c r="D14" s="3902" t="s">
        <v>4303</v>
      </c>
      <c r="E14" s="3902">
        <v>1</v>
      </c>
      <c r="F14" s="3902">
        <v>27.645</v>
      </c>
    </row>
    <row r="15" spans="1:6" ht="94.5" thickBot="1">
      <c r="A15" s="3900">
        <v>14</v>
      </c>
      <c r="B15" s="3901" t="s">
        <v>4304</v>
      </c>
      <c r="C15" s="3901" t="s">
        <v>4305</v>
      </c>
      <c r="D15" s="3902" t="s">
        <v>4306</v>
      </c>
      <c r="E15" s="3902">
        <v>1</v>
      </c>
      <c r="F15" s="3902">
        <v>6.0655999999999999</v>
      </c>
    </row>
    <row r="16" spans="1:6" ht="94.5" thickBot="1">
      <c r="A16" s="3900">
        <v>15</v>
      </c>
      <c r="B16" s="3901" t="s">
        <v>4307</v>
      </c>
      <c r="C16" s="3901" t="s">
        <v>4305</v>
      </c>
      <c r="D16" s="3902" t="s">
        <v>4306</v>
      </c>
      <c r="E16" s="3902">
        <v>1</v>
      </c>
      <c r="F16" s="3902">
        <v>5.4943999999999997</v>
      </c>
    </row>
    <row r="17" spans="1:6" ht="57" thickBot="1">
      <c r="A17" s="3900">
        <v>16</v>
      </c>
      <c r="B17" s="3901" t="s">
        <v>4308</v>
      </c>
      <c r="C17" s="3901" t="s">
        <v>4309</v>
      </c>
      <c r="D17" s="3902" t="s">
        <v>4310</v>
      </c>
      <c r="E17" s="3902">
        <v>1</v>
      </c>
      <c r="F17" s="3902">
        <v>0.14829999999999999</v>
      </c>
    </row>
    <row r="18" spans="1:6" ht="57" thickBot="1">
      <c r="A18" s="3900">
        <v>17</v>
      </c>
      <c r="B18" s="3901" t="s">
        <v>4308</v>
      </c>
      <c r="C18" s="3901" t="s">
        <v>4309</v>
      </c>
      <c r="D18" s="3902" t="s">
        <v>4310</v>
      </c>
      <c r="E18" s="3902">
        <v>1</v>
      </c>
      <c r="F18" s="3902">
        <v>0.14829999999999999</v>
      </c>
    </row>
    <row r="19" spans="1:6" ht="57" thickBot="1">
      <c r="A19" s="3900">
        <v>18</v>
      </c>
      <c r="B19" s="3901" t="s">
        <v>4311</v>
      </c>
      <c r="C19" s="3902" t="s">
        <v>4312</v>
      </c>
      <c r="D19" s="3902" t="s">
        <v>4313</v>
      </c>
      <c r="E19" s="3902">
        <v>1</v>
      </c>
      <c r="F19" s="3902">
        <v>0.1305</v>
      </c>
    </row>
    <row r="20" spans="1:6" ht="57" thickBot="1">
      <c r="A20" s="3900">
        <v>19</v>
      </c>
      <c r="B20" s="3901" t="s">
        <v>4311</v>
      </c>
      <c r="C20" s="3902" t="s">
        <v>4312</v>
      </c>
      <c r="D20" s="3902" t="s">
        <v>4313</v>
      </c>
      <c r="E20" s="3902">
        <v>1</v>
      </c>
      <c r="F20" s="3902">
        <v>0.1305</v>
      </c>
    </row>
    <row r="21" spans="1:6" ht="75.75" thickBot="1">
      <c r="A21" s="3900">
        <v>20</v>
      </c>
      <c r="B21" s="3901" t="s">
        <v>4314</v>
      </c>
      <c r="C21" s="3902" t="s">
        <v>4315</v>
      </c>
      <c r="D21" s="3902" t="s">
        <v>4316</v>
      </c>
      <c r="E21" s="3902">
        <v>1</v>
      </c>
      <c r="F21" s="3902">
        <v>0.46100000000000002</v>
      </c>
    </row>
    <row r="22" spans="1:6" ht="57" thickBot="1">
      <c r="A22" s="3900">
        <v>21</v>
      </c>
      <c r="B22" s="3901" t="s">
        <v>4317</v>
      </c>
      <c r="C22" s="3901" t="s">
        <v>4318</v>
      </c>
      <c r="D22" s="3902" t="s">
        <v>4319</v>
      </c>
      <c r="E22" s="3902">
        <v>1</v>
      </c>
      <c r="F22" s="3902">
        <v>0.67200000000000004</v>
      </c>
    </row>
    <row r="23" spans="1:6" ht="57" thickBot="1">
      <c r="A23" s="3900">
        <v>22</v>
      </c>
      <c r="B23" s="3902" t="s">
        <v>4320</v>
      </c>
      <c r="C23" s="3901" t="s">
        <v>4321</v>
      </c>
      <c r="D23" s="3902" t="s">
        <v>4322</v>
      </c>
      <c r="E23" s="3902">
        <v>1</v>
      </c>
      <c r="F23" s="3902">
        <v>1.5418000000000001</v>
      </c>
    </row>
    <row r="24" spans="1:6" ht="57" thickBot="1">
      <c r="A24" s="3900">
        <v>23</v>
      </c>
      <c r="B24" s="3902" t="s">
        <v>4320</v>
      </c>
      <c r="C24" s="3901" t="s">
        <v>4321</v>
      </c>
      <c r="D24" s="3902" t="s">
        <v>4322</v>
      </c>
      <c r="E24" s="3902">
        <v>1</v>
      </c>
      <c r="F24" s="3902">
        <v>7.8E-2</v>
      </c>
    </row>
    <row r="25" spans="1:6" ht="38.25" thickBot="1">
      <c r="A25" s="3900">
        <v>24</v>
      </c>
      <c r="B25" s="3901" t="s">
        <v>4323</v>
      </c>
      <c r="C25" s="3901" t="s">
        <v>4324</v>
      </c>
      <c r="D25" s="3902" t="s">
        <v>4281</v>
      </c>
      <c r="E25" s="3902">
        <v>1</v>
      </c>
      <c r="F25" s="3902">
        <v>7.1989999999999998</v>
      </c>
    </row>
    <row r="26" spans="1:6" ht="75.75" thickBot="1">
      <c r="A26" s="3900">
        <v>25</v>
      </c>
      <c r="B26" s="3901" t="s">
        <v>4317</v>
      </c>
      <c r="C26" s="3901" t="s">
        <v>4325</v>
      </c>
      <c r="D26" s="3902" t="s">
        <v>4326</v>
      </c>
      <c r="E26" s="3902">
        <v>1</v>
      </c>
      <c r="F26" s="3902">
        <v>0.33500000000000002</v>
      </c>
    </row>
    <row r="27" spans="1:6" ht="38.25" thickBot="1">
      <c r="A27" s="3900">
        <v>26</v>
      </c>
      <c r="B27" s="3901" t="s">
        <v>4327</v>
      </c>
      <c r="C27" s="3901" t="s">
        <v>4328</v>
      </c>
      <c r="D27" s="3902" t="s">
        <v>4281</v>
      </c>
      <c r="E27" s="3902">
        <v>1</v>
      </c>
      <c r="F27" s="3902">
        <v>58.275599999999997</v>
      </c>
    </row>
    <row r="28" spans="1:6" ht="75.75" thickBot="1">
      <c r="A28" s="3900">
        <v>27</v>
      </c>
      <c r="B28" s="3901" t="s">
        <v>4329</v>
      </c>
      <c r="C28" s="3901" t="s">
        <v>4330</v>
      </c>
      <c r="D28" s="3902" t="s">
        <v>4331</v>
      </c>
      <c r="E28" s="3902">
        <v>1</v>
      </c>
      <c r="F28" s="3902">
        <v>3.3936999999999999</v>
      </c>
    </row>
    <row r="29" spans="1:6" ht="57" thickBot="1">
      <c r="A29" s="3900">
        <v>28</v>
      </c>
      <c r="B29" s="3901" t="s">
        <v>4332</v>
      </c>
      <c r="C29" s="3901" t="s">
        <v>4333</v>
      </c>
      <c r="D29" s="3902" t="s">
        <v>4334</v>
      </c>
      <c r="E29" s="3902">
        <v>1</v>
      </c>
      <c r="F29" s="3902">
        <v>3.0800000000000001E-2</v>
      </c>
    </row>
    <row r="30" spans="1:6" ht="57" thickBot="1">
      <c r="A30" s="3900">
        <v>29</v>
      </c>
      <c r="B30" s="3901" t="s">
        <v>4332</v>
      </c>
      <c r="C30" s="3901" t="s">
        <v>4333</v>
      </c>
      <c r="D30" s="3902" t="s">
        <v>4334</v>
      </c>
      <c r="E30" s="3902">
        <v>1</v>
      </c>
      <c r="F30" s="3902">
        <v>3.0800000000000001E-2</v>
      </c>
    </row>
    <row r="31" spans="1:6" ht="57" thickBot="1">
      <c r="A31" s="3900">
        <v>30</v>
      </c>
      <c r="B31" s="3901" t="s">
        <v>4332</v>
      </c>
      <c r="C31" s="3901" t="s">
        <v>4333</v>
      </c>
      <c r="D31" s="3902" t="s">
        <v>4334</v>
      </c>
      <c r="E31" s="3902">
        <v>1</v>
      </c>
      <c r="F31" s="3902">
        <v>3.0800000000000001E-2</v>
      </c>
    </row>
    <row r="32" spans="1:6" ht="57" thickBot="1">
      <c r="A32" s="3900">
        <v>31</v>
      </c>
      <c r="B32" s="3901" t="s">
        <v>4332</v>
      </c>
      <c r="C32" s="3901" t="s">
        <v>4333</v>
      </c>
      <c r="D32" s="3902" t="s">
        <v>4334</v>
      </c>
      <c r="E32" s="3902">
        <v>1</v>
      </c>
      <c r="F32" s="3902">
        <v>3.0800000000000001E-2</v>
      </c>
    </row>
    <row r="33" spans="1:6" ht="57" thickBot="1">
      <c r="A33" s="3900">
        <v>32</v>
      </c>
      <c r="B33" s="3901" t="s">
        <v>4332</v>
      </c>
      <c r="C33" s="3901" t="s">
        <v>4333</v>
      </c>
      <c r="D33" s="3902" t="s">
        <v>4334</v>
      </c>
      <c r="E33" s="3902">
        <v>1</v>
      </c>
      <c r="F33" s="3902">
        <v>3.0800000000000001E-2</v>
      </c>
    </row>
    <row r="34" spans="1:6" ht="38.25" thickBot="1">
      <c r="A34" s="3900">
        <v>33</v>
      </c>
      <c r="B34" s="3901" t="s">
        <v>4335</v>
      </c>
      <c r="C34" s="3902" t="s">
        <v>4281</v>
      </c>
      <c r="D34" s="3902" t="s">
        <v>4336</v>
      </c>
      <c r="E34" s="3902">
        <v>1</v>
      </c>
      <c r="F34" s="3902">
        <v>0.52500000000000002</v>
      </c>
    </row>
    <row r="35" spans="1:6" ht="75.75" thickBot="1">
      <c r="A35" s="3900">
        <v>34</v>
      </c>
      <c r="B35" s="3901" t="s">
        <v>4337</v>
      </c>
      <c r="C35" s="3901" t="s">
        <v>4296</v>
      </c>
      <c r="D35" s="3902" t="s">
        <v>4338</v>
      </c>
      <c r="E35" s="3902">
        <v>1</v>
      </c>
      <c r="F35" s="3902">
        <v>0.14000000000000001</v>
      </c>
    </row>
    <row r="36" spans="1:6" ht="75.75" thickBot="1">
      <c r="A36" s="3900">
        <v>35</v>
      </c>
      <c r="B36" s="3901" t="s">
        <v>4337</v>
      </c>
      <c r="C36" s="3901" t="s">
        <v>4296</v>
      </c>
      <c r="D36" s="3902" t="s">
        <v>4338</v>
      </c>
      <c r="E36" s="3902">
        <v>1</v>
      </c>
      <c r="F36" s="3902">
        <v>0.66800000000000004</v>
      </c>
    </row>
    <row r="37" spans="1:6" ht="75.75" thickBot="1">
      <c r="A37" s="3900">
        <v>36</v>
      </c>
      <c r="B37" s="3901" t="s">
        <v>4337</v>
      </c>
      <c r="C37" s="3901" t="s">
        <v>4296</v>
      </c>
      <c r="D37" s="3902" t="s">
        <v>4338</v>
      </c>
      <c r="E37" s="3902">
        <v>2</v>
      </c>
      <c r="F37" s="3902">
        <v>1.3480000000000001</v>
      </c>
    </row>
    <row r="38" spans="1:6" ht="38.25" thickBot="1">
      <c r="A38" s="3900">
        <v>37</v>
      </c>
      <c r="B38" s="3901" t="s">
        <v>4339</v>
      </c>
      <c r="C38" s="3901" t="s">
        <v>4340</v>
      </c>
      <c r="D38" s="3902" t="s">
        <v>4341</v>
      </c>
      <c r="E38" s="3902">
        <v>1</v>
      </c>
      <c r="F38" s="3902">
        <v>26.398700000000002</v>
      </c>
    </row>
    <row r="39" spans="1:6" ht="94.5" thickBot="1">
      <c r="A39" s="3900">
        <v>38</v>
      </c>
      <c r="B39" s="3901" t="s">
        <v>4342</v>
      </c>
      <c r="C39" s="3901" t="s">
        <v>4343</v>
      </c>
      <c r="D39" s="3902" t="s">
        <v>4281</v>
      </c>
      <c r="E39" s="3902">
        <v>1</v>
      </c>
      <c r="F39" s="3902">
        <v>11.629799999999999</v>
      </c>
    </row>
    <row r="40" spans="1:6" ht="38.25" thickBot="1">
      <c r="A40" s="3900">
        <v>39</v>
      </c>
      <c r="B40" s="3901" t="s">
        <v>4344</v>
      </c>
      <c r="C40" s="3901" t="s">
        <v>4290</v>
      </c>
      <c r="D40" s="3901" t="s">
        <v>4291</v>
      </c>
      <c r="E40" s="3902">
        <v>1</v>
      </c>
      <c r="F40" s="3902">
        <v>2.4641000000000002</v>
      </c>
    </row>
    <row r="41" spans="1:6" ht="57" thickBot="1">
      <c r="A41" s="3900">
        <v>40</v>
      </c>
      <c r="B41" s="3901" t="s">
        <v>4345</v>
      </c>
      <c r="C41" s="3901" t="s">
        <v>4346</v>
      </c>
      <c r="D41" s="3902" t="s">
        <v>4347</v>
      </c>
      <c r="E41" s="3902">
        <v>1</v>
      </c>
      <c r="F41" s="3902">
        <v>13.9482</v>
      </c>
    </row>
    <row r="42" spans="1:6" ht="57" thickBot="1">
      <c r="A42" s="3900">
        <v>41</v>
      </c>
      <c r="B42" s="3901" t="s">
        <v>4348</v>
      </c>
      <c r="C42" s="3901" t="s">
        <v>4349</v>
      </c>
      <c r="D42" s="3902" t="s">
        <v>4350</v>
      </c>
      <c r="E42" s="3902">
        <v>1</v>
      </c>
      <c r="F42" s="3902">
        <v>17.901700000000002</v>
      </c>
    </row>
    <row r="43" spans="1:6" ht="57" thickBot="1">
      <c r="A43" s="3900">
        <v>42</v>
      </c>
      <c r="B43" s="3901" t="s">
        <v>4348</v>
      </c>
      <c r="C43" s="3901" t="s">
        <v>4349</v>
      </c>
      <c r="D43" s="3902" t="s">
        <v>4350</v>
      </c>
      <c r="E43" s="3902">
        <v>1</v>
      </c>
      <c r="F43" s="3902">
        <v>24.1676</v>
      </c>
    </row>
    <row r="44" spans="1:6" ht="57" thickBot="1">
      <c r="A44" s="3900">
        <v>43</v>
      </c>
      <c r="B44" s="3901" t="s">
        <v>4351</v>
      </c>
      <c r="C44" s="3901" t="s">
        <v>4349</v>
      </c>
      <c r="D44" s="3902" t="s">
        <v>4352</v>
      </c>
      <c r="E44" s="3902">
        <v>1</v>
      </c>
      <c r="F44" s="3902">
        <v>1.248</v>
      </c>
    </row>
    <row r="45" spans="1:6" ht="75.75" thickBot="1">
      <c r="A45" s="3900">
        <v>44</v>
      </c>
      <c r="B45" s="3901" t="s">
        <v>4353</v>
      </c>
      <c r="C45" s="3901" t="s">
        <v>4354</v>
      </c>
      <c r="D45" s="3902" t="s">
        <v>4355</v>
      </c>
      <c r="E45" s="3902">
        <v>1</v>
      </c>
      <c r="F45" s="3902">
        <v>0.33</v>
      </c>
    </row>
    <row r="46" spans="1:6" ht="57" thickBot="1">
      <c r="A46" s="3900">
        <v>45</v>
      </c>
      <c r="B46" s="3901" t="s">
        <v>4356</v>
      </c>
      <c r="C46" s="3901" t="s">
        <v>4349</v>
      </c>
      <c r="D46" s="3902" t="s">
        <v>4357</v>
      </c>
      <c r="E46" s="3902">
        <v>1</v>
      </c>
      <c r="F46" s="3902">
        <v>1.5333000000000001</v>
      </c>
    </row>
    <row r="47" spans="1:6" ht="38.25" thickBot="1">
      <c r="A47" s="3900">
        <v>46</v>
      </c>
      <c r="B47" s="3901" t="s">
        <v>4358</v>
      </c>
      <c r="C47" s="3901" t="s">
        <v>4290</v>
      </c>
      <c r="D47" s="3901" t="s">
        <v>4291</v>
      </c>
      <c r="E47" s="3902">
        <v>1</v>
      </c>
      <c r="F47" s="3902">
        <v>5.8200000000000002E-2</v>
      </c>
    </row>
    <row r="48" spans="1:6" ht="38.25" thickBot="1">
      <c r="A48" s="3900">
        <v>47</v>
      </c>
      <c r="B48" s="3901" t="s">
        <v>4359</v>
      </c>
      <c r="C48" s="3901" t="s">
        <v>4360</v>
      </c>
      <c r="D48" s="3902" t="s">
        <v>4361</v>
      </c>
      <c r="E48" s="3902">
        <v>1</v>
      </c>
      <c r="F48" s="3902">
        <v>0.17499999999999999</v>
      </c>
    </row>
    <row r="49" spans="1:6" ht="38.25" thickBot="1">
      <c r="A49" s="3900">
        <v>48</v>
      </c>
      <c r="B49" s="3901" t="s">
        <v>4359</v>
      </c>
      <c r="C49" s="3901" t="s">
        <v>4360</v>
      </c>
      <c r="D49" s="3902" t="s">
        <v>4361</v>
      </c>
      <c r="E49" s="3902">
        <v>1</v>
      </c>
      <c r="F49" s="3902">
        <v>0.17499999999999999</v>
      </c>
    </row>
    <row r="50" spans="1:6" ht="38.25" thickBot="1">
      <c r="A50" s="3900">
        <v>49</v>
      </c>
      <c r="B50" s="3901" t="s">
        <v>4362</v>
      </c>
      <c r="C50" s="3901" t="s">
        <v>4290</v>
      </c>
      <c r="D50" s="3901" t="s">
        <v>4291</v>
      </c>
      <c r="E50" s="3902">
        <v>1</v>
      </c>
      <c r="F50" s="3902">
        <v>0.27060000000000001</v>
      </c>
    </row>
    <row r="51" spans="1:6" ht="38.25" thickBot="1">
      <c r="A51" s="3900">
        <v>50</v>
      </c>
      <c r="B51" s="3901" t="s">
        <v>4363</v>
      </c>
      <c r="C51" s="3901" t="s">
        <v>4290</v>
      </c>
      <c r="D51" s="3901" t="s">
        <v>4291</v>
      </c>
      <c r="E51" s="3902">
        <v>1</v>
      </c>
      <c r="F51" s="3902">
        <v>0.78400000000000003</v>
      </c>
    </row>
    <row r="52" spans="1:6" ht="38.25" thickBot="1">
      <c r="A52" s="3900">
        <v>51</v>
      </c>
      <c r="B52" s="3901" t="s">
        <v>4364</v>
      </c>
      <c r="C52" s="3901" t="s">
        <v>4290</v>
      </c>
      <c r="D52" s="3901" t="s">
        <v>4291</v>
      </c>
      <c r="E52" s="3902">
        <v>2</v>
      </c>
      <c r="F52" s="3902">
        <v>0.44800000000000001</v>
      </c>
    </row>
    <row r="53" spans="1:6" ht="38.25" thickBot="1">
      <c r="A53" s="3900">
        <v>52</v>
      </c>
      <c r="B53" s="3901" t="s">
        <v>4365</v>
      </c>
      <c r="C53" s="3901" t="s">
        <v>4290</v>
      </c>
      <c r="D53" s="3901" t="s">
        <v>4291</v>
      </c>
      <c r="E53" s="3902">
        <v>1</v>
      </c>
      <c r="F53" s="3902">
        <v>0.3836</v>
      </c>
    </row>
    <row r="54" spans="1:6" ht="38.25" thickBot="1">
      <c r="A54" s="3900">
        <v>53</v>
      </c>
      <c r="B54" s="3901" t="s">
        <v>4365</v>
      </c>
      <c r="C54" s="3901" t="s">
        <v>4290</v>
      </c>
      <c r="D54" s="3901" t="s">
        <v>4291</v>
      </c>
      <c r="E54" s="3902">
        <v>1</v>
      </c>
      <c r="F54" s="3902">
        <v>0.3836</v>
      </c>
    </row>
    <row r="55" spans="1:6" ht="38.25" thickBot="1">
      <c r="A55" s="3900">
        <v>54</v>
      </c>
      <c r="B55" s="3901" t="s">
        <v>4366</v>
      </c>
      <c r="C55" s="3901" t="s">
        <v>4290</v>
      </c>
      <c r="D55" s="3901" t="s">
        <v>4291</v>
      </c>
      <c r="E55" s="3902">
        <v>1</v>
      </c>
      <c r="F55" s="3902">
        <v>0.252</v>
      </c>
    </row>
    <row r="56" spans="1:6" ht="54.75" thickBot="1">
      <c r="A56" s="3900">
        <v>55</v>
      </c>
      <c r="B56" s="3901" t="s">
        <v>4367</v>
      </c>
      <c r="C56" s="3901" t="s">
        <v>4340</v>
      </c>
      <c r="D56" s="3903" t="s">
        <v>4368</v>
      </c>
      <c r="E56" s="3902">
        <v>1</v>
      </c>
      <c r="F56" s="3902">
        <v>6.1371000000000002</v>
      </c>
    </row>
    <row r="57" spans="1:6" ht="38.25" thickBot="1">
      <c r="A57" s="3900">
        <v>56</v>
      </c>
      <c r="B57" s="3901" t="s">
        <v>4369</v>
      </c>
      <c r="C57" s="3901" t="s">
        <v>4370</v>
      </c>
      <c r="D57" s="3902" t="s">
        <v>4281</v>
      </c>
      <c r="E57" s="3902">
        <v>1</v>
      </c>
      <c r="F57" s="3902">
        <v>3.4542000000000002</v>
      </c>
    </row>
    <row r="58" spans="1:6" ht="38.25" thickBot="1">
      <c r="A58" s="3900">
        <v>57</v>
      </c>
      <c r="B58" s="3901" t="s">
        <v>4371</v>
      </c>
      <c r="C58" s="3901" t="s">
        <v>4372</v>
      </c>
      <c r="D58" s="3902" t="s">
        <v>4281</v>
      </c>
      <c r="E58" s="3902">
        <v>1</v>
      </c>
      <c r="F58" s="3902">
        <v>3.91</v>
      </c>
    </row>
    <row r="59" spans="1:6" ht="38.25" thickBot="1">
      <c r="A59" s="3900">
        <v>58</v>
      </c>
      <c r="B59" s="3901" t="s">
        <v>4373</v>
      </c>
      <c r="C59" s="3901" t="s">
        <v>4328</v>
      </c>
      <c r="D59" s="3902" t="s">
        <v>4374</v>
      </c>
      <c r="E59" s="3902">
        <v>1</v>
      </c>
      <c r="F59" s="3902">
        <v>0.24829999999999999</v>
      </c>
    </row>
    <row r="60" spans="1:6" ht="94.5" thickBot="1">
      <c r="A60" s="3900">
        <v>59</v>
      </c>
      <c r="B60" s="3901" t="s">
        <v>4375</v>
      </c>
      <c r="C60" s="3901" t="s">
        <v>4376</v>
      </c>
      <c r="D60" s="3902" t="s">
        <v>4377</v>
      </c>
      <c r="E60" s="3902">
        <v>1</v>
      </c>
      <c r="F60" s="3902">
        <v>0.43890000000000001</v>
      </c>
    </row>
    <row r="61" spans="1:6" ht="57" thickBot="1">
      <c r="A61" s="3900">
        <v>60</v>
      </c>
      <c r="B61" s="3901" t="s">
        <v>4378</v>
      </c>
      <c r="C61" s="3901" t="s">
        <v>4379</v>
      </c>
      <c r="D61" s="3902" t="s">
        <v>4380</v>
      </c>
      <c r="E61" s="3902">
        <v>1</v>
      </c>
      <c r="F61" s="3902">
        <v>0.29820000000000002</v>
      </c>
    </row>
    <row r="62" spans="1:6" ht="38.25" thickBot="1">
      <c r="A62" s="3900">
        <v>61</v>
      </c>
      <c r="B62" s="3901" t="s">
        <v>4381</v>
      </c>
      <c r="C62" s="3901" t="s">
        <v>4382</v>
      </c>
      <c r="D62" s="3902" t="s">
        <v>4281</v>
      </c>
      <c r="E62" s="3902">
        <v>1</v>
      </c>
      <c r="F62" s="3902">
        <v>3.7176</v>
      </c>
    </row>
    <row r="63" spans="1:6" ht="75.75" thickBot="1">
      <c r="A63" s="3900">
        <v>62</v>
      </c>
      <c r="B63" s="3901" t="s">
        <v>4383</v>
      </c>
      <c r="C63" s="3901" t="s">
        <v>4384</v>
      </c>
      <c r="D63" s="3902" t="s">
        <v>4385</v>
      </c>
      <c r="E63" s="3902">
        <v>1</v>
      </c>
      <c r="F63" s="3902">
        <v>8.7800000000000003E-2</v>
      </c>
    </row>
    <row r="64" spans="1:6" ht="75.75" thickBot="1">
      <c r="A64" s="3900">
        <v>63</v>
      </c>
      <c r="B64" s="3901" t="s">
        <v>4386</v>
      </c>
      <c r="C64" s="3901" t="s">
        <v>4384</v>
      </c>
      <c r="D64" s="3902" t="s">
        <v>4385</v>
      </c>
      <c r="E64" s="3902">
        <v>1</v>
      </c>
      <c r="F64" s="3902">
        <v>0.9456</v>
      </c>
    </row>
    <row r="65" spans="1:6" ht="38.25" thickBot="1">
      <c r="A65" s="3900">
        <v>64</v>
      </c>
      <c r="B65" s="3901" t="s">
        <v>4387</v>
      </c>
      <c r="C65" s="3901" t="s">
        <v>4290</v>
      </c>
      <c r="D65" s="3901" t="s">
        <v>4291</v>
      </c>
      <c r="E65" s="3902">
        <v>2</v>
      </c>
      <c r="F65" s="3902">
        <v>2.0139999999999998</v>
      </c>
    </row>
    <row r="66" spans="1:6" ht="38.25" thickBot="1">
      <c r="A66" s="3900">
        <v>65</v>
      </c>
      <c r="B66" s="3901" t="s">
        <v>4388</v>
      </c>
      <c r="C66" s="3901" t="s">
        <v>4290</v>
      </c>
      <c r="D66" s="3901" t="s">
        <v>4291</v>
      </c>
      <c r="E66" s="3902">
        <v>1</v>
      </c>
      <c r="F66" s="3902">
        <v>0.1263</v>
      </c>
    </row>
    <row r="67" spans="1:6" ht="38.25" thickBot="1">
      <c r="A67" s="3900">
        <v>66</v>
      </c>
      <c r="B67" s="3901" t="s">
        <v>4388</v>
      </c>
      <c r="C67" s="3901" t="s">
        <v>4290</v>
      </c>
      <c r="D67" s="3901" t="s">
        <v>4291</v>
      </c>
      <c r="E67" s="3902">
        <v>1</v>
      </c>
      <c r="F67" s="3902">
        <v>0.1263</v>
      </c>
    </row>
    <row r="68" spans="1:6" ht="38.25" thickBot="1">
      <c r="A68" s="3900">
        <v>67</v>
      </c>
      <c r="B68" s="3901" t="s">
        <v>4388</v>
      </c>
      <c r="C68" s="3901" t="s">
        <v>4290</v>
      </c>
      <c r="D68" s="3901" t="s">
        <v>4291</v>
      </c>
      <c r="E68" s="3902">
        <v>2</v>
      </c>
      <c r="F68" s="3902">
        <v>0.3024</v>
      </c>
    </row>
    <row r="69" spans="1:6" ht="38.25" thickBot="1">
      <c r="A69" s="3900">
        <v>68</v>
      </c>
      <c r="B69" s="3901" t="s">
        <v>4389</v>
      </c>
      <c r="C69" s="3901" t="s">
        <v>4290</v>
      </c>
      <c r="D69" s="3901" t="s">
        <v>4291</v>
      </c>
      <c r="E69" s="3902">
        <v>1</v>
      </c>
      <c r="F69" s="3902">
        <v>9.6153999999999993</v>
      </c>
    </row>
    <row r="70" spans="1:6" ht="38.25" thickBot="1">
      <c r="A70" s="3900">
        <v>69</v>
      </c>
      <c r="B70" s="3901" t="s">
        <v>4390</v>
      </c>
      <c r="C70" s="3901" t="s">
        <v>4290</v>
      </c>
      <c r="D70" s="3901" t="s">
        <v>4291</v>
      </c>
      <c r="E70" s="3902">
        <v>1</v>
      </c>
      <c r="F70" s="3902">
        <v>0.94640000000000002</v>
      </c>
    </row>
    <row r="71" spans="1:6" ht="57" thickBot="1">
      <c r="A71" s="3900">
        <v>70</v>
      </c>
      <c r="B71" s="3901" t="s">
        <v>4391</v>
      </c>
      <c r="C71" s="3901" t="s">
        <v>4290</v>
      </c>
      <c r="D71" s="3901" t="s">
        <v>4291</v>
      </c>
      <c r="E71" s="3902">
        <v>1</v>
      </c>
      <c r="F71" s="3902">
        <v>1.4735</v>
      </c>
    </row>
    <row r="72" spans="1:6" ht="57" thickBot="1">
      <c r="A72" s="3900">
        <v>71</v>
      </c>
      <c r="B72" s="3901" t="s">
        <v>4392</v>
      </c>
      <c r="C72" s="3901" t="s">
        <v>4290</v>
      </c>
      <c r="D72" s="3901" t="s">
        <v>4291</v>
      </c>
      <c r="E72" s="3902">
        <v>1</v>
      </c>
      <c r="F72" s="3902">
        <v>1.7637</v>
      </c>
    </row>
    <row r="73" spans="1:6" ht="75.75" thickBot="1">
      <c r="A73" s="3900">
        <v>72</v>
      </c>
      <c r="B73" s="3901" t="s">
        <v>4393</v>
      </c>
      <c r="C73" s="3901" t="s">
        <v>4290</v>
      </c>
      <c r="D73" s="3901" t="s">
        <v>4291</v>
      </c>
      <c r="E73" s="3902">
        <v>2</v>
      </c>
      <c r="F73" s="3902">
        <v>2.3047</v>
      </c>
    </row>
    <row r="74" spans="1:6" ht="38.25" thickBot="1">
      <c r="A74" s="3900">
        <v>73</v>
      </c>
      <c r="B74" s="3901" t="s">
        <v>4389</v>
      </c>
      <c r="C74" s="3901" t="s">
        <v>4290</v>
      </c>
      <c r="D74" s="3901" t="s">
        <v>4291</v>
      </c>
      <c r="E74" s="3902">
        <v>1</v>
      </c>
      <c r="F74" s="3902">
        <v>9.6153999999999993</v>
      </c>
    </row>
    <row r="75" spans="1:6" ht="57" thickBot="1">
      <c r="A75" s="3900">
        <v>74</v>
      </c>
      <c r="B75" s="3901" t="s">
        <v>4394</v>
      </c>
      <c r="C75" s="3901" t="s">
        <v>4290</v>
      </c>
      <c r="D75" s="3901" t="s">
        <v>4291</v>
      </c>
      <c r="E75" s="3902">
        <v>1</v>
      </c>
      <c r="F75" s="3902">
        <v>1.4735</v>
      </c>
    </row>
    <row r="76" spans="1:6" ht="75.75" thickBot="1">
      <c r="A76" s="3900">
        <v>75</v>
      </c>
      <c r="B76" s="3901" t="s">
        <v>4395</v>
      </c>
      <c r="C76" s="3901" t="s">
        <v>4290</v>
      </c>
      <c r="D76" s="3901" t="s">
        <v>4291</v>
      </c>
      <c r="E76" s="3902">
        <v>1</v>
      </c>
      <c r="F76" s="3902">
        <v>1.1523000000000001</v>
      </c>
    </row>
    <row r="77" spans="1:6" ht="75.75" thickBot="1">
      <c r="A77" s="3900">
        <v>76</v>
      </c>
      <c r="B77" s="3901" t="s">
        <v>4396</v>
      </c>
      <c r="C77" s="3901" t="s">
        <v>4290</v>
      </c>
      <c r="D77" s="3901" t="s">
        <v>4291</v>
      </c>
      <c r="E77" s="3902">
        <v>1</v>
      </c>
      <c r="F77" s="3902">
        <v>1.4735</v>
      </c>
    </row>
    <row r="78" spans="1:6" ht="38.25" thickBot="1">
      <c r="A78" s="3900">
        <v>77</v>
      </c>
      <c r="B78" s="3901" t="s">
        <v>4397</v>
      </c>
      <c r="C78" s="3901" t="s">
        <v>4290</v>
      </c>
      <c r="D78" s="3901" t="s">
        <v>4291</v>
      </c>
      <c r="E78" s="3902">
        <v>1</v>
      </c>
      <c r="F78" s="3902">
        <v>1.1185</v>
      </c>
    </row>
    <row r="79" spans="1:6" ht="38.25" thickBot="1">
      <c r="A79" s="3900">
        <v>78</v>
      </c>
      <c r="B79" s="3901" t="s">
        <v>4398</v>
      </c>
      <c r="C79" s="3901" t="s">
        <v>4290</v>
      </c>
      <c r="D79" s="3901" t="s">
        <v>4291</v>
      </c>
      <c r="E79" s="3902">
        <v>1</v>
      </c>
      <c r="F79" s="3902">
        <v>1.1950000000000001</v>
      </c>
    </row>
    <row r="80" spans="1:6" ht="38.25" thickBot="1">
      <c r="A80" s="3900">
        <v>79</v>
      </c>
      <c r="B80" s="3901" t="s">
        <v>4399</v>
      </c>
      <c r="C80" s="3901" t="s">
        <v>4290</v>
      </c>
      <c r="D80" s="3901" t="s">
        <v>4291</v>
      </c>
      <c r="E80" s="3902">
        <v>2</v>
      </c>
      <c r="F80" s="3902">
        <v>3.073</v>
      </c>
    </row>
    <row r="81" spans="1:6" ht="57" thickBot="1">
      <c r="A81" s="3900">
        <v>80</v>
      </c>
      <c r="B81" s="3901" t="s">
        <v>4400</v>
      </c>
      <c r="C81" s="3901" t="s">
        <v>4290</v>
      </c>
      <c r="D81" s="3901" t="s">
        <v>4291</v>
      </c>
      <c r="E81" s="3902">
        <v>1</v>
      </c>
      <c r="F81" s="3902">
        <v>0.76819999999999999</v>
      </c>
    </row>
    <row r="82" spans="1:6" ht="57" thickBot="1">
      <c r="A82" s="3900">
        <v>81</v>
      </c>
      <c r="B82" s="3901" t="s">
        <v>4401</v>
      </c>
      <c r="C82" s="3901" t="s">
        <v>4290</v>
      </c>
      <c r="D82" s="3901" t="s">
        <v>4291</v>
      </c>
      <c r="E82" s="3902">
        <v>1</v>
      </c>
      <c r="F82" s="3902">
        <v>1.4735</v>
      </c>
    </row>
    <row r="83" spans="1:6" ht="75.75" thickBot="1">
      <c r="A83" s="3900">
        <v>82</v>
      </c>
      <c r="B83" s="3901" t="s">
        <v>4402</v>
      </c>
      <c r="C83" s="3901" t="s">
        <v>4290</v>
      </c>
      <c r="D83" s="3901" t="s">
        <v>4291</v>
      </c>
      <c r="E83" s="3902">
        <v>1</v>
      </c>
      <c r="F83" s="3902">
        <v>0.86729999999999996</v>
      </c>
    </row>
    <row r="84" spans="1:6" ht="75.75" thickBot="1">
      <c r="A84" s="3900">
        <v>83</v>
      </c>
      <c r="B84" s="3901" t="s">
        <v>4403</v>
      </c>
      <c r="C84" s="3901" t="s">
        <v>4290</v>
      </c>
      <c r="D84" s="3901" t="s">
        <v>4291</v>
      </c>
      <c r="E84" s="3902">
        <v>2</v>
      </c>
      <c r="F84" s="3902">
        <v>1.7345999999999999</v>
      </c>
    </row>
    <row r="85" spans="1:6" ht="38.25" thickBot="1">
      <c r="A85" s="3900">
        <v>84</v>
      </c>
      <c r="B85" s="3901" t="s">
        <v>4404</v>
      </c>
      <c r="C85" s="3901" t="s">
        <v>4290</v>
      </c>
      <c r="D85" s="3901" t="s">
        <v>4291</v>
      </c>
      <c r="E85" s="3902">
        <v>1</v>
      </c>
      <c r="F85" s="3902">
        <v>1.5365</v>
      </c>
    </row>
    <row r="86" spans="1:6" ht="38.25" thickBot="1">
      <c r="A86" s="3900">
        <v>85</v>
      </c>
      <c r="B86" s="3901" t="s">
        <v>4405</v>
      </c>
      <c r="C86" s="3901" t="s">
        <v>4290</v>
      </c>
      <c r="D86" s="3901" t="s">
        <v>4291</v>
      </c>
      <c r="E86" s="3902">
        <v>1</v>
      </c>
      <c r="F86" s="3902">
        <v>4.1398000000000001</v>
      </c>
    </row>
    <row r="87" spans="1:6" ht="38.25" thickBot="1">
      <c r="A87" s="3900">
        <v>86</v>
      </c>
      <c r="B87" s="3901" t="s">
        <v>4405</v>
      </c>
      <c r="C87" s="3901" t="s">
        <v>4290</v>
      </c>
      <c r="D87" s="3901" t="s">
        <v>4291</v>
      </c>
      <c r="E87" s="3902">
        <v>1</v>
      </c>
      <c r="F87" s="3902">
        <v>4.1398000000000001</v>
      </c>
    </row>
    <row r="88" spans="1:6" ht="75.75" thickBot="1">
      <c r="A88" s="3900">
        <v>87</v>
      </c>
      <c r="B88" s="3901" t="s">
        <v>4406</v>
      </c>
      <c r="C88" s="3901" t="s">
        <v>4407</v>
      </c>
      <c r="D88" s="3902" t="s">
        <v>4408</v>
      </c>
      <c r="E88" s="3902">
        <v>1</v>
      </c>
      <c r="F88" s="3902">
        <v>6.2300000000000001E-2</v>
      </c>
    </row>
    <row r="89" spans="1:6" ht="75.75" thickBot="1">
      <c r="A89" s="3900">
        <v>88</v>
      </c>
      <c r="B89" s="3901" t="s">
        <v>4409</v>
      </c>
      <c r="C89" s="3901" t="s">
        <v>4407</v>
      </c>
      <c r="D89" s="3902" t="s">
        <v>4408</v>
      </c>
      <c r="E89" s="3902">
        <v>1</v>
      </c>
      <c r="F89" s="3902">
        <v>6.4100000000000004E-2</v>
      </c>
    </row>
    <row r="90" spans="1:6" ht="57" thickBot="1">
      <c r="A90" s="3900">
        <v>89</v>
      </c>
      <c r="B90" s="3901" t="s">
        <v>4410</v>
      </c>
      <c r="C90" s="3901" t="s">
        <v>4411</v>
      </c>
      <c r="D90" s="3902" t="s">
        <v>4412</v>
      </c>
      <c r="E90" s="3902">
        <v>1</v>
      </c>
      <c r="F90" s="3902">
        <v>2.7147000000000001</v>
      </c>
    </row>
    <row r="91" spans="1:6" ht="94.5" thickBot="1">
      <c r="A91" s="3900">
        <v>90</v>
      </c>
      <c r="B91" s="3901" t="s">
        <v>4413</v>
      </c>
      <c r="C91" s="3901" t="s">
        <v>4414</v>
      </c>
      <c r="D91" s="3902" t="s">
        <v>4415</v>
      </c>
      <c r="E91" s="3902">
        <v>1</v>
      </c>
      <c r="F91" s="3902">
        <v>0.5736</v>
      </c>
    </row>
    <row r="92" spans="1:6" ht="57" thickBot="1">
      <c r="A92" s="3900">
        <v>91</v>
      </c>
      <c r="B92" s="3901" t="s">
        <v>4416</v>
      </c>
      <c r="C92" s="3901" t="s">
        <v>4417</v>
      </c>
      <c r="D92" s="3902" t="s">
        <v>4418</v>
      </c>
      <c r="E92" s="3902">
        <v>1</v>
      </c>
      <c r="F92" s="3902">
        <v>0.85450000000000004</v>
      </c>
    </row>
    <row r="93" spans="1:6" ht="94.5" thickBot="1">
      <c r="A93" s="3900">
        <v>92</v>
      </c>
      <c r="B93" s="3901" t="s">
        <v>4419</v>
      </c>
      <c r="C93" s="3901" t="s">
        <v>4414</v>
      </c>
      <c r="D93" s="3902" t="s">
        <v>4420</v>
      </c>
      <c r="E93" s="3902">
        <v>1</v>
      </c>
      <c r="F93" s="3902">
        <v>1.1574</v>
      </c>
    </row>
    <row r="94" spans="1:6" ht="74.25" thickBot="1">
      <c r="A94" s="3900">
        <v>93</v>
      </c>
      <c r="B94" s="3901" t="s">
        <v>4421</v>
      </c>
      <c r="C94" s="3901" t="s">
        <v>4422</v>
      </c>
      <c r="D94" s="3902" t="s">
        <v>4423</v>
      </c>
      <c r="E94" s="3902">
        <v>1</v>
      </c>
      <c r="F94" s="3902">
        <v>0.69689999999999996</v>
      </c>
    </row>
    <row r="95" spans="1:6" ht="75.75" thickBot="1">
      <c r="A95" s="3900">
        <v>94</v>
      </c>
      <c r="B95" s="3901" t="s">
        <v>4424</v>
      </c>
      <c r="C95" s="3901" t="s">
        <v>4425</v>
      </c>
      <c r="D95" s="3902" t="s">
        <v>4426</v>
      </c>
      <c r="E95" s="3902">
        <v>1</v>
      </c>
      <c r="F95" s="3902">
        <v>0.85919999999999996</v>
      </c>
    </row>
    <row r="96" spans="1:6" ht="75.75" thickBot="1">
      <c r="A96" s="3900">
        <v>95</v>
      </c>
      <c r="B96" s="3901" t="s">
        <v>4427</v>
      </c>
      <c r="C96" s="3901" t="s">
        <v>4425</v>
      </c>
      <c r="D96" s="3902" t="s">
        <v>4428</v>
      </c>
      <c r="E96" s="3902">
        <v>1</v>
      </c>
      <c r="F96" s="3902">
        <v>0.60850000000000004</v>
      </c>
    </row>
    <row r="97" spans="1:6" ht="75" thickBot="1">
      <c r="A97" s="3900">
        <v>96</v>
      </c>
      <c r="B97" s="3901" t="s">
        <v>4429</v>
      </c>
      <c r="C97" s="3901" t="s">
        <v>4430</v>
      </c>
      <c r="D97" s="3901" t="s">
        <v>4431</v>
      </c>
      <c r="E97" s="3902">
        <v>1</v>
      </c>
      <c r="F97" s="3902">
        <v>0.46</v>
      </c>
    </row>
    <row r="98" spans="1:6" ht="75.75" thickBot="1">
      <c r="A98" s="3900">
        <v>97</v>
      </c>
      <c r="B98" s="3901" t="s">
        <v>4432</v>
      </c>
      <c r="C98" s="3901" t="s">
        <v>4433</v>
      </c>
      <c r="D98" s="3902" t="s">
        <v>4434</v>
      </c>
      <c r="E98" s="3902">
        <v>1</v>
      </c>
      <c r="F98" s="3902">
        <v>0.29270000000000002</v>
      </c>
    </row>
    <row r="99" spans="1:6" ht="38.25" thickBot="1">
      <c r="A99" s="3900">
        <v>98</v>
      </c>
      <c r="B99" s="3901" t="s">
        <v>4435</v>
      </c>
      <c r="C99" s="3901" t="s">
        <v>4436</v>
      </c>
      <c r="D99" s="3902" t="s">
        <v>4437</v>
      </c>
      <c r="E99" s="3902">
        <v>1</v>
      </c>
      <c r="F99" s="3902">
        <v>0.47270000000000001</v>
      </c>
    </row>
    <row r="100" spans="1:6" ht="57" thickBot="1">
      <c r="A100" s="3900">
        <v>99</v>
      </c>
      <c r="B100" s="3901" t="s">
        <v>4438</v>
      </c>
      <c r="C100" s="3901" t="s">
        <v>4439</v>
      </c>
      <c r="D100" s="3902" t="s">
        <v>4440</v>
      </c>
      <c r="E100" s="3902">
        <v>1</v>
      </c>
      <c r="F100" s="3902">
        <v>0.88949999999999996</v>
      </c>
    </row>
    <row r="101" spans="1:6" ht="38.25" thickBot="1">
      <c r="A101" s="3900">
        <v>100</v>
      </c>
      <c r="B101" s="3901" t="s">
        <v>4441</v>
      </c>
      <c r="C101" s="3901" t="s">
        <v>4442</v>
      </c>
      <c r="D101" s="3902" t="s">
        <v>4443</v>
      </c>
      <c r="E101" s="3902">
        <v>1</v>
      </c>
      <c r="F101" s="3902">
        <v>1.2831999999999999</v>
      </c>
    </row>
    <row r="102" spans="1:6" ht="75.75" thickBot="1">
      <c r="A102" s="3900">
        <v>101</v>
      </c>
      <c r="B102" s="3901" t="s">
        <v>4444</v>
      </c>
      <c r="C102" s="3901" t="s">
        <v>4425</v>
      </c>
      <c r="D102" s="3902" t="s">
        <v>4445</v>
      </c>
      <c r="E102" s="3902">
        <v>1</v>
      </c>
      <c r="F102" s="3902">
        <v>3.6781999999999999</v>
      </c>
    </row>
    <row r="103" spans="1:6" ht="57" thickBot="1">
      <c r="A103" s="3900">
        <v>102</v>
      </c>
      <c r="B103" s="3901" t="s">
        <v>4446</v>
      </c>
      <c r="C103" s="3901" t="s">
        <v>4447</v>
      </c>
      <c r="D103" s="3902" t="s">
        <v>4448</v>
      </c>
      <c r="E103" s="3902">
        <v>1</v>
      </c>
      <c r="F103" s="3902">
        <v>3.0884999999999998</v>
      </c>
    </row>
    <row r="104" spans="1:6" ht="94.5" thickBot="1">
      <c r="A104" s="3900">
        <v>103</v>
      </c>
      <c r="B104" s="3901" t="s">
        <v>4446</v>
      </c>
      <c r="C104" s="3901" t="s">
        <v>4449</v>
      </c>
      <c r="D104" s="3902" t="s">
        <v>4450</v>
      </c>
      <c r="E104" s="3902">
        <v>1</v>
      </c>
      <c r="F104" s="3902">
        <v>2.3687999999999998</v>
      </c>
    </row>
    <row r="105" spans="1:6" ht="38.25" thickBot="1">
      <c r="A105" s="3900">
        <v>104</v>
      </c>
      <c r="B105" s="3901" t="s">
        <v>4451</v>
      </c>
      <c r="C105" s="3901" t="s">
        <v>4452</v>
      </c>
      <c r="D105" s="3902" t="s">
        <v>4453</v>
      </c>
      <c r="E105" s="3902">
        <v>1</v>
      </c>
      <c r="F105" s="3902">
        <v>4.4398</v>
      </c>
    </row>
    <row r="106" spans="1:6" ht="57" thickBot="1">
      <c r="A106" s="3900">
        <v>105</v>
      </c>
      <c r="B106" s="3901" t="s">
        <v>4454</v>
      </c>
      <c r="C106" s="3901" t="s">
        <v>4452</v>
      </c>
      <c r="D106" s="3902" t="s">
        <v>4281</v>
      </c>
      <c r="E106" s="3902">
        <v>1</v>
      </c>
      <c r="F106" s="3902">
        <v>1.0021</v>
      </c>
    </row>
    <row r="107" spans="1:6" ht="57" thickBot="1">
      <c r="A107" s="3900">
        <v>106</v>
      </c>
      <c r="B107" s="3901" t="s">
        <v>4455</v>
      </c>
      <c r="C107" s="3901" t="s">
        <v>4456</v>
      </c>
      <c r="D107" s="3902" t="s">
        <v>4457</v>
      </c>
      <c r="E107" s="3902">
        <v>1</v>
      </c>
      <c r="F107" s="3902">
        <v>0.54879999999999995</v>
      </c>
    </row>
    <row r="108" spans="1:6" ht="75.75" thickBot="1">
      <c r="A108" s="3900">
        <v>107</v>
      </c>
      <c r="B108" s="3901" t="s">
        <v>4458</v>
      </c>
      <c r="C108" s="3901" t="s">
        <v>4459</v>
      </c>
      <c r="D108" s="3902" t="s">
        <v>4460</v>
      </c>
      <c r="E108" s="3902">
        <v>1</v>
      </c>
      <c r="F108" s="3902">
        <v>6.2E-2</v>
      </c>
    </row>
    <row r="109" spans="1:6" ht="75.75" thickBot="1">
      <c r="A109" s="3900">
        <v>108</v>
      </c>
      <c r="B109" s="3901" t="s">
        <v>4461</v>
      </c>
      <c r="C109" s="3901" t="s">
        <v>4459</v>
      </c>
      <c r="D109" s="3902" t="s">
        <v>4462</v>
      </c>
      <c r="E109" s="3902">
        <v>1</v>
      </c>
      <c r="F109" s="3902">
        <v>5.3199999999999997E-2</v>
      </c>
    </row>
    <row r="110" spans="1:6" ht="57" thickBot="1">
      <c r="A110" s="3900">
        <v>109</v>
      </c>
      <c r="B110" s="3901" t="s">
        <v>4463</v>
      </c>
      <c r="C110" s="3901" t="s">
        <v>4464</v>
      </c>
      <c r="D110" s="3902" t="s">
        <v>4465</v>
      </c>
      <c r="E110" s="3902">
        <v>1</v>
      </c>
      <c r="F110" s="3902">
        <v>8.6800000000000002E-2</v>
      </c>
    </row>
    <row r="111" spans="1:6" ht="75.75" thickBot="1">
      <c r="A111" s="3900">
        <v>110</v>
      </c>
      <c r="B111" s="3901" t="s">
        <v>4466</v>
      </c>
      <c r="C111" s="3901" t="s">
        <v>4456</v>
      </c>
      <c r="D111" s="3902" t="s">
        <v>4457</v>
      </c>
      <c r="E111" s="3902">
        <v>1</v>
      </c>
      <c r="F111" s="3902">
        <v>0.36359999999999998</v>
      </c>
    </row>
    <row r="112" spans="1:6" ht="94.5" thickBot="1">
      <c r="A112" s="3900">
        <v>111</v>
      </c>
      <c r="B112" s="3901" t="s">
        <v>4467</v>
      </c>
      <c r="C112" s="3901" t="s">
        <v>4468</v>
      </c>
      <c r="D112" s="3902" t="s">
        <v>4469</v>
      </c>
      <c r="E112" s="3902">
        <v>1</v>
      </c>
      <c r="F112" s="3902">
        <v>10.495699999999999</v>
      </c>
    </row>
    <row r="113" spans="1:6" ht="94.5" thickBot="1">
      <c r="A113" s="3900">
        <v>112</v>
      </c>
      <c r="B113" s="3901" t="s">
        <v>4470</v>
      </c>
      <c r="C113" s="3901" t="s">
        <v>4471</v>
      </c>
      <c r="D113" s="3902" t="s">
        <v>4281</v>
      </c>
      <c r="E113" s="3902">
        <v>1</v>
      </c>
      <c r="F113" s="3902">
        <v>16.594999999999999</v>
      </c>
    </row>
    <row r="114" spans="1:6" ht="75.75" thickBot="1">
      <c r="A114" s="3900">
        <v>113</v>
      </c>
      <c r="B114" s="3901" t="s">
        <v>4472</v>
      </c>
      <c r="C114" s="3901" t="s">
        <v>4473</v>
      </c>
      <c r="D114" s="3901" t="s">
        <v>4474</v>
      </c>
      <c r="E114" s="3902">
        <v>2</v>
      </c>
      <c r="F114" s="3902">
        <v>42.850299999999997</v>
      </c>
    </row>
    <row r="115" spans="1:6" ht="94.5" thickBot="1">
      <c r="A115" s="3900">
        <v>114</v>
      </c>
      <c r="B115" s="3901" t="s">
        <v>4475</v>
      </c>
      <c r="C115" s="3901" t="s">
        <v>4476</v>
      </c>
      <c r="D115" s="3902" t="s">
        <v>4281</v>
      </c>
      <c r="E115" s="3902">
        <v>1</v>
      </c>
      <c r="F115" s="3902">
        <v>13.9283</v>
      </c>
    </row>
    <row r="116" spans="1:6" ht="75.75" thickBot="1">
      <c r="A116" s="3900">
        <v>115</v>
      </c>
      <c r="B116" s="3901" t="s">
        <v>4477</v>
      </c>
      <c r="C116" s="3901" t="s">
        <v>4478</v>
      </c>
      <c r="D116" s="3902" t="s">
        <v>4479</v>
      </c>
      <c r="E116" s="3902">
        <v>1</v>
      </c>
      <c r="F116" s="3902">
        <v>14.1279</v>
      </c>
    </row>
    <row r="117" spans="1:6" ht="75.75" thickBot="1">
      <c r="A117" s="3900">
        <v>116</v>
      </c>
      <c r="B117" s="3901" t="s">
        <v>4477</v>
      </c>
      <c r="C117" s="3901" t="s">
        <v>4478</v>
      </c>
      <c r="D117" s="3902" t="s">
        <v>4480</v>
      </c>
      <c r="E117" s="3902">
        <v>1</v>
      </c>
      <c r="F117" s="3902">
        <v>5.5430000000000001</v>
      </c>
    </row>
    <row r="118" spans="1:6" ht="75.75" thickBot="1">
      <c r="A118" s="3900">
        <v>117</v>
      </c>
      <c r="B118" s="3901" t="s">
        <v>4477</v>
      </c>
      <c r="C118" s="3901" t="s">
        <v>4478</v>
      </c>
      <c r="D118" s="3902" t="s">
        <v>4480</v>
      </c>
      <c r="E118" s="3902">
        <v>1</v>
      </c>
      <c r="F118" s="3902">
        <v>5.5430000000000001</v>
      </c>
    </row>
    <row r="119" spans="1:6" ht="57" thickBot="1">
      <c r="A119" s="3900">
        <v>118</v>
      </c>
      <c r="B119" s="3901" t="s">
        <v>4481</v>
      </c>
      <c r="C119" s="3901" t="s">
        <v>4482</v>
      </c>
      <c r="D119" s="3902" t="s">
        <v>4483</v>
      </c>
      <c r="E119" s="3902">
        <v>1</v>
      </c>
      <c r="F119" s="3902">
        <v>144.6584</v>
      </c>
    </row>
    <row r="120" spans="1:6" ht="75.75" thickBot="1">
      <c r="A120" s="3900">
        <v>119</v>
      </c>
      <c r="B120" s="3901" t="s">
        <v>4484</v>
      </c>
      <c r="C120" s="3901" t="s">
        <v>4485</v>
      </c>
      <c r="D120" s="3902" t="s">
        <v>4281</v>
      </c>
      <c r="E120" s="3902">
        <v>1</v>
      </c>
      <c r="F120" s="3902">
        <v>0.40799999999999997</v>
      </c>
    </row>
    <row r="121" spans="1:6" ht="38.25" thickBot="1">
      <c r="A121" s="3900">
        <v>120</v>
      </c>
      <c r="B121" s="3901" t="s">
        <v>4486</v>
      </c>
      <c r="C121" s="3902" t="s">
        <v>4281</v>
      </c>
      <c r="D121" s="3902" t="s">
        <v>4281</v>
      </c>
      <c r="E121" s="3902">
        <v>1</v>
      </c>
      <c r="F121" s="3902">
        <v>0.51</v>
      </c>
    </row>
    <row r="122" spans="1:6" ht="38.25" thickBot="1">
      <c r="A122" s="3900">
        <v>121</v>
      </c>
      <c r="B122" s="3901" t="s">
        <v>4487</v>
      </c>
      <c r="C122" s="3901" t="s">
        <v>4488</v>
      </c>
      <c r="D122" s="3901" t="s">
        <v>4291</v>
      </c>
      <c r="E122" s="3902">
        <v>1</v>
      </c>
      <c r="F122" s="3902">
        <v>0.51</v>
      </c>
    </row>
    <row r="123" spans="1:6" ht="38.25" thickBot="1">
      <c r="A123" s="3900">
        <v>122</v>
      </c>
      <c r="B123" s="3901" t="s">
        <v>4489</v>
      </c>
      <c r="C123" s="3902" t="s">
        <v>4490</v>
      </c>
      <c r="D123" s="3902" t="s">
        <v>4281</v>
      </c>
      <c r="E123" s="3902">
        <v>1</v>
      </c>
      <c r="F123" s="3902">
        <v>7.2800000000000004E-2</v>
      </c>
    </row>
    <row r="124" spans="1:6" ht="38.25" thickBot="1">
      <c r="A124" s="3900">
        <v>123</v>
      </c>
      <c r="B124" s="3901" t="s">
        <v>4491</v>
      </c>
      <c r="C124" s="3902" t="s">
        <v>4492</v>
      </c>
      <c r="D124" s="3902" t="s">
        <v>4493</v>
      </c>
      <c r="E124" s="3902">
        <v>1</v>
      </c>
      <c r="F124" s="3902">
        <v>0.1744</v>
      </c>
    </row>
    <row r="125" spans="1:6" ht="19.5" thickBot="1">
      <c r="A125" s="3900">
        <v>124</v>
      </c>
      <c r="B125" s="3901" t="s">
        <v>4494</v>
      </c>
      <c r="C125" s="3901" t="s">
        <v>4495</v>
      </c>
      <c r="D125" s="3901" t="s">
        <v>4291</v>
      </c>
      <c r="E125" s="3902">
        <v>2</v>
      </c>
      <c r="F125" s="3902">
        <v>2.04</v>
      </c>
    </row>
    <row r="126" spans="1:6" ht="19.5" thickBot="1">
      <c r="A126" s="3900">
        <v>125</v>
      </c>
      <c r="B126" s="3901" t="s">
        <v>4496</v>
      </c>
      <c r="C126" s="3902" t="s">
        <v>4281</v>
      </c>
      <c r="D126" s="3902" t="s">
        <v>4497</v>
      </c>
      <c r="E126" s="3902">
        <v>1</v>
      </c>
      <c r="F126" s="3902">
        <v>0.442</v>
      </c>
    </row>
    <row r="127" spans="1:6" ht="38.25" thickBot="1">
      <c r="A127" s="3900">
        <v>126</v>
      </c>
      <c r="B127" s="3901" t="s">
        <v>4498</v>
      </c>
      <c r="C127" s="3902" t="s">
        <v>4281</v>
      </c>
      <c r="D127" s="3901" t="s">
        <v>4291</v>
      </c>
      <c r="E127" s="3902">
        <v>1</v>
      </c>
      <c r="F127" s="3902">
        <v>0.17</v>
      </c>
    </row>
    <row r="128" spans="1:6" ht="19.5" thickBot="1">
      <c r="A128" s="3900">
        <v>127</v>
      </c>
      <c r="B128" s="3901" t="s">
        <v>4499</v>
      </c>
      <c r="C128" s="3902" t="s">
        <v>4281</v>
      </c>
      <c r="D128" s="3902" t="s">
        <v>4281</v>
      </c>
      <c r="E128" s="3902">
        <v>1</v>
      </c>
      <c r="F128" s="3902">
        <v>0.17</v>
      </c>
    </row>
    <row r="129" spans="1:6" ht="57" thickBot="1">
      <c r="A129" s="3900">
        <v>128</v>
      </c>
      <c r="B129" s="3901" t="s">
        <v>4500</v>
      </c>
      <c r="C129" s="3901" t="s">
        <v>4501</v>
      </c>
      <c r="D129" s="3902" t="s">
        <v>4502</v>
      </c>
      <c r="E129" s="3902">
        <v>7</v>
      </c>
      <c r="F129" s="3902">
        <v>0.64259999999999995</v>
      </c>
    </row>
    <row r="130" spans="1:6" ht="57" thickBot="1">
      <c r="A130" s="3900">
        <v>129</v>
      </c>
      <c r="B130" s="3901" t="s">
        <v>4503</v>
      </c>
      <c r="C130" s="3901" t="s">
        <v>4504</v>
      </c>
      <c r="D130" s="3902" t="s">
        <v>4505</v>
      </c>
      <c r="E130" s="3902">
        <v>1</v>
      </c>
      <c r="F130" s="3902">
        <v>2.7000000000000001E-3</v>
      </c>
    </row>
    <row r="131" spans="1:6" ht="19.5" thickBot="1">
      <c r="A131" s="3900">
        <v>130</v>
      </c>
      <c r="B131" s="3901" t="s">
        <v>4311</v>
      </c>
      <c r="C131" s="3902" t="s">
        <v>4281</v>
      </c>
      <c r="D131" s="3902" t="s">
        <v>4281</v>
      </c>
      <c r="E131" s="3902">
        <v>1</v>
      </c>
      <c r="F131" s="3902">
        <v>0.11899999999999999</v>
      </c>
    </row>
    <row r="132" spans="1:6" ht="19.5" thickBot="1">
      <c r="A132" s="3900">
        <v>131</v>
      </c>
      <c r="B132" s="3901" t="s">
        <v>4506</v>
      </c>
      <c r="C132" s="3902" t="s">
        <v>4281</v>
      </c>
      <c r="D132" s="3902" t="s">
        <v>4281</v>
      </c>
      <c r="E132" s="3902">
        <v>1</v>
      </c>
      <c r="F132" s="3902">
        <v>6.9699999999999998E-2</v>
      </c>
    </row>
    <row r="133" spans="1:6" ht="38.25" thickBot="1">
      <c r="A133" s="3900">
        <v>132</v>
      </c>
      <c r="B133" s="3901" t="s">
        <v>4507</v>
      </c>
      <c r="C133" s="3902" t="s">
        <v>4508</v>
      </c>
      <c r="D133" s="3902" t="s">
        <v>4509</v>
      </c>
      <c r="E133" s="3902">
        <v>1</v>
      </c>
      <c r="F133" s="3902">
        <v>1.5900000000000001E-2</v>
      </c>
    </row>
    <row r="134" spans="1:6" ht="36.75" thickBot="1">
      <c r="A134" s="3900">
        <v>133</v>
      </c>
      <c r="B134" s="3901" t="s">
        <v>4510</v>
      </c>
      <c r="C134" s="3902" t="s">
        <v>4281</v>
      </c>
      <c r="D134" s="3902" t="s">
        <v>4511</v>
      </c>
      <c r="E134" s="3902">
        <v>1</v>
      </c>
      <c r="F134" s="3902">
        <v>3.9800000000000002E-2</v>
      </c>
    </row>
    <row r="135" spans="1:6" ht="38.25" thickBot="1">
      <c r="A135" s="3900">
        <v>134</v>
      </c>
      <c r="B135" s="3901" t="s">
        <v>4512</v>
      </c>
      <c r="C135" s="3902" t="s">
        <v>4281</v>
      </c>
      <c r="D135" s="3902" t="s">
        <v>4513</v>
      </c>
      <c r="E135" s="3902">
        <v>1</v>
      </c>
      <c r="F135" s="3902">
        <v>8.6699999999999999E-2</v>
      </c>
    </row>
    <row r="136" spans="1:6" ht="57" thickBot="1">
      <c r="A136" s="3900">
        <v>135</v>
      </c>
      <c r="B136" s="3901" t="s">
        <v>4512</v>
      </c>
      <c r="C136" s="3902" t="s">
        <v>4514</v>
      </c>
      <c r="D136" s="3902" t="s">
        <v>4515</v>
      </c>
      <c r="E136" s="3902">
        <v>1</v>
      </c>
      <c r="F136" s="3902">
        <v>0.13189999999999999</v>
      </c>
    </row>
    <row r="137" spans="1:6" ht="36.75" thickBot="1">
      <c r="A137" s="3900">
        <v>136</v>
      </c>
      <c r="B137" s="3901" t="s">
        <v>4516</v>
      </c>
      <c r="C137" s="3902" t="s">
        <v>4281</v>
      </c>
      <c r="D137" s="3902" t="s">
        <v>4517</v>
      </c>
      <c r="E137" s="3902">
        <v>5</v>
      </c>
      <c r="F137" s="3902">
        <v>5.9499999999999997E-2</v>
      </c>
    </row>
    <row r="138" spans="1:6" ht="54.75" thickBot="1">
      <c r="A138" s="3900">
        <v>137</v>
      </c>
      <c r="B138" s="3901" t="s">
        <v>4518</v>
      </c>
      <c r="C138" s="3902" t="s">
        <v>4281</v>
      </c>
      <c r="D138" s="3902" t="s">
        <v>4519</v>
      </c>
      <c r="E138" s="3902">
        <v>3</v>
      </c>
      <c r="F138" s="3902">
        <v>2.75E-2</v>
      </c>
    </row>
    <row r="139" spans="1:6" ht="57" thickBot="1">
      <c r="A139" s="3900">
        <v>138</v>
      </c>
      <c r="B139" s="3901" t="s">
        <v>4520</v>
      </c>
      <c r="C139" s="3901" t="s">
        <v>4521</v>
      </c>
      <c r="D139" s="3902" t="s">
        <v>4522</v>
      </c>
      <c r="E139" s="3902">
        <v>1</v>
      </c>
      <c r="F139" s="3902">
        <v>4.6399999999999997E-2</v>
      </c>
    </row>
    <row r="140" spans="1:6" ht="38.25" thickBot="1">
      <c r="A140" s="3900">
        <v>139</v>
      </c>
      <c r="B140" s="3901" t="s">
        <v>4523</v>
      </c>
      <c r="C140" s="3902" t="s">
        <v>4281</v>
      </c>
      <c r="D140" s="3902" t="s">
        <v>4281</v>
      </c>
      <c r="E140" s="3902">
        <v>3</v>
      </c>
      <c r="F140" s="3902">
        <v>0.12239999999999999</v>
      </c>
    </row>
    <row r="141" spans="1:6" ht="38.25" thickBot="1">
      <c r="A141" s="3900">
        <v>140</v>
      </c>
      <c r="B141" s="3901" t="s">
        <v>4524</v>
      </c>
      <c r="C141" s="3901" t="s">
        <v>4525</v>
      </c>
      <c r="D141" s="3902" t="s">
        <v>4281</v>
      </c>
      <c r="E141" s="3902">
        <v>1</v>
      </c>
      <c r="F141" s="3902">
        <v>5.0999999999999997E-2</v>
      </c>
    </row>
    <row r="142" spans="1:6" ht="19.5" thickBot="1">
      <c r="A142" s="3900">
        <v>141</v>
      </c>
      <c r="B142" s="3901" t="s">
        <v>4526</v>
      </c>
      <c r="C142" s="3902" t="s">
        <v>4281</v>
      </c>
      <c r="D142" s="3902" t="s">
        <v>4281</v>
      </c>
      <c r="E142" s="3902">
        <v>2</v>
      </c>
      <c r="F142" s="3902">
        <v>2.58E-2</v>
      </c>
    </row>
    <row r="143" spans="1:6" ht="38.25" thickBot="1">
      <c r="A143" s="3900">
        <v>142</v>
      </c>
      <c r="B143" s="3901" t="s">
        <v>4500</v>
      </c>
      <c r="C143" s="3901" t="s">
        <v>4527</v>
      </c>
      <c r="D143" s="3902" t="s">
        <v>4528</v>
      </c>
      <c r="E143" s="3902">
        <v>1</v>
      </c>
      <c r="F143" s="3902">
        <v>0.10879999999999999</v>
      </c>
    </row>
    <row r="144" spans="1:6" ht="38.25" thickBot="1">
      <c r="A144" s="3900">
        <v>143</v>
      </c>
      <c r="B144" s="3901" t="s">
        <v>4529</v>
      </c>
      <c r="C144" s="3901" t="s">
        <v>4530</v>
      </c>
      <c r="D144" s="3902" t="s">
        <v>4531</v>
      </c>
      <c r="E144" s="3902">
        <v>1</v>
      </c>
      <c r="F144" s="3902">
        <v>0.14960000000000001</v>
      </c>
    </row>
    <row r="145" spans="1:6" ht="19.5" thickBot="1">
      <c r="A145" s="3900">
        <v>144</v>
      </c>
      <c r="B145" s="3901" t="s">
        <v>4311</v>
      </c>
      <c r="C145" s="3902" t="s">
        <v>4281</v>
      </c>
      <c r="D145" s="3902" t="s">
        <v>4281</v>
      </c>
      <c r="E145" s="3902">
        <v>1</v>
      </c>
      <c r="F145" s="3902">
        <v>0.20399999999999999</v>
      </c>
    </row>
    <row r="146" spans="1:6" ht="38.25" thickBot="1">
      <c r="A146" s="3900">
        <v>145</v>
      </c>
      <c r="B146" s="3901" t="s">
        <v>4532</v>
      </c>
      <c r="C146" s="3902" t="s">
        <v>4281</v>
      </c>
      <c r="D146" s="3902" t="s">
        <v>4533</v>
      </c>
      <c r="E146" s="3902">
        <v>1</v>
      </c>
      <c r="F146" s="3902">
        <v>0.34</v>
      </c>
    </row>
    <row r="147" spans="1:6" ht="38.25" thickBot="1">
      <c r="A147" s="3900">
        <v>146</v>
      </c>
      <c r="B147" s="3901" t="s">
        <v>4534</v>
      </c>
      <c r="C147" s="3902" t="s">
        <v>4281</v>
      </c>
      <c r="D147" s="3902" t="s">
        <v>4535</v>
      </c>
      <c r="E147" s="3902">
        <v>1</v>
      </c>
      <c r="F147" s="3902">
        <v>0.26519999999999999</v>
      </c>
    </row>
    <row r="148" spans="1:6" ht="57" thickBot="1">
      <c r="A148" s="3900">
        <v>147</v>
      </c>
      <c r="B148" s="3901" t="s">
        <v>4536</v>
      </c>
      <c r="C148" s="3901" t="s">
        <v>4537</v>
      </c>
      <c r="D148" s="3902" t="s">
        <v>4538</v>
      </c>
      <c r="E148" s="3902">
        <v>1</v>
      </c>
      <c r="F148" s="3902">
        <v>5.1200000000000002E-2</v>
      </c>
    </row>
    <row r="149" spans="1:6" ht="75.75" thickBot="1">
      <c r="A149" s="3900">
        <v>148</v>
      </c>
      <c r="B149" s="3901" t="s">
        <v>4539</v>
      </c>
      <c r="C149" s="3901" t="s">
        <v>4540</v>
      </c>
      <c r="D149" s="3902" t="s">
        <v>4541</v>
      </c>
      <c r="E149" s="3902">
        <v>1</v>
      </c>
      <c r="F149" s="3902">
        <v>3.4000000000000002E-2</v>
      </c>
    </row>
    <row r="150" spans="1:6" ht="19.5" thickBot="1">
      <c r="A150" s="3900">
        <v>149</v>
      </c>
      <c r="B150" s="3901" t="s">
        <v>4542</v>
      </c>
      <c r="C150" s="3902" t="s">
        <v>4281</v>
      </c>
      <c r="D150" s="3902" t="s">
        <v>4281</v>
      </c>
      <c r="E150" s="3902">
        <v>1</v>
      </c>
      <c r="F150" s="3902">
        <v>8.5000000000000006E-2</v>
      </c>
    </row>
    <row r="151" spans="1:6" ht="57" thickBot="1">
      <c r="A151" s="3900">
        <v>150</v>
      </c>
      <c r="B151" s="3901" t="s">
        <v>4543</v>
      </c>
      <c r="C151" s="3902" t="s">
        <v>4544</v>
      </c>
      <c r="D151" s="3902" t="s">
        <v>4545</v>
      </c>
      <c r="E151" s="3902">
        <v>1</v>
      </c>
      <c r="F151" s="3902">
        <v>0.1394</v>
      </c>
    </row>
    <row r="152" spans="1:6" ht="57" thickBot="1">
      <c r="A152" s="3900">
        <v>151</v>
      </c>
      <c r="B152" s="3901" t="s">
        <v>4546</v>
      </c>
      <c r="C152" s="3901" t="s">
        <v>4547</v>
      </c>
      <c r="D152" s="3902" t="s">
        <v>4548</v>
      </c>
      <c r="E152" s="3902">
        <v>1</v>
      </c>
      <c r="F152" s="3902">
        <v>0.11899999999999999</v>
      </c>
    </row>
    <row r="153" spans="1:6" ht="19.5" thickBot="1">
      <c r="A153" s="3900">
        <v>152</v>
      </c>
      <c r="B153" s="3901" t="s">
        <v>4549</v>
      </c>
      <c r="C153" s="3902" t="s">
        <v>4281</v>
      </c>
      <c r="D153" s="3902" t="s">
        <v>4281</v>
      </c>
      <c r="E153" s="3902">
        <v>3</v>
      </c>
      <c r="F153" s="3902">
        <v>3.5499999999999997E-2</v>
      </c>
    </row>
    <row r="154" spans="1:6" ht="75.75" thickBot="1">
      <c r="A154" s="3900">
        <v>153</v>
      </c>
      <c r="B154" s="3901" t="s">
        <v>4550</v>
      </c>
      <c r="C154" s="3901" t="s">
        <v>4551</v>
      </c>
      <c r="D154" s="3902" t="s">
        <v>4552</v>
      </c>
      <c r="E154" s="3902">
        <v>1</v>
      </c>
      <c r="F154" s="3902">
        <v>5.1479999999999997</v>
      </c>
    </row>
    <row r="155" spans="1:6" ht="38.25" thickBot="1">
      <c r="A155" s="3900">
        <v>154</v>
      </c>
      <c r="B155" s="3901" t="s">
        <v>4332</v>
      </c>
      <c r="C155" s="3902" t="s">
        <v>4281</v>
      </c>
      <c r="D155" s="3902" t="s">
        <v>4553</v>
      </c>
      <c r="E155" s="3902">
        <v>1</v>
      </c>
      <c r="F155" s="3902">
        <v>5.4399999999999997E-2</v>
      </c>
    </row>
    <row r="156" spans="1:6" ht="38.25" thickBot="1">
      <c r="A156" s="3900">
        <v>155</v>
      </c>
      <c r="B156" s="3901" t="s">
        <v>4332</v>
      </c>
      <c r="C156" s="3902" t="s">
        <v>4281</v>
      </c>
      <c r="D156" s="3902" t="s">
        <v>4554</v>
      </c>
      <c r="E156" s="3902">
        <v>1</v>
      </c>
      <c r="F156" s="3902">
        <v>6.8000000000000005E-2</v>
      </c>
    </row>
    <row r="157" spans="1:6" ht="38.25" thickBot="1">
      <c r="A157" s="3900">
        <v>156</v>
      </c>
      <c r="B157" s="3901" t="s">
        <v>4555</v>
      </c>
      <c r="C157" s="3902" t="s">
        <v>4281</v>
      </c>
      <c r="D157" s="3902" t="s">
        <v>4281</v>
      </c>
      <c r="E157" s="3902">
        <v>1</v>
      </c>
      <c r="F157" s="3902">
        <v>0.15640000000000001</v>
      </c>
    </row>
    <row r="158" spans="1:6" ht="75.75" thickBot="1">
      <c r="A158" s="3900">
        <v>157</v>
      </c>
      <c r="B158" s="3901" t="s">
        <v>4556</v>
      </c>
      <c r="C158" s="3902" t="s">
        <v>4281</v>
      </c>
      <c r="D158" s="3902" t="s">
        <v>4557</v>
      </c>
      <c r="E158" s="3902">
        <v>1</v>
      </c>
      <c r="F158" s="3902">
        <v>0.12</v>
      </c>
    </row>
    <row r="159" spans="1:6" ht="57" thickBot="1">
      <c r="A159" s="3900">
        <v>158</v>
      </c>
      <c r="B159" s="3901" t="s">
        <v>4558</v>
      </c>
      <c r="C159" s="3901" t="s">
        <v>4559</v>
      </c>
      <c r="D159" s="3902" t="s">
        <v>4281</v>
      </c>
      <c r="E159" s="3902">
        <v>1</v>
      </c>
      <c r="F159" s="3902">
        <v>6.8000000000000005E-2</v>
      </c>
    </row>
    <row r="160" spans="1:6" ht="75.75" thickBot="1">
      <c r="A160" s="3900">
        <v>159</v>
      </c>
      <c r="B160" s="3901" t="s">
        <v>4560</v>
      </c>
      <c r="C160" s="3901" t="s">
        <v>4561</v>
      </c>
      <c r="D160" s="3902" t="s">
        <v>4562</v>
      </c>
      <c r="E160" s="3902">
        <v>1</v>
      </c>
      <c r="F160" s="3902">
        <v>2.8899999999999999E-2</v>
      </c>
    </row>
    <row r="161" spans="1:6" ht="57" thickBot="1">
      <c r="A161" s="3900">
        <v>160</v>
      </c>
      <c r="B161" s="3901" t="s">
        <v>4563</v>
      </c>
      <c r="C161" s="3901" t="s">
        <v>4564</v>
      </c>
      <c r="D161" s="3902" t="s">
        <v>4423</v>
      </c>
      <c r="E161" s="3902">
        <v>1</v>
      </c>
      <c r="F161" s="3902">
        <v>0.2414</v>
      </c>
    </row>
    <row r="162" spans="1:6" ht="57" thickBot="1">
      <c r="A162" s="3900">
        <v>161</v>
      </c>
      <c r="B162" s="3901" t="s">
        <v>4565</v>
      </c>
      <c r="C162" s="3901" t="s">
        <v>4564</v>
      </c>
      <c r="D162" s="3902" t="s">
        <v>4566</v>
      </c>
      <c r="E162" s="3902">
        <v>1</v>
      </c>
      <c r="F162" s="3902">
        <v>3.7400000000000003E-2</v>
      </c>
    </row>
    <row r="163" spans="1:6" ht="57" thickBot="1">
      <c r="A163" s="3900">
        <v>162</v>
      </c>
      <c r="B163" s="3901" t="s">
        <v>4565</v>
      </c>
      <c r="C163" s="3901" t="s">
        <v>4567</v>
      </c>
      <c r="D163" s="3902" t="s">
        <v>4568</v>
      </c>
      <c r="E163" s="3902">
        <v>1</v>
      </c>
      <c r="F163" s="3902">
        <v>4.0099999999999997E-2</v>
      </c>
    </row>
    <row r="164" spans="1:6" ht="38.25" thickBot="1">
      <c r="A164" s="3900">
        <v>163</v>
      </c>
      <c r="B164" s="3901" t="s">
        <v>4569</v>
      </c>
      <c r="C164" s="3901" t="s">
        <v>4570</v>
      </c>
      <c r="D164" s="3902" t="s">
        <v>4571</v>
      </c>
      <c r="E164" s="3902">
        <v>1</v>
      </c>
      <c r="F164" s="3902">
        <v>0.14000000000000001</v>
      </c>
    </row>
    <row r="165" spans="1:6" ht="57" thickBot="1">
      <c r="A165" s="3900">
        <v>164</v>
      </c>
      <c r="B165" s="3901" t="s">
        <v>4572</v>
      </c>
      <c r="C165" s="3901" t="s">
        <v>4573</v>
      </c>
      <c r="D165" s="3902" t="s">
        <v>4574</v>
      </c>
      <c r="E165" s="3902">
        <v>1</v>
      </c>
      <c r="F165" s="3902">
        <v>8.4000000000000005E-2</v>
      </c>
    </row>
    <row r="166" spans="1:6" ht="72.75" thickBot="1">
      <c r="A166" s="3900">
        <v>165</v>
      </c>
      <c r="B166" s="3901" t="s">
        <v>4575</v>
      </c>
      <c r="C166" s="3901" t="s">
        <v>4576</v>
      </c>
      <c r="D166" s="3902" t="s">
        <v>4577</v>
      </c>
      <c r="E166" s="3902">
        <v>1</v>
      </c>
      <c r="F166" s="3902">
        <v>0.1212</v>
      </c>
    </row>
    <row r="167" spans="1:6" ht="38.25" thickBot="1">
      <c r="A167" s="3900">
        <v>166</v>
      </c>
      <c r="B167" s="3901" t="s">
        <v>4565</v>
      </c>
      <c r="C167" s="3901" t="s">
        <v>4578</v>
      </c>
      <c r="D167" s="3902" t="s">
        <v>4579</v>
      </c>
      <c r="E167" s="3902">
        <v>1</v>
      </c>
      <c r="F167" s="3902">
        <v>2.92E-2</v>
      </c>
    </row>
    <row r="168" spans="1:6" ht="57" thickBot="1">
      <c r="A168" s="3900">
        <v>167</v>
      </c>
      <c r="B168" s="3901" t="s">
        <v>4565</v>
      </c>
      <c r="C168" s="3901" t="s">
        <v>4564</v>
      </c>
      <c r="D168" s="3902" t="s">
        <v>4580</v>
      </c>
      <c r="E168" s="3902">
        <v>1</v>
      </c>
      <c r="F168" s="3902">
        <v>1.5599999999999999E-2</v>
      </c>
    </row>
    <row r="169" spans="1:6" ht="38.25" thickBot="1">
      <c r="A169" s="3900">
        <v>168</v>
      </c>
      <c r="B169" s="3901" t="s">
        <v>4565</v>
      </c>
      <c r="C169" s="3901" t="s">
        <v>4578</v>
      </c>
      <c r="D169" s="3902" t="s">
        <v>4581</v>
      </c>
      <c r="E169" s="3902">
        <v>1</v>
      </c>
      <c r="F169" s="3902">
        <v>0.1258</v>
      </c>
    </row>
    <row r="170" spans="1:6" ht="57" thickBot="1">
      <c r="A170" s="3900">
        <v>169</v>
      </c>
      <c r="B170" s="3901" t="s">
        <v>4565</v>
      </c>
      <c r="C170" s="3901" t="s">
        <v>4564</v>
      </c>
      <c r="D170" s="3904" t="s">
        <v>4582</v>
      </c>
      <c r="E170" s="3902">
        <v>1</v>
      </c>
      <c r="F170" s="3902">
        <v>1.77E-2</v>
      </c>
    </row>
    <row r="171" spans="1:6" ht="57" thickBot="1">
      <c r="A171" s="3900">
        <v>170</v>
      </c>
      <c r="B171" s="3901" t="s">
        <v>4565</v>
      </c>
      <c r="C171" s="3901" t="s">
        <v>4564</v>
      </c>
      <c r="D171" s="3902" t="s">
        <v>4583</v>
      </c>
      <c r="E171" s="3902">
        <v>1</v>
      </c>
      <c r="F171" s="3902">
        <v>3.7400000000000003E-2</v>
      </c>
    </row>
    <row r="172" spans="1:6" ht="75.75" thickBot="1">
      <c r="A172" s="3900">
        <v>171</v>
      </c>
      <c r="B172" s="3901" t="s">
        <v>4584</v>
      </c>
      <c r="C172" s="3901" t="s">
        <v>4585</v>
      </c>
      <c r="D172" s="3902" t="s">
        <v>4586</v>
      </c>
      <c r="E172" s="3902">
        <v>1</v>
      </c>
      <c r="F172" s="3902">
        <v>5.7799999999999997E-2</v>
      </c>
    </row>
    <row r="173" spans="1:6" ht="75.75" thickBot="1">
      <c r="A173" s="3900">
        <v>172</v>
      </c>
      <c r="B173" s="3901" t="s">
        <v>4587</v>
      </c>
      <c r="C173" s="3901" t="s">
        <v>4588</v>
      </c>
      <c r="D173" s="3902" t="s">
        <v>4589</v>
      </c>
      <c r="E173" s="3902">
        <v>1</v>
      </c>
      <c r="F173" s="3902">
        <v>0.28899999999999998</v>
      </c>
    </row>
    <row r="174" spans="1:6" ht="57" thickBot="1">
      <c r="A174" s="3900">
        <v>173</v>
      </c>
      <c r="B174" s="3901" t="s">
        <v>4590</v>
      </c>
      <c r="C174" s="3901" t="s">
        <v>4591</v>
      </c>
      <c r="D174" s="3902" t="s">
        <v>4592</v>
      </c>
      <c r="E174" s="3902">
        <v>1</v>
      </c>
      <c r="F174" s="3902">
        <v>6.4600000000000005E-2</v>
      </c>
    </row>
    <row r="175" spans="1:6" ht="19.5" thickBot="1">
      <c r="A175" s="3905" t="s">
        <v>24</v>
      </c>
      <c r="B175" s="3902" t="s">
        <v>4281</v>
      </c>
      <c r="C175" s="3902" t="s">
        <v>4281</v>
      </c>
      <c r="D175" s="3902" t="s">
        <v>4281</v>
      </c>
      <c r="E175" s="3902" t="s">
        <v>4281</v>
      </c>
      <c r="F175" s="3902">
        <v>602.03110000000004</v>
      </c>
    </row>
  </sheetData>
  <phoneticPr fontId="228" type="noConversion"/>
  <hyperlinks>
    <hyperlink ref="D170" r:id="rId1" display="mailto:G@G"/>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18" t="s">
        <v>2054</v>
      </c>
      <c r="B1" s="3918"/>
      <c r="C1" s="3918"/>
      <c r="D1" s="3918"/>
    </row>
    <row r="2" spans="1:4" ht="47.25" customHeight="1">
      <c r="A2" s="3922" t="str">
        <f>"1.权利限制："&amp;项目基本情况!L24&amp;"未设定租赁等其他他项权利。"</f>
        <v>1.权利限制：根据估价对象《不动产权证书》原件、《国有土地使用权》复印件，截至估价期日，估价对象抵押权未见登记。未设定租赁等其他他项权利。</v>
      </c>
      <c r="B2" s="3922"/>
      <c r="C2" s="3922"/>
      <c r="D2" s="3922"/>
    </row>
    <row r="3" spans="1:4" ht="48" customHeight="1">
      <c r="A3" s="39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18"/>
      <c r="C3" s="3918"/>
      <c r="D3" s="3918"/>
    </row>
    <row r="4" spans="1:4" ht="36.75" customHeight="1">
      <c r="A4" s="3918" t="str">
        <f>"3.估价规划限制条件：详见"&amp;项目基本情况!E21&amp;"。"</f>
        <v>3.估价规划限制条件：详见《建设工程规划许可证》[]、《出让合同》[]。</v>
      </c>
      <c r="B4" s="3918"/>
      <c r="C4" s="3918"/>
      <c r="D4" s="3918"/>
    </row>
    <row r="5" spans="1:4">
      <c r="A5" s="3921" t="s">
        <v>2055</v>
      </c>
      <c r="B5" s="3921"/>
      <c r="C5" s="3921"/>
      <c r="D5" s="3921"/>
    </row>
    <row r="6" spans="1:4">
      <c r="A6" s="3918" t="s">
        <v>2033</v>
      </c>
      <c r="B6" s="3918"/>
      <c r="C6" s="3918"/>
      <c r="D6" s="3918"/>
    </row>
    <row r="7" spans="1:4" ht="33" customHeight="1">
      <c r="A7" s="3918" t="s">
        <v>2556</v>
      </c>
      <c r="B7" s="3918"/>
      <c r="C7" s="3918"/>
      <c r="D7" s="3918"/>
    </row>
    <row r="8" spans="1:4" ht="32.25" customHeight="1">
      <c r="A8" s="39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18"/>
      <c r="C8" s="3918"/>
      <c r="D8" s="3918"/>
    </row>
    <row r="9" spans="1:4" ht="33.75" customHeight="1">
      <c r="A9" s="3918" t="str">
        <f>IF(项目基本情况!B8="抵押","3.抵押双方在办理抵押登记手续时，应使用本公司出具的正式《土地估价报告》，特提请报告使用者注意。","——")</f>
        <v>——</v>
      </c>
      <c r="B9" s="3918"/>
      <c r="C9" s="3918"/>
      <c r="D9" s="3918"/>
    </row>
    <row r="10" spans="1:4">
      <c r="A10" s="3918" t="str">
        <f>IF(项目基本情况!B8="抵押","4.估价师所知悉的法定优先受偿款情况为：","——")</f>
        <v>——</v>
      </c>
      <c r="B10" s="3918"/>
      <c r="C10" s="3918"/>
      <c r="D10" s="3918"/>
    </row>
    <row r="11" spans="1:4" ht="37.5" customHeight="1">
      <c r="A11" s="3920" t="str">
        <f>IF(项目基本情况!B8="抵押","（1）"&amp;CONCATENATE(项目基本情况!L24,项目基本情况!L25,项目基本情况!L26),"——")</f>
        <v>——</v>
      </c>
      <c r="B11" s="3920"/>
      <c r="C11" s="3920"/>
      <c r="D11" s="3920"/>
    </row>
    <row r="12" spans="1:4" ht="168" customHeight="1">
      <c r="A12" s="3921" t="s">
        <v>2057</v>
      </c>
      <c r="B12" s="3921"/>
      <c r="C12" s="3921"/>
      <c r="D12" s="3921"/>
    </row>
    <row r="13" spans="1:4">
      <c r="A13" s="3919" t="s">
        <v>2727</v>
      </c>
      <c r="B13" s="3919"/>
      <c r="C13" s="3919"/>
      <c r="D13" s="3919"/>
    </row>
    <row r="14" spans="1:4">
      <c r="A14" s="3920" t="str">
        <f>IF(项目基本情况!B8="抵押","综上，"&amp;结果表!K47,"——")</f>
        <v>——</v>
      </c>
      <c r="B14" s="3920"/>
      <c r="C14" s="3920"/>
      <c r="D14" s="3920"/>
    </row>
    <row r="15" spans="1:4" ht="58.5" customHeight="1">
      <c r="A15" s="39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8"/>
      <c r="C15" s="3918"/>
      <c r="D15" s="3918"/>
    </row>
    <row r="16" spans="1:4" ht="70.5" customHeight="1">
      <c r="A16" s="39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8"/>
      <c r="C16" s="3918"/>
      <c r="D16" s="3918"/>
    </row>
    <row r="17" spans="1:4">
      <c r="A17" s="3918" t="s">
        <v>2683</v>
      </c>
      <c r="B17" s="3918"/>
      <c r="C17" s="3918"/>
      <c r="D17" s="3918"/>
    </row>
    <row r="18" spans="1:4">
      <c r="A18" s="3918" t="s">
        <v>2675</v>
      </c>
      <c r="B18" s="3918"/>
      <c r="C18" s="3918"/>
      <c r="D18" s="3918"/>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18" t="s">
        <v>2680</v>
      </c>
      <c r="B23" s="3918"/>
      <c r="C23" s="3918"/>
      <c r="D23" s="3918"/>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30" t="s">
        <v>53</v>
      </c>
      <c r="B15" s="3931" t="s">
        <v>838</v>
      </c>
      <c r="C15" s="3927"/>
    </row>
    <row r="16" spans="1:7" ht="14.25">
      <c r="A16" s="3930"/>
      <c r="B16" s="3928" t="s">
        <v>54</v>
      </c>
      <c r="C16" s="1155" t="s">
        <v>53</v>
      </c>
    </row>
    <row r="17" spans="1:3" ht="14.25">
      <c r="A17" s="3930"/>
      <c r="B17" s="3928"/>
      <c r="C17" s="1155" t="s">
        <v>55</v>
      </c>
    </row>
    <row r="18" spans="1:3" ht="14.25">
      <c r="A18" s="3930"/>
      <c r="B18" s="3928"/>
      <c r="C18" s="1155" t="s">
        <v>56</v>
      </c>
    </row>
    <row r="19" spans="1:3" ht="14.25">
      <c r="A19" s="3930"/>
      <c r="B19" s="3926" t="s">
        <v>57</v>
      </c>
      <c r="C19" s="3927"/>
    </row>
    <row r="20" spans="1:3" ht="14.25">
      <c r="A20" s="1156" t="s">
        <v>58</v>
      </c>
      <c r="B20" s="1157"/>
      <c r="C20" s="1158"/>
    </row>
    <row r="21" spans="1:3" ht="14.25">
      <c r="A21" s="3929" t="s">
        <v>59</v>
      </c>
      <c r="B21" s="3926" t="s">
        <v>60</v>
      </c>
      <c r="C21" s="3927"/>
    </row>
    <row r="22" spans="1:3" ht="14.25">
      <c r="A22" s="3929"/>
      <c r="B22" s="3926" t="s">
        <v>61</v>
      </c>
      <c r="C22" s="3927"/>
    </row>
    <row r="23" spans="1:3" ht="14.25">
      <c r="A23" s="3929"/>
      <c r="B23" s="3926" t="s">
        <v>62</v>
      </c>
      <c r="C23" s="3927"/>
    </row>
    <row r="24" spans="1:3" ht="14.25">
      <c r="A24" s="3929"/>
      <c r="B24" s="3932" t="s">
        <v>63</v>
      </c>
      <c r="C24" s="1159" t="s">
        <v>829</v>
      </c>
    </row>
    <row r="25" spans="1:3" ht="14.25">
      <c r="A25" s="3929"/>
      <c r="B25" s="3933"/>
      <c r="C25" s="1159" t="s">
        <v>830</v>
      </c>
    </row>
    <row r="26" spans="1:3" ht="14.25">
      <c r="A26" s="3929"/>
      <c r="B26" s="3933"/>
      <c r="C26" s="1159" t="s">
        <v>831</v>
      </c>
    </row>
    <row r="27" spans="1:3" ht="14.25">
      <c r="A27" s="3929"/>
      <c r="B27" s="3933"/>
      <c r="C27" s="1159" t="s">
        <v>832</v>
      </c>
    </row>
    <row r="28" spans="1:3" ht="14.25">
      <c r="A28" s="3929"/>
      <c r="B28" s="3933"/>
      <c r="C28" s="1159" t="s">
        <v>833</v>
      </c>
    </row>
    <row r="29" spans="1:3" ht="14.25">
      <c r="A29" s="3929"/>
      <c r="B29" s="3933"/>
      <c r="C29" s="1159" t="s">
        <v>834</v>
      </c>
    </row>
    <row r="30" spans="1:3" ht="14.25">
      <c r="A30" s="3929"/>
      <c r="B30" s="3933"/>
      <c r="C30" s="1159" t="s">
        <v>835</v>
      </c>
    </row>
    <row r="31" spans="1:3" ht="14.25">
      <c r="A31" s="3929"/>
      <c r="B31" s="3933"/>
      <c r="C31" s="1159" t="s">
        <v>836</v>
      </c>
    </row>
    <row r="32" spans="1:3" ht="14.25">
      <c r="A32" s="3929"/>
      <c r="B32" s="3933"/>
      <c r="C32" s="1159" t="s">
        <v>1637</v>
      </c>
    </row>
    <row r="33" spans="1:3" ht="14.25">
      <c r="A33" s="3929"/>
      <c r="B33" s="3923" t="s">
        <v>1643</v>
      </c>
      <c r="C33" s="1159" t="s">
        <v>1638</v>
      </c>
    </row>
    <row r="34" spans="1:3" ht="14.25">
      <c r="A34" s="3929"/>
      <c r="B34" s="3924"/>
      <c r="C34" s="1164" t="s">
        <v>1639</v>
      </c>
    </row>
    <row r="35" spans="1:3" ht="14.25">
      <c r="A35" s="3929"/>
      <c r="B35" s="3924"/>
      <c r="C35" s="1165" t="s">
        <v>1640</v>
      </c>
    </row>
    <row r="36" spans="1:3" ht="14.25">
      <c r="A36" s="3929"/>
      <c r="B36" s="3924"/>
      <c r="C36" s="1165" t="s">
        <v>1641</v>
      </c>
    </row>
    <row r="37" spans="1:3" ht="14.25">
      <c r="A37" s="3929"/>
      <c r="B37" s="3925"/>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44417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37" t="s">
        <v>1915</v>
      </c>
      <c r="B17" s="3938"/>
      <c r="C17" s="3938"/>
      <c r="D17" s="3938"/>
      <c r="E17" s="3938"/>
      <c r="F17" s="3938"/>
      <c r="G17" s="3034"/>
    </row>
    <row r="18" spans="1:7" ht="20.25" customHeight="1">
      <c r="A18" s="3934" t="s">
        <v>1916</v>
      </c>
      <c r="B18" s="3934"/>
      <c r="C18" s="3935"/>
      <c r="D18" s="3936" t="s">
        <v>1917</v>
      </c>
      <c r="E18" s="3934"/>
      <c r="F18" s="3934"/>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39"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39"/>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39"/>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39"/>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39"/>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168</vt:i4>
      </vt:variant>
    </vt:vector>
  </HeadingPairs>
  <TitlesOfParts>
    <vt:vector size="22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Sheet1</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2021-05-26T06:26:38Z</cp:lastPrinted>
  <dcterms:created xsi:type="dcterms:W3CDTF">2015-07-13T07:17:23Z</dcterms:created>
  <dcterms:modified xsi:type="dcterms:W3CDTF">2021-08-09T06:19:33Z</dcterms:modified>
</cp:coreProperties>
</file>