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2北京市平谷区兴谷街道寨笆路7号院、8号院的仓储共计263\"/>
    </mc:Choice>
  </mc:AlternateContent>
  <bookViews>
    <workbookView xWindow="0" yWindow="0" windowWidth="23892" windowHeight="13332"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住宅、综合" sheetId="39" state="hidden" r:id="rId33"/>
    <sheet name="土地比较法-工业" sheetId="40" state="hidden" r:id="rId34"/>
    <sheet name="案例" sheetId="81"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估价对象汇总"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2" hidden="1">估价对象汇总!$A$2:$H$265</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C30" i="36"/>
  <c r="I27" i="36"/>
  <c r="G27" i="36"/>
  <c r="E27" i="36"/>
  <c r="F47" i="36"/>
  <c r="J47" i="36"/>
  <c r="I47" i="36"/>
  <c r="G47" i="36"/>
  <c r="I13" i="3"/>
  <c r="D41" i="43" s="1"/>
  <c r="B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S48" i="79"/>
  <c r="AG48" i="79" s="1"/>
  <c r="U50" i="79"/>
  <c r="AI50" i="79" s="1"/>
  <c r="AD51" i="79"/>
  <c r="AR20" i="79"/>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8" i="71"/>
  <c r="D38" i="71" s="1"/>
  <c r="X38" i="71"/>
  <c r="B28" i="71"/>
  <c r="B27" i="71" s="1"/>
  <c r="B26" i="71"/>
  <c r="D30" i="71"/>
  <c r="C43" i="71"/>
  <c r="P28" i="71"/>
  <c r="E28" i="71" s="1"/>
  <c r="U56" i="71"/>
  <c r="E64" i="71"/>
  <c r="U64"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R432" i="31"/>
  <c r="S432" i="31" s="1"/>
  <c r="R433" i="31"/>
  <c r="S433" i="31" s="1"/>
  <c r="R434" i="31"/>
  <c r="R435" i="3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R472" i="31"/>
  <c r="S472" i="31" s="1"/>
  <c r="R473" i="31"/>
  <c r="S473" i="31" s="1"/>
  <c r="R474" i="31"/>
  <c r="R475" i="3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426" i="31"/>
  <c r="S494" i="31"/>
  <c r="S491" i="31"/>
  <c r="S490" i="31"/>
  <c r="S487" i="31"/>
  <c r="S486" i="31"/>
  <c r="S482" i="31"/>
  <c r="S478" i="31"/>
  <c r="S475" i="31"/>
  <c r="S474" i="31"/>
  <c r="S471" i="31"/>
  <c r="S470" i="31"/>
  <c r="S442" i="31"/>
  <c r="S438" i="31"/>
  <c r="S435" i="31"/>
  <c r="S434" i="31"/>
  <c r="S431" i="31"/>
  <c r="S430" i="31"/>
  <c r="S506" i="31"/>
  <c r="S502" i="31"/>
  <c r="S498" i="31"/>
  <c r="S466" i="31"/>
  <c r="S462" i="31"/>
  <c r="S458" i="31"/>
  <c r="S454" i="31"/>
  <c r="S450" i="31"/>
  <c r="S446" i="31"/>
  <c r="S510" i="31"/>
  <c r="S511"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G5" i="3" s="1"/>
  <c r="BH566" i="3"/>
  <c r="BI566" i="3"/>
  <c r="BJ566" i="3"/>
  <c r="BK566" i="3"/>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H5" i="3" s="1"/>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R5" i="3" s="1"/>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E5" i="3" s="1"/>
  <c r="BF572" i="3"/>
  <c r="BG572" i="3"/>
  <c r="BH572" i="3"/>
  <c r="BI572" i="3"/>
  <c r="BI5" i="3" s="1"/>
  <c r="BJ572" i="3"/>
  <c r="BK572" i="3"/>
  <c r="BM572" i="3"/>
  <c r="BN572" i="3"/>
  <c r="BN5"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S5" i="3" s="1"/>
  <c r="BT573" i="3"/>
  <c r="H574" i="3"/>
  <c r="G574" i="3" s="1"/>
  <c r="AC574" i="3"/>
  <c r="BB574" i="3"/>
  <c r="BA574" i="3" s="1"/>
  <c r="BC574" i="3"/>
  <c r="BD574" i="3"/>
  <c r="BE574" i="3"/>
  <c r="BF574" i="3"/>
  <c r="BF5" i="3" s="1"/>
  <c r="BG574" i="3"/>
  <c r="BH574" i="3"/>
  <c r="BI574" i="3"/>
  <c r="BJ574" i="3"/>
  <c r="BK574" i="3"/>
  <c r="BM574" i="3"/>
  <c r="BN574" i="3"/>
  <c r="BO574" i="3"/>
  <c r="BO5"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F11" i="35" s="1"/>
  <c r="S11" i="35" s="1"/>
  <c r="B61" i="35"/>
  <c r="B59" i="35"/>
  <c r="F12" i="35" s="1"/>
  <c r="B131" i="34"/>
  <c r="B129" i="34"/>
  <c r="F46" i="34" s="1"/>
  <c r="AA46" i="34" s="1"/>
  <c r="B127" i="34"/>
  <c r="B99" i="34"/>
  <c r="B97" i="34"/>
  <c r="B95" i="34"/>
  <c r="F30" i="34" s="1"/>
  <c r="S30" i="34" s="1"/>
  <c r="B93" i="34"/>
  <c r="B75" i="34"/>
  <c r="B73" i="34"/>
  <c r="B71" i="34"/>
  <c r="B130" i="33"/>
  <c r="B128" i="33"/>
  <c r="B126" i="33"/>
  <c r="B98" i="33"/>
  <c r="H31" i="33" s="1"/>
  <c r="B96" i="33"/>
  <c r="B94" i="33"/>
  <c r="B74" i="33"/>
  <c r="B72" i="33"/>
  <c r="F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J46" i="21" s="1"/>
  <c r="B128" i="21"/>
  <c r="J45" i="21" s="1"/>
  <c r="W45" i="21" s="1"/>
  <c r="B126" i="21"/>
  <c r="B98" i="21"/>
  <c r="H31" i="21" s="1"/>
  <c r="B96" i="21"/>
  <c r="B94" i="21"/>
  <c r="J29" i="21"/>
  <c r="AC29" i="21" s="1"/>
  <c r="B92" i="21"/>
  <c r="B90" i="21"/>
  <c r="J27" i="21" s="1"/>
  <c r="W27" i="21" s="1"/>
  <c r="B74" i="21"/>
  <c r="B72" i="21"/>
  <c r="H13" i="21"/>
  <c r="AB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9" i="33"/>
  <c r="H39" i="37"/>
  <c r="AB39" i="37"/>
  <c r="S27" i="35"/>
  <c r="F11" i="40"/>
  <c r="AA11" i="40"/>
  <c r="H11" i="40"/>
  <c r="AB11" i="40"/>
  <c r="W8" i="40"/>
  <c r="U9" i="40"/>
  <c r="U38" i="40"/>
  <c r="F42" i="39"/>
  <c r="AA42" i="39" s="1"/>
  <c r="F41" i="39"/>
  <c r="H40" i="39"/>
  <c r="AB40" i="39" s="1"/>
  <c r="H39" i="39"/>
  <c r="U39" i="39" s="1"/>
  <c r="S34" i="39"/>
  <c r="H34" i="39"/>
  <c r="U34" i="39" s="1"/>
  <c r="F31" i="39"/>
  <c r="AA31" i="39" s="1"/>
  <c r="E100" i="39"/>
  <c r="H19" i="39"/>
  <c r="F19" i="39"/>
  <c r="AA19" i="39" s="1"/>
  <c r="H17" i="39"/>
  <c r="AB17" i="39" s="1"/>
  <c r="F17" i="39"/>
  <c r="AA17" i="39" s="1"/>
  <c r="J23" i="40"/>
  <c r="F21" i="40"/>
  <c r="AA21" i="40"/>
  <c r="J21" i="40"/>
  <c r="W21" i="40" s="1"/>
  <c r="H42" i="39"/>
  <c r="J34" i="39"/>
  <c r="AC34" i="39" s="1"/>
  <c r="F100" i="39"/>
  <c r="H27" i="39"/>
  <c r="J19" i="39"/>
  <c r="AC19" i="39" s="1"/>
  <c r="J17" i="39"/>
  <c r="J27" i="39"/>
  <c r="AC27" i="39"/>
  <c r="F27" i="39"/>
  <c r="F11" i="21"/>
  <c r="S11" i="21" s="1"/>
  <c r="S40" i="21"/>
  <c r="U34" i="21"/>
  <c r="C25" i="39"/>
  <c r="H11" i="39"/>
  <c r="S40" i="39"/>
  <c r="C15" i="39"/>
  <c r="H32" i="33"/>
  <c r="AB32" i="33" s="1"/>
  <c r="H11" i="21"/>
  <c r="U11" i="21" s="1"/>
  <c r="J11" i="21"/>
  <c r="W11" i="21" s="1"/>
  <c r="H37" i="40"/>
  <c r="H36" i="40"/>
  <c r="AB36" i="40" s="1"/>
  <c r="F35" i="40"/>
  <c r="AA35" i="40" s="1"/>
  <c r="H23" i="40"/>
  <c r="AB23" i="40" s="1"/>
  <c r="H17" i="40"/>
  <c r="U17" i="40"/>
  <c r="J15" i="40"/>
  <c r="W15" i="40" s="1"/>
  <c r="J11" i="40"/>
  <c r="W11" i="40"/>
  <c r="AB12" i="35"/>
  <c r="AB12" i="36"/>
  <c r="W32" i="40"/>
  <c r="S44" i="39"/>
  <c r="J34" i="36"/>
  <c r="W34" i="36" s="1"/>
  <c r="U30" i="36"/>
  <c r="J30" i="35"/>
  <c r="W30" i="35" s="1"/>
  <c r="H30" i="35"/>
  <c r="AB30" i="35" s="1"/>
  <c r="F22" i="35"/>
  <c r="H10" i="35"/>
  <c r="U10" i="35" s="1"/>
  <c r="AA33" i="36"/>
  <c r="H16" i="36"/>
  <c r="AB16" i="36" s="1"/>
  <c r="E85" i="36"/>
  <c r="F85" i="36" s="1"/>
  <c r="G85" i="36" s="1"/>
  <c r="H85" i="36" s="1"/>
  <c r="I85" i="36" s="1"/>
  <c r="J85" i="36"/>
  <c r="K85" i="36" s="1"/>
  <c r="L85" i="36" s="1"/>
  <c r="M85" i="36" s="1"/>
  <c r="J29" i="36"/>
  <c r="AC29" i="36" s="1"/>
  <c r="F12" i="36"/>
  <c r="AA12" i="36" s="1"/>
  <c r="F24" i="36"/>
  <c r="AA24" i="36"/>
  <c r="F34" i="36"/>
  <c r="S34" i="36" s="1"/>
  <c r="F14" i="35"/>
  <c r="AA14" i="35" s="1"/>
  <c r="F23" i="35"/>
  <c r="J32" i="35"/>
  <c r="AC32" i="35" s="1"/>
  <c r="J16" i="35"/>
  <c r="AC16" i="35" s="1"/>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J28" i="34"/>
  <c r="W28" i="34" s="1"/>
  <c r="F41" i="33"/>
  <c r="S38" i="33"/>
  <c r="E113" i="33"/>
  <c r="F32" i="33"/>
  <c r="AA32" i="33" s="1"/>
  <c r="J19" i="33"/>
  <c r="J15" i="33"/>
  <c r="AC15" i="33" s="1"/>
  <c r="F11" i="33"/>
  <c r="AA11" i="33" s="1"/>
  <c r="S26" i="33"/>
  <c r="U40" i="33"/>
  <c r="F37" i="40"/>
  <c r="AA37" i="40" s="1"/>
  <c r="F36" i="40"/>
  <c r="H28" i="40"/>
  <c r="U28" i="40"/>
  <c r="F23" i="40"/>
  <c r="AA23" i="40"/>
  <c r="F17" i="40"/>
  <c r="AA17" i="40" s="1"/>
  <c r="J17" i="40"/>
  <c r="W17" i="40" s="1"/>
  <c r="F15" i="40"/>
  <c r="S15" i="40" s="1"/>
  <c r="H15" i="40"/>
  <c r="AB15" i="40"/>
  <c r="AC11" i="40"/>
  <c r="S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S23" i="34" s="1"/>
  <c r="J19" i="34"/>
  <c r="AC19" i="34" s="1"/>
  <c r="F17" i="34"/>
  <c r="AA17" i="34"/>
  <c r="J17" i="34"/>
  <c r="W17" i="34" s="1"/>
  <c r="AB17" i="34"/>
  <c r="F113" i="33"/>
  <c r="G113" i="33" s="1"/>
  <c r="H113" i="33" s="1"/>
  <c r="I113" i="33" s="1"/>
  <c r="J113" i="33" s="1"/>
  <c r="K113" i="33" s="1"/>
  <c r="L113" i="33" s="1"/>
  <c r="M113" i="33" s="1"/>
  <c r="H37" i="33"/>
  <c r="AB37" i="33" s="1"/>
  <c r="H15" i="33"/>
  <c r="H11" i="33"/>
  <c r="AB11" i="33" s="1"/>
  <c r="F28" i="40"/>
  <c r="AA28" i="40" s="1"/>
  <c r="AA29" i="35"/>
  <c r="AC38" i="34"/>
  <c r="AA38" i="34"/>
  <c r="J37" i="34"/>
  <c r="AC37" i="34" s="1"/>
  <c r="J11" i="33"/>
  <c r="W11" i="33" s="1"/>
  <c r="S28" i="34"/>
  <c r="I123" i="21"/>
  <c r="J123" i="21" s="1"/>
  <c r="K123" i="21" s="1"/>
  <c r="L123" i="21" s="1"/>
  <c r="M123" i="21" s="1"/>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4" i="21"/>
  <c r="U44" i="21"/>
  <c r="F44" i="21"/>
  <c r="AA44" i="21" s="1"/>
  <c r="H46" i="21"/>
  <c r="U46" i="21" s="1"/>
  <c r="E119" i="21"/>
  <c r="F119" i="21" s="1"/>
  <c r="G119" i="21" s="1"/>
  <c r="H119" i="21" s="1"/>
  <c r="I119" i="21" s="1"/>
  <c r="J119" i="21" s="1"/>
  <c r="K119" i="21" s="1"/>
  <c r="L119" i="21" s="1"/>
  <c r="M119" i="21" s="1"/>
  <c r="H26" i="33"/>
  <c r="U26" i="33" s="1"/>
  <c r="H28" i="33"/>
  <c r="U28" i="33" s="1"/>
  <c r="F28" i="33"/>
  <c r="S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F28" i="36"/>
  <c r="AA28" i="36" s="1"/>
  <c r="J13" i="21"/>
  <c r="AC13" i="21" s="1"/>
  <c r="H27" i="21"/>
  <c r="AB27" i="21" s="1"/>
  <c r="H29" i="21"/>
  <c r="U29" i="21"/>
  <c r="F31" i="21"/>
  <c r="S31" i="21" s="1"/>
  <c r="F45" i="21"/>
  <c r="AA45" i="21" s="1"/>
  <c r="F27" i="33"/>
  <c r="AA27" i="33"/>
  <c r="H13" i="33"/>
  <c r="U13" i="33" s="1"/>
  <c r="J29" i="33"/>
  <c r="H29" i="33"/>
  <c r="U29" i="33" s="1"/>
  <c r="F29" i="33"/>
  <c r="S29" i="33" s="1"/>
  <c r="H45" i="33"/>
  <c r="U45" i="33"/>
  <c r="J45" i="33"/>
  <c r="W45" i="33" s="1"/>
  <c r="F45" i="33"/>
  <c r="AA45" i="33" s="1"/>
  <c r="J14" i="34"/>
  <c r="W14" i="34" s="1"/>
  <c r="F14" i="34"/>
  <c r="S14" i="34"/>
  <c r="H14" i="34"/>
  <c r="H30" i="34"/>
  <c r="U30" i="34" s="1"/>
  <c r="H32" i="34"/>
  <c r="F32" i="34"/>
  <c r="J32" i="34"/>
  <c r="W32" i="34" s="1"/>
  <c r="J11" i="35"/>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F40" i="37"/>
  <c r="AA40" i="37" s="1"/>
  <c r="AC12" i="40"/>
  <c r="W12" i="40"/>
  <c r="H14" i="33"/>
  <c r="U14" i="33" s="1"/>
  <c r="F14" i="33"/>
  <c r="S14" i="33" s="1"/>
  <c r="J14" i="33"/>
  <c r="AC14" i="33" s="1"/>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H13" i="39"/>
  <c r="J14" i="40"/>
  <c r="W14" i="40" s="1"/>
  <c r="J27" i="37"/>
  <c r="AA44" i="33"/>
  <c r="J36" i="37"/>
  <c r="AC36" i="37"/>
  <c r="J10" i="36"/>
  <c r="AC10" i="36" s="1"/>
  <c r="AB26" i="33"/>
  <c r="S11" i="36"/>
  <c r="AA14" i="34"/>
  <c r="AB45" i="33"/>
  <c r="S44" i="34"/>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4" i="3"/>
  <c r="BL560" i="3"/>
  <c r="BL554" i="3"/>
  <c r="AZ554" i="3" s="1"/>
  <c r="BL546" i="3"/>
  <c r="BL542" i="3"/>
  <c r="BL538" i="3"/>
  <c r="BL534" i="3"/>
  <c r="AZ534" i="3" s="1"/>
  <c r="BL530" i="3"/>
  <c r="BL526" i="3"/>
  <c r="BL522" i="3"/>
  <c r="BL516" i="3"/>
  <c r="BL512" i="3"/>
  <c r="BL506" i="3"/>
  <c r="BL502" i="3"/>
  <c r="BL498" i="3"/>
  <c r="AZ498" i="3" s="1"/>
  <c r="BL494" i="3"/>
  <c r="BL574"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0" i="3"/>
  <c r="AZ580" i="3" s="1"/>
  <c r="BA572" i="3"/>
  <c r="AZ572"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81" i="3"/>
  <c r="BA573"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9" i="3"/>
  <c r="G577" i="3"/>
  <c r="G575" i="3"/>
  <c r="G571" i="3"/>
  <c r="G567" i="3"/>
  <c r="G565" i="3"/>
  <c r="G563" i="3"/>
  <c r="G561" i="3"/>
  <c r="BL558" i="3"/>
  <c r="BA557" i="3"/>
  <c r="AZ557" i="3" s="1"/>
  <c r="AC557" i="3"/>
  <c r="BQ557" i="3"/>
  <c r="BL557" i="3" s="1"/>
  <c r="BQ583" i="3"/>
  <c r="BQ581" i="3"/>
  <c r="BL581" i="3"/>
  <c r="BQ579" i="3"/>
  <c r="BQ577" i="3"/>
  <c r="BQ575" i="3"/>
  <c r="BQ573" i="3"/>
  <c r="BQ571" i="3"/>
  <c r="BL571" i="3"/>
  <c r="BQ569" i="3"/>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H28" i="34"/>
  <c r="AB28" i="34"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c r="F31" i="40"/>
  <c r="S31" i="40" s="1"/>
  <c r="AA31" i="40"/>
  <c r="H31" i="40"/>
  <c r="U31" i="40"/>
  <c r="F32" i="40"/>
  <c r="S32" i="40"/>
  <c r="H32" i="40"/>
  <c r="AB32" i="40"/>
  <c r="J36" i="40"/>
  <c r="AC36" i="40" s="1"/>
  <c r="W36" i="40"/>
  <c r="H19" i="37"/>
  <c r="AB19" i="37" s="1"/>
  <c r="F123" i="33"/>
  <c r="G123" i="33" s="1"/>
  <c r="H123" i="33" s="1"/>
  <c r="I123" i="33" s="1"/>
  <c r="J123" i="33" s="1"/>
  <c r="K123" i="33" s="1"/>
  <c r="L123" i="33" s="1"/>
  <c r="M123" i="33" s="1"/>
  <c r="H42" i="33"/>
  <c r="AB42" i="33" s="1"/>
  <c r="J43" i="33"/>
  <c r="W23" i="35"/>
  <c r="U39" i="37"/>
  <c r="U26" i="37"/>
  <c r="AC36" i="34"/>
  <c r="AC45" i="33"/>
  <c r="U11" i="33"/>
  <c r="U19" i="21"/>
  <c r="F43" i="33"/>
  <c r="AA43" i="33"/>
  <c r="W16" i="35"/>
  <c r="G107" i="37"/>
  <c r="H107" i="37"/>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J5" i="3"/>
  <c r="AZ325" i="3"/>
  <c r="G548" i="3"/>
  <c r="G538" i="3"/>
  <c r="G520" i="3"/>
  <c r="G502" i="3"/>
  <c r="BK5" i="3"/>
  <c r="BC5" i="3"/>
  <c r="G17" i="3"/>
  <c r="BA17" i="3"/>
  <c r="AZ350" i="3"/>
  <c r="BA15" i="3"/>
  <c r="AZ499" i="3"/>
  <c r="G509" i="3"/>
  <c r="BL493" i="3"/>
  <c r="U36" i="40"/>
  <c r="F83" i="43"/>
  <c r="H85" i="43" s="1"/>
  <c r="F50" i="43"/>
  <c r="H54" i="43" s="1"/>
  <c r="F72" i="43"/>
  <c r="H75" i="43" s="1"/>
  <c r="U17" i="39"/>
  <c r="S14" i="35"/>
  <c r="U43" i="21"/>
  <c r="AC35" i="2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c r="F20" i="35"/>
  <c r="AA20" i="35"/>
  <c r="AB29" i="36"/>
  <c r="U29" i="36"/>
  <c r="H32" i="37"/>
  <c r="F96" i="37"/>
  <c r="H27" i="40"/>
  <c r="U27" i="40"/>
  <c r="J27" i="40"/>
  <c r="F27" i="40"/>
  <c r="S27" i="40" s="1"/>
  <c r="J30" i="40"/>
  <c r="AC30" i="40" s="1"/>
  <c r="F30" i="40"/>
  <c r="S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69" i="3"/>
  <c r="AZ86"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S35"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J21" i="39"/>
  <c r="W21" i="39" s="1"/>
  <c r="F21" i="39"/>
  <c r="G94" i="39"/>
  <c r="H21" i="39"/>
  <c r="U21" i="39" s="1"/>
  <c r="W19" i="39"/>
  <c r="S17" i="39"/>
  <c r="S15" i="39"/>
  <c r="AA12" i="39"/>
  <c r="S9" i="39"/>
  <c r="U14" i="39"/>
  <c r="U12" i="39"/>
  <c r="U13" i="36"/>
  <c r="U26" i="36"/>
  <c r="S33" i="36"/>
  <c r="AA34" i="36"/>
  <c r="AC26" i="36"/>
  <c r="AA22" i="36"/>
  <c r="U22" i="36"/>
  <c r="S16" i="36"/>
  <c r="AA25" i="36"/>
  <c r="S24" i="36"/>
  <c r="U24" i="36"/>
  <c r="AB20" i="36"/>
  <c r="AA25" i="35"/>
  <c r="W24" i="35"/>
  <c r="AB13" i="35"/>
  <c r="U29" i="35"/>
  <c r="U28" i="35"/>
  <c r="AB27" i="35"/>
  <c r="U36" i="35"/>
  <c r="U32" i="35"/>
  <c r="AC30" i="35"/>
  <c r="S32" i="35"/>
  <c r="AA36" i="35"/>
  <c r="S28" i="35"/>
  <c r="U22" i="35"/>
  <c r="S20" i="35"/>
  <c r="AC20" i="35"/>
  <c r="U14" i="35"/>
  <c r="AA11" i="35"/>
  <c r="AC12" i="35"/>
  <c r="W13" i="35"/>
  <c r="F9" i="35"/>
  <c r="S9" i="35" s="1"/>
  <c r="H9" i="35"/>
  <c r="U9" i="35" s="1"/>
  <c r="AC29" i="37"/>
  <c r="U29" i="37"/>
  <c r="S32" i="37"/>
  <c r="W30" i="37"/>
  <c r="S36" i="37"/>
  <c r="AA38" i="37"/>
  <c r="W38" i="37"/>
  <c r="AC35" i="37"/>
  <c r="W39" i="37"/>
  <c r="S30" i="37"/>
  <c r="S37" i="37"/>
  <c r="AC15" i="37"/>
  <c r="J17" i="37"/>
  <c r="W17" i="37" s="1"/>
  <c r="F17" i="37"/>
  <c r="AA17" i="37" s="1"/>
  <c r="AB17" i="37"/>
  <c r="F75" i="37"/>
  <c r="F19" i="37"/>
  <c r="S19" i="37" s="1"/>
  <c r="F79" i="37"/>
  <c r="F23" i="37"/>
  <c r="U15" i="37"/>
  <c r="AC13" i="37"/>
  <c r="AA13" i="37"/>
  <c r="H10" i="37"/>
  <c r="AB10" i="37" s="1"/>
  <c r="F11" i="37"/>
  <c r="S11" i="37" s="1"/>
  <c r="W25" i="34"/>
  <c r="AA33" i="34"/>
  <c r="U43" i="34"/>
  <c r="AC39" i="34"/>
  <c r="W41" i="34"/>
  <c r="AC42" i="34"/>
  <c r="AB35" i="34"/>
  <c r="U39" i="34"/>
  <c r="AA25" i="34"/>
  <c r="U28" i="34"/>
  <c r="S17" i="34"/>
  <c r="AA29" i="34"/>
  <c r="U27"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S25" i="33" s="1"/>
  <c r="J23" i="33"/>
  <c r="AC23" i="33" s="1"/>
  <c r="F85" i="33"/>
  <c r="H23" i="33"/>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D120" i="9"/>
  <c r="F34" i="67"/>
  <c r="F62" i="67" s="1"/>
  <c r="M20" i="67"/>
  <c r="F34" i="15"/>
  <c r="F62" i="15" s="1"/>
  <c r="BA13" i="3"/>
  <c r="BL17" i="3"/>
  <c r="AZ17" i="3"/>
  <c r="BL13" i="3"/>
  <c r="J56" i="9"/>
  <c r="J57" i="9" s="1"/>
  <c r="J59" i="9" s="1"/>
  <c r="J61" i="9" s="1"/>
  <c r="A24" i="51"/>
  <c r="B18" i="72" s="1"/>
  <c r="U29" i="34"/>
  <c r="E32" i="6"/>
  <c r="G1" i="68"/>
  <c r="K1" i="12"/>
  <c r="E19" i="69"/>
  <c r="E19" i="68"/>
  <c r="E19" i="11"/>
  <c r="G22" i="69"/>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U32" i="40"/>
  <c r="AB31" i="40"/>
  <c r="S37" i="40"/>
  <c r="AB28" i="40"/>
  <c r="W28" i="40"/>
  <c r="W34" i="40"/>
  <c r="W37" i="40"/>
  <c r="AC14" i="40"/>
  <c r="S13" i="40"/>
  <c r="S33" i="40"/>
  <c r="AA15" i="40"/>
  <c r="U11" i="40"/>
  <c r="AB13" i="40"/>
  <c r="U15" i="40"/>
  <c r="AB17" i="40"/>
  <c r="U8" i="40"/>
  <c r="S8" i="40"/>
  <c r="AA39" i="39"/>
  <c r="AC41" i="39"/>
  <c r="U41" i="39"/>
  <c r="W25" i="39"/>
  <c r="AC25" i="39"/>
  <c r="U13" i="39"/>
  <c r="AB13" i="39"/>
  <c r="AA13" i="39"/>
  <c r="S13" i="39"/>
  <c r="AA14" i="39"/>
  <c r="U43" i="39"/>
  <c r="AB43" i="39"/>
  <c r="AB11" i="39"/>
  <c r="U11" i="39"/>
  <c r="AA27" i="39"/>
  <c r="S27" i="39"/>
  <c r="W17" i="39"/>
  <c r="AC17" i="39"/>
  <c r="AA45" i="39"/>
  <c r="AB39" i="39"/>
  <c r="W34" i="39"/>
  <c r="U38" i="39"/>
  <c r="S8" i="39"/>
  <c r="S20" i="36"/>
  <c r="AC25" i="36"/>
  <c r="W29" i="36"/>
  <c r="AC20" i="36"/>
  <c r="U25" i="36"/>
  <c r="AB28" i="36"/>
  <c r="AA13" i="36"/>
  <c r="W9" i="36"/>
  <c r="W22" i="36"/>
  <c r="AB20" i="35"/>
  <c r="AC25" i="35"/>
  <c r="U25" i="35"/>
  <c r="U24" i="35"/>
  <c r="S35" i="35"/>
  <c r="W35" i="35"/>
  <c r="AA16" i="35"/>
  <c r="AA35" i="37"/>
  <c r="W36" i="37"/>
  <c r="S27" i="37"/>
  <c r="W32" i="37"/>
  <c r="U36" i="37"/>
  <c r="S40" i="37"/>
  <c r="AB37" i="37"/>
  <c r="AC34" i="37"/>
  <c r="AB35" i="37"/>
  <c r="AA31" i="37"/>
  <c r="U19" i="37"/>
  <c r="U8" i="37"/>
  <c r="AB40" i="34"/>
  <c r="U19" i="34"/>
  <c r="W19" i="34"/>
  <c r="AC45" i="34"/>
  <c r="AA31" i="34"/>
  <c r="AA30" i="34"/>
  <c r="AB45" i="34"/>
  <c r="AB47" i="34"/>
  <c r="U25" i="34"/>
  <c r="AB36" i="34"/>
  <c r="AC32" i="34"/>
  <c r="AC29" i="34"/>
  <c r="S32" i="34"/>
  <c r="AA32" i="34"/>
  <c r="S37" i="34"/>
  <c r="AC40" i="34"/>
  <c r="W40" i="34"/>
  <c r="AA19" i="34"/>
  <c r="S19" i="34"/>
  <c r="AA36" i="34"/>
  <c r="S36" i="34"/>
  <c r="AA8" i="34"/>
  <c r="S8" i="34"/>
  <c r="S46" i="34"/>
  <c r="U32" i="34"/>
  <c r="AB32" i="34"/>
  <c r="U14" i="34"/>
  <c r="AB14" i="34"/>
  <c r="AC43" i="34"/>
  <c r="W43" i="34"/>
  <c r="W23" i="34"/>
  <c r="AC35" i="34"/>
  <c r="W35" i="34"/>
  <c r="AB28" i="33"/>
  <c r="AC37" i="33"/>
  <c r="W46" i="33"/>
  <c r="U39" i="33"/>
  <c r="U38" i="33"/>
  <c r="S33" i="33"/>
  <c r="AB34" i="33"/>
  <c r="U44" i="33"/>
  <c r="AB44" i="33"/>
  <c r="S30" i="33"/>
  <c r="AA30" i="33"/>
  <c r="W14" i="33"/>
  <c r="AC30" i="33"/>
  <c r="W30" i="33"/>
  <c r="S11" i="33"/>
  <c r="U37" i="33"/>
  <c r="AC28" i="33"/>
  <c r="W9" i="33"/>
  <c r="W8" i="33"/>
  <c r="S44"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A18" i="62"/>
  <c r="B64" i="72" s="1"/>
  <c r="U32" i="39"/>
  <c r="AC32" i="39"/>
  <c r="J63" i="37"/>
  <c r="K63" i="37" s="1"/>
  <c r="L63" i="37" s="1"/>
  <c r="M63" i="37" s="1"/>
  <c r="J11" i="37"/>
  <c r="AC11" i="37" s="1"/>
  <c r="J11" i="34"/>
  <c r="W11" i="34" s="1"/>
  <c r="AB36" i="33"/>
  <c r="W25" i="33"/>
  <c r="AC25" i="33"/>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E10" i="76"/>
  <c r="M22" i="15"/>
  <c r="C76" i="15"/>
  <c r="F26" i="15"/>
  <c r="E12" i="76"/>
  <c r="F42" i="15"/>
  <c r="F16" i="15"/>
  <c r="F7" i="15"/>
  <c r="L48" i="67"/>
  <c r="F20" i="31"/>
  <c r="F3" i="73"/>
  <c r="D6" i="73"/>
  <c r="M29" i="15"/>
  <c r="F6" i="15"/>
  <c r="L47" i="15"/>
  <c r="F38" i="15"/>
  <c r="F42" i="67"/>
  <c r="E9" i="76"/>
  <c r="F43" i="67"/>
  <c r="E2" i="69"/>
  <c r="F7" i="67"/>
  <c r="F26" i="67"/>
  <c r="B8" i="76"/>
  <c r="D34" i="9"/>
  <c r="F7" i="73"/>
  <c r="M26" i="67"/>
  <c r="F40" i="15"/>
  <c r="B7" i="76"/>
  <c r="B10" i="76"/>
  <c r="B11" i="76"/>
  <c r="L48" i="15"/>
  <c r="M6" i="15"/>
  <c r="F36" i="15"/>
  <c r="E11" i="76"/>
  <c r="D35" i="9"/>
  <c r="M8" i="67"/>
  <c r="F4" i="73"/>
  <c r="F6" i="67"/>
  <c r="AO13" i="1"/>
  <c r="M24" i="15"/>
  <c r="M28" i="67"/>
  <c r="F13" i="15"/>
  <c r="M23" i="15"/>
  <c r="B13" i="76"/>
  <c r="B12" i="76"/>
  <c r="M28" i="15"/>
  <c r="E2" i="68"/>
  <c r="F5" i="73"/>
  <c r="M9" i="15"/>
  <c r="M6" i="67"/>
  <c r="F38" i="67"/>
  <c r="M23" i="67"/>
  <c r="B9" i="76"/>
  <c r="F13" i="67"/>
  <c r="M29" i="67"/>
  <c r="E8" i="76"/>
  <c r="M9" i="67"/>
  <c r="E13" i="76"/>
  <c r="F6" i="73"/>
  <c r="E7" i="76"/>
  <c r="F9" i="15"/>
  <c r="D78" i="43" l="1"/>
  <c r="H5" i="3"/>
  <c r="F14" i="36"/>
  <c r="AA14" i="36" s="1"/>
  <c r="H14" i="36"/>
  <c r="U14" i="36" s="1"/>
  <c r="W14" i="36"/>
  <c r="U16" i="36"/>
  <c r="W30" i="36"/>
  <c r="F12" i="1"/>
  <c r="G12" i="1" s="1"/>
  <c r="G44" i="43"/>
  <c r="C40" i="68"/>
  <c r="G22" i="11"/>
  <c r="E1" i="73"/>
  <c r="G26" i="12"/>
  <c r="G22" i="68"/>
  <c r="G29" i="6"/>
  <c r="AC27" i="40"/>
  <c r="W27" i="40"/>
  <c r="S11" i="39"/>
  <c r="AA11" i="39"/>
  <c r="U27" i="39"/>
  <c r="AB27" i="39"/>
  <c r="AB35" i="21"/>
  <c r="U35" i="21"/>
  <c r="AZ568" i="3"/>
  <c r="U27" i="21"/>
  <c r="U31" i="37"/>
  <c r="AB31" i="37"/>
  <c r="AZ536" i="3"/>
  <c r="AB38" i="37"/>
  <c r="U38" i="37"/>
  <c r="AA28" i="37"/>
  <c r="S28" i="37"/>
  <c r="AB13" i="37"/>
  <c r="U13" i="37"/>
  <c r="AC47" i="34"/>
  <c r="W47" i="34"/>
  <c r="S45" i="34"/>
  <c r="AA45" i="34"/>
  <c r="AC44" i="33"/>
  <c r="W44" i="33"/>
  <c r="AB15" i="33"/>
  <c r="U15" i="33"/>
  <c r="W15" i="34"/>
  <c r="AC15" i="34"/>
  <c r="U25" i="37"/>
  <c r="AB25" i="37"/>
  <c r="AZ582" i="3"/>
  <c r="AZ579" i="3"/>
  <c r="AZ576" i="3"/>
  <c r="BL575" i="3"/>
  <c r="AZ575" i="3"/>
  <c r="AZ574" i="3"/>
  <c r="AZ571" i="3"/>
  <c r="AZ570" i="3"/>
  <c r="AB19" i="33"/>
  <c r="D121" i="9"/>
  <c r="D7" i="52" s="1"/>
  <c r="D6" i="52"/>
  <c r="AB32" i="37"/>
  <c r="U32" i="37"/>
  <c r="AA28" i="21"/>
  <c r="S28" i="21"/>
  <c r="S14" i="21"/>
  <c r="AA14" i="21"/>
  <c r="AA36" i="40"/>
  <c r="S36" i="40"/>
  <c r="U37" i="40"/>
  <c r="AB37" i="40"/>
  <c r="AB23" i="21"/>
  <c r="W23" i="37"/>
  <c r="S13" i="21"/>
  <c r="AB15" i="21"/>
  <c r="AB30" i="34"/>
  <c r="AC14" i="34"/>
  <c r="AA29" i="37"/>
  <c r="W19" i="40"/>
  <c r="U35" i="40"/>
  <c r="AB21" i="40"/>
  <c r="U21" i="40"/>
  <c r="AZ501" i="3"/>
  <c r="AZ529" i="3"/>
  <c r="AZ565" i="3"/>
  <c r="AA14" i="33"/>
  <c r="AC44" i="21"/>
  <c r="W44" i="21"/>
  <c r="U42" i="21"/>
  <c r="AB42" i="21"/>
  <c r="AC19" i="33"/>
  <c r="W19" i="33"/>
  <c r="AA41" i="33"/>
  <c r="S41" i="33"/>
  <c r="AA23" i="35"/>
  <c r="S23" i="35"/>
  <c r="S41" i="39"/>
  <c r="AA41" i="39"/>
  <c r="S13" i="33"/>
  <c r="AA13" i="33"/>
  <c r="U40" i="37"/>
  <c r="AB40" i="37"/>
  <c r="AA14" i="40"/>
  <c r="S14" i="40"/>
  <c r="S23" i="37"/>
  <c r="AA23" i="37"/>
  <c r="AC27" i="37"/>
  <c r="W27" i="37"/>
  <c r="W27" i="33"/>
  <c r="AC15" i="21"/>
  <c r="S45" i="21"/>
  <c r="AC43" i="33"/>
  <c r="W43" i="33"/>
  <c r="U41" i="34"/>
  <c r="AB41" i="34"/>
  <c r="S26" i="36"/>
  <c r="AA26" i="36"/>
  <c r="AA42" i="33"/>
  <c r="S42" i="33"/>
  <c r="G557" i="3"/>
  <c r="AC5" i="3"/>
  <c r="W13" i="39"/>
  <c r="AC13" i="39"/>
  <c r="AC31" i="34"/>
  <c r="W31" i="34"/>
  <c r="W11" i="35"/>
  <c r="AC11" i="35"/>
  <c r="AC29" i="35"/>
  <c r="W29" i="35"/>
  <c r="U16" i="35"/>
  <c r="AB16" i="35"/>
  <c r="AA22" i="35"/>
  <c r="S22" i="35"/>
  <c r="AB42" i="39"/>
  <c r="U42" i="39"/>
  <c r="AC23" i="40"/>
  <c r="W23" i="40"/>
  <c r="AB19" i="39"/>
  <c r="U19" i="39"/>
  <c r="U38" i="21"/>
  <c r="AB38" i="21"/>
  <c r="BA587" i="3"/>
  <c r="BA586" i="3"/>
  <c r="BL585" i="3"/>
  <c r="AZ585" i="3" s="1"/>
  <c r="F9" i="34"/>
  <c r="AA9" i="34" s="1"/>
  <c r="J9" i="34"/>
  <c r="H9" i="34"/>
  <c r="J12" i="34"/>
  <c r="H12" i="34"/>
  <c r="F12" i="34"/>
  <c r="S12" i="34" s="1"/>
  <c r="J39" i="40"/>
  <c r="H39" i="40"/>
  <c r="AA30" i="40"/>
  <c r="BD5" i="3"/>
  <c r="BM5" i="3"/>
  <c r="F29" i="6" s="1"/>
  <c r="AZ391" i="3"/>
  <c r="AZ364" i="3"/>
  <c r="AZ329" i="3"/>
  <c r="AZ306" i="3"/>
  <c r="J9" i="37"/>
  <c r="W9" i="37" s="1"/>
  <c r="BL577" i="3"/>
  <c r="AZ577" i="3" s="1"/>
  <c r="AZ513" i="3"/>
  <c r="AZ528" i="3"/>
  <c r="AZ548" i="3"/>
  <c r="AZ502" i="3"/>
  <c r="S45" i="33"/>
  <c r="U46" i="33"/>
  <c r="J14" i="37"/>
  <c r="F14" i="37"/>
  <c r="H11" i="35"/>
  <c r="AB11" i="35" s="1"/>
  <c r="H46" i="34"/>
  <c r="J30" i="34"/>
  <c r="J31" i="33"/>
  <c r="J13" i="33"/>
  <c r="S33" i="35"/>
  <c r="AA28" i="33"/>
  <c r="F46" i="21"/>
  <c r="AA23" i="34"/>
  <c r="S38" i="39"/>
  <c r="W33" i="33"/>
  <c r="H36" i="39"/>
  <c r="AC40" i="33"/>
  <c r="W40" i="33"/>
  <c r="AC8" i="34"/>
  <c r="W8" i="34"/>
  <c r="J37" i="39"/>
  <c r="F37" i="39"/>
  <c r="BA551" i="3"/>
  <c r="AZ551" i="3" s="1"/>
  <c r="BA550" i="3"/>
  <c r="BL548" i="3"/>
  <c r="BL566" i="3"/>
  <c r="AZ566" i="3" s="1"/>
  <c r="J46" i="34"/>
  <c r="F31" i="33"/>
  <c r="F27" i="21"/>
  <c r="S42" i="34"/>
  <c r="AB8" i="39"/>
  <c r="U34" i="40"/>
  <c r="AA9" i="40"/>
  <c r="W25" i="37"/>
  <c r="G585" i="3"/>
  <c r="H23" i="36"/>
  <c r="J23" i="36"/>
  <c r="H31" i="39"/>
  <c r="J31" i="39"/>
  <c r="U9" i="33"/>
  <c r="W9" i="35"/>
  <c r="AZ384" i="3"/>
  <c r="AZ322" i="3"/>
  <c r="AZ313" i="3"/>
  <c r="AZ160" i="3"/>
  <c r="AZ394" i="3"/>
  <c r="W9" i="39"/>
  <c r="AZ519" i="3"/>
  <c r="AZ531" i="3"/>
  <c r="BL573" i="3"/>
  <c r="AZ573" i="3" s="1"/>
  <c r="BL583" i="3"/>
  <c r="AZ583" i="3" s="1"/>
  <c r="H14" i="40"/>
  <c r="J40" i="37"/>
  <c r="S36" i="33"/>
  <c r="S17" i="37"/>
  <c r="AA15" i="21"/>
  <c r="W25" i="21"/>
  <c r="U38" i="34"/>
  <c r="W33" i="34"/>
  <c r="AA40" i="34"/>
  <c r="U32" i="36"/>
  <c r="AC11" i="33"/>
  <c r="S43" i="34"/>
  <c r="AB8" i="34"/>
  <c r="AZ14" i="3"/>
  <c r="AZ388" i="3"/>
  <c r="AZ345" i="3"/>
  <c r="AZ334" i="3"/>
  <c r="AZ372" i="3"/>
  <c r="AZ347" i="3"/>
  <c r="AZ337" i="3"/>
  <c r="AZ200" i="3"/>
  <c r="AZ192" i="3"/>
  <c r="AZ376" i="3"/>
  <c r="AZ309" i="3"/>
  <c r="AC12" i="37"/>
  <c r="AZ515" i="3"/>
  <c r="AZ523" i="3"/>
  <c r="AZ547" i="3"/>
  <c r="BL569" i="3"/>
  <c r="AZ569" i="3" s="1"/>
  <c r="AZ516" i="3"/>
  <c r="AZ524" i="3"/>
  <c r="AC28" i="21"/>
  <c r="J31" i="21"/>
  <c r="AB23" i="34"/>
  <c r="W31" i="40"/>
  <c r="F23" i="36"/>
  <c r="F25" i="37"/>
  <c r="AC40" i="39"/>
  <c r="W40" i="39"/>
  <c r="AA34" i="40"/>
  <c r="S34" i="40"/>
  <c r="G566" i="3"/>
  <c r="G558" i="3"/>
  <c r="AZ407" i="3"/>
  <c r="G398" i="3"/>
  <c r="BL400" i="3"/>
  <c r="BL408" i="3"/>
  <c r="AZ408" i="3" s="1"/>
  <c r="BL411" i="3"/>
  <c r="AZ411" i="3" s="1"/>
  <c r="BL413" i="3"/>
  <c r="G415" i="3"/>
  <c r="BL417" i="3"/>
  <c r="AZ417" i="3" s="1"/>
  <c r="BL418" i="3"/>
  <c r="BL420" i="3"/>
  <c r="G422" i="3"/>
  <c r="BL424" i="3"/>
  <c r="G426" i="3"/>
  <c r="BA428" i="3"/>
  <c r="BA429" i="3"/>
  <c r="BA430" i="3"/>
  <c r="AZ430" i="3" s="1"/>
  <c r="G435" i="3"/>
  <c r="BL435" i="3"/>
  <c r="BL436" i="3"/>
  <c r="BA438" i="3"/>
  <c r="G442" i="3"/>
  <c r="BA449" i="3"/>
  <c r="BA463" i="3"/>
  <c r="BA465" i="3"/>
  <c r="AZ465" i="3" s="1"/>
  <c r="AZ471" i="3"/>
  <c r="BA476" i="3"/>
  <c r="BA481" i="3"/>
  <c r="G484" i="3"/>
  <c r="G220" i="3"/>
  <c r="BL224" i="3"/>
  <c r="BA228" i="3"/>
  <c r="AZ400" i="3"/>
  <c r="AZ402" i="3"/>
  <c r="AZ406" i="3"/>
  <c r="AZ413" i="3"/>
  <c r="AZ448" i="3"/>
  <c r="AZ469" i="3"/>
  <c r="AZ270" i="3"/>
  <c r="B79" i="43"/>
  <c r="H23" i="35"/>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BA434" i="3"/>
  <c r="AZ434" i="3" s="1"/>
  <c r="BA435" i="3"/>
  <c r="AZ435" i="3" s="1"/>
  <c r="BA444" i="3"/>
  <c r="AZ444" i="3" s="1"/>
  <c r="BA445" i="3"/>
  <c r="BA447" i="3"/>
  <c r="AZ447" i="3" s="1"/>
  <c r="BA453" i="3"/>
  <c r="AZ453" i="3" s="1"/>
  <c r="BA455" i="3"/>
  <c r="AZ455" i="3" s="1"/>
  <c r="BL458" i="3"/>
  <c r="AZ458" i="3" s="1"/>
  <c r="BL459" i="3"/>
  <c r="G461" i="3"/>
  <c r="BA467" i="3"/>
  <c r="BA468" i="3"/>
  <c r="BL472" i="3"/>
  <c r="BA478" i="3"/>
  <c r="BA485" i="3"/>
  <c r="BL395" i="3"/>
  <c r="BL222" i="3"/>
  <c r="G241" i="3"/>
  <c r="BL587" i="3"/>
  <c r="BL586" i="3"/>
  <c r="BL16" i="3"/>
  <c r="AZ16" i="3" s="1"/>
  <c r="BA401" i="3"/>
  <c r="BA403" i="3"/>
  <c r="AZ403" i="3" s="1"/>
  <c r="BA404" i="3"/>
  <c r="AZ404" i="3" s="1"/>
  <c r="BA405" i="3"/>
  <c r="AZ405" i="3" s="1"/>
  <c r="BL410" i="3"/>
  <c r="G412" i="3"/>
  <c r="G418" i="3"/>
  <c r="BA422" i="3"/>
  <c r="AZ422" i="3" s="1"/>
  <c r="G428" i="3"/>
  <c r="BL428" i="3"/>
  <c r="BL429" i="3"/>
  <c r="BA432" i="3"/>
  <c r="BA437" i="3"/>
  <c r="AZ437" i="3" s="1"/>
  <c r="BA439" i="3"/>
  <c r="BA440" i="3"/>
  <c r="AZ440" i="3" s="1"/>
  <c r="BA442" i="3"/>
  <c r="BA446" i="3"/>
  <c r="BA451" i="3"/>
  <c r="AZ451" i="3" s="1"/>
  <c r="G457" i="3"/>
  <c r="BA466" i="3"/>
  <c r="G471" i="3"/>
  <c r="BL471" i="3"/>
  <c r="BA477" i="3"/>
  <c r="BL484" i="3"/>
  <c r="BL208" i="3"/>
  <c r="BA217" i="3"/>
  <c r="BA250" i="3"/>
  <c r="G258" i="3"/>
  <c r="BL262" i="3"/>
  <c r="AZ284" i="3"/>
  <c r="AZ301" i="3"/>
  <c r="AB21" i="37"/>
  <c r="U21" i="37"/>
  <c r="C44" i="71"/>
  <c r="D43" i="71"/>
  <c r="C67" i="71"/>
  <c r="T68" i="71"/>
  <c r="O68" i="71"/>
  <c r="T76" i="71"/>
  <c r="D76" i="71"/>
  <c r="C75" i="71"/>
  <c r="BL317" i="3"/>
  <c r="BA349" i="3"/>
  <c r="AZ349" i="3" s="1"/>
  <c r="BA353" i="3"/>
  <c r="BL353" i="3"/>
  <c r="BA358" i="3"/>
  <c r="AZ358" i="3" s="1"/>
  <c r="BL365" i="3"/>
  <c r="AZ365" i="3" s="1"/>
  <c r="BA368" i="3"/>
  <c r="BL368" i="3"/>
  <c r="BA374" i="3"/>
  <c r="AZ374" i="3" s="1"/>
  <c r="BA388" i="3"/>
  <c r="BA396" i="3"/>
  <c r="BA209" i="3"/>
  <c r="BL217" i="3"/>
  <c r="BA219" i="3"/>
  <c r="AZ219" i="3" s="1"/>
  <c r="BA221" i="3"/>
  <c r="BA223" i="3"/>
  <c r="BL228" i="3"/>
  <c r="BA230" i="3"/>
  <c r="AZ230" i="3" s="1"/>
  <c r="BL232" i="3"/>
  <c r="BL234" i="3"/>
  <c r="BA236" i="3"/>
  <c r="BA238" i="3"/>
  <c r="BA243" i="3"/>
  <c r="BL248" i="3"/>
  <c r="AZ248" i="3" s="1"/>
  <c r="BL250"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BA129" i="3"/>
  <c r="BL35" i="3"/>
  <c r="D68" i="71"/>
  <c r="AB34" i="71"/>
  <c r="AB27" i="71"/>
  <c r="AB32" i="71"/>
  <c r="AA38" i="71"/>
  <c r="AA3" i="71"/>
  <c r="AA28" i="71"/>
  <c r="AA35" i="71"/>
  <c r="Y29" i="71"/>
  <c r="Z29" i="71" s="1"/>
  <c r="Y25" i="71"/>
  <c r="Z25" i="71" s="1"/>
  <c r="C47" i="71"/>
  <c r="D47" i="71" s="1"/>
  <c r="D46" i="71"/>
  <c r="D50" i="71"/>
  <c r="C51" i="71"/>
  <c r="BL448" i="3"/>
  <c r="G451" i="3"/>
  <c r="BA454" i="3"/>
  <c r="AZ454" i="3" s="1"/>
  <c r="BA457" i="3"/>
  <c r="AZ457" i="3" s="1"/>
  <c r="BA459" i="3"/>
  <c r="BA460" i="3"/>
  <c r="AZ460" i="3" s="1"/>
  <c r="BA461" i="3"/>
  <c r="AZ461" i="3" s="1"/>
  <c r="BL464" i="3"/>
  <c r="BL466" i="3"/>
  <c r="G469" i="3"/>
  <c r="BL476" i="3"/>
  <c r="BL477" i="3"/>
  <c r="BL478" i="3"/>
  <c r="BL480" i="3"/>
  <c r="AZ480" i="3" s="1"/>
  <c r="BA483" i="3"/>
  <c r="BL483" i="3"/>
  <c r="BA486" i="3"/>
  <c r="BL489" i="3"/>
  <c r="BL491" i="3"/>
  <c r="AZ491" i="3" s="1"/>
  <c r="BL492" i="3"/>
  <c r="BA315" i="3"/>
  <c r="AZ315" i="3" s="1"/>
  <c r="BA333" i="3"/>
  <c r="BL346" i="3"/>
  <c r="AZ346" i="3" s="1"/>
  <c r="BA384" i="3"/>
  <c r="BA395" i="3"/>
  <c r="BA208" i="3"/>
  <c r="AZ208" i="3" s="1"/>
  <c r="BA211" i="3"/>
  <c r="AZ211" i="3" s="1"/>
  <c r="BL213" i="3"/>
  <c r="BL215" i="3"/>
  <c r="BA222" i="3"/>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AZ302" i="3" s="1"/>
  <c r="BA114" i="3"/>
  <c r="BL123" i="3"/>
  <c r="AZ123" i="3" s="1"/>
  <c r="BA128" i="3"/>
  <c r="AZ128" i="3" s="1"/>
  <c r="BL134" i="3"/>
  <c r="BL137" i="3"/>
  <c r="BA146" i="3"/>
  <c r="AZ146" i="3" s="1"/>
  <c r="BA150" i="3"/>
  <c r="G163" i="3"/>
  <c r="BL166" i="3"/>
  <c r="G167" i="3"/>
  <c r="AZ25" i="3"/>
  <c r="G31" i="3"/>
  <c r="BL34" i="3"/>
  <c r="T32" i="71"/>
  <c r="D32" i="71"/>
  <c r="G429" i="3"/>
  <c r="G430" i="3"/>
  <c r="BL431" i="3"/>
  <c r="G433" i="3"/>
  <c r="BL434" i="3"/>
  <c r="G436"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49" i="3"/>
  <c r="AZ149" i="3" s="1"/>
  <c r="BL161" i="3"/>
  <c r="BL169" i="3"/>
  <c r="G4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BA202" i="3"/>
  <c r="BL207" i="3"/>
  <c r="AZ207" i="3" s="1"/>
  <c r="BL18" i="3"/>
  <c r="G19" i="3"/>
  <c r="BL19" i="3"/>
  <c r="BA20" i="3"/>
  <c r="AZ20" i="3" s="1"/>
  <c r="BL25" i="3"/>
  <c r="BL27" i="3"/>
  <c r="BA28" i="3"/>
  <c r="AZ28" i="3" s="1"/>
  <c r="BA31" i="3"/>
  <c r="AZ31" i="3" s="1"/>
  <c r="BA32" i="3"/>
  <c r="G38" i="3"/>
  <c r="BA38" i="3"/>
  <c r="AZ38" i="3" s="1"/>
  <c r="BA41" i="3"/>
  <c r="BA42" i="3"/>
  <c r="G47" i="3"/>
  <c r="BL48" i="3"/>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BA130" i="3"/>
  <c r="AZ130" i="3" s="1"/>
  <c r="BL130" i="3"/>
  <c r="BA137" i="3"/>
  <c r="AZ137" i="3" s="1"/>
  <c r="BL138" i="3"/>
  <c r="BA140" i="3"/>
  <c r="AZ140" i="3" s="1"/>
  <c r="BA142" i="3"/>
  <c r="BL149" i="3"/>
  <c r="BL150" i="3"/>
  <c r="G151" i="3"/>
  <c r="BA152" i="3"/>
  <c r="AZ152" i="3" s="1"/>
  <c r="BA154" i="3"/>
  <c r="AZ154" i="3" s="1"/>
  <c r="BA160" i="3"/>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204" i="3"/>
  <c r="BL206" i="3"/>
  <c r="BA19" i="3"/>
  <c r="AZ19" i="3" s="1"/>
  <c r="G22" i="3"/>
  <c r="G24" i="3"/>
  <c r="G25" i="3"/>
  <c r="BA27" i="3"/>
  <c r="G30" i="3"/>
  <c r="BL30" i="3"/>
  <c r="AZ30" i="3" s="1"/>
  <c r="BL31" i="3"/>
  <c r="G35" i="3"/>
  <c r="G36" i="3"/>
  <c r="G37" i="3"/>
  <c r="G40" i="3"/>
  <c r="BL40" i="3"/>
  <c r="BL41" i="3"/>
  <c r="G45" i="3"/>
  <c r="BL45" i="3"/>
  <c r="BA48" i="3"/>
  <c r="BA49" i="3"/>
  <c r="BA51" i="3"/>
  <c r="AZ51" i="3" s="1"/>
  <c r="BA55" i="3"/>
  <c r="AZ55" i="3" s="1"/>
  <c r="BA56" i="3"/>
  <c r="BA57" i="3"/>
  <c r="BL58" i="3"/>
  <c r="BA60" i="3"/>
  <c r="BA71" i="3"/>
  <c r="BA95" i="3"/>
  <c r="F40" i="69"/>
  <c r="C40" i="69"/>
  <c r="P65" i="71"/>
  <c r="P66" i="71"/>
  <c r="Y27" i="71"/>
  <c r="Z27" i="71" s="1"/>
  <c r="C34" i="71"/>
  <c r="Y35" i="71"/>
  <c r="Z35" i="71" s="1"/>
  <c r="S80" i="71"/>
  <c r="B79" i="71"/>
  <c r="B78" i="71"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AZ46" i="3" s="1"/>
  <c r="BL49" i="3"/>
  <c r="BL50" i="3"/>
  <c r="AZ50" i="3" s="1"/>
  <c r="BL51" i="3"/>
  <c r="BL53" i="3"/>
  <c r="BA64" i="3"/>
  <c r="AZ64" i="3" s="1"/>
  <c r="BL73" i="3"/>
  <c r="BA74" i="3"/>
  <c r="AZ74" i="3" s="1"/>
  <c r="BA75" i="3"/>
  <c r="BL82" i="3"/>
  <c r="E39" i="71"/>
  <c r="E40" i="71" s="1"/>
  <c r="U40" i="71" s="1"/>
  <c r="Y37" i="71"/>
  <c r="Z37" i="71" s="1"/>
  <c r="F66" i="71"/>
  <c r="Q66" i="71" s="1"/>
  <c r="Q67" i="71"/>
  <c r="X25" i="71"/>
  <c r="V24" i="71"/>
  <c r="E23" i="71"/>
  <c r="E22" i="71" s="1"/>
  <c r="E21" i="71" s="1"/>
  <c r="E20" i="71" s="1"/>
  <c r="E19" i="71" s="1"/>
  <c r="E18" i="71" s="1"/>
  <c r="E17" i="71" s="1"/>
  <c r="E16" i="71" s="1"/>
  <c r="G54" i="3"/>
  <c r="G55" i="3"/>
  <c r="BL56" i="3"/>
  <c r="BA58" i="3"/>
  <c r="AZ58" i="3" s="1"/>
  <c r="BL59" i="3"/>
  <c r="AZ59" i="3" s="1"/>
  <c r="BL60" i="3"/>
  <c r="BA61" i="3"/>
  <c r="AZ61" i="3" s="1"/>
  <c r="BA68" i="3"/>
  <c r="AZ68" i="3" s="1"/>
  <c r="BA73" i="3"/>
  <c r="BA80" i="3"/>
  <c r="G84" i="3"/>
  <c r="BL84" i="3"/>
  <c r="BA89" i="3"/>
  <c r="G99" i="3"/>
  <c r="G103" i="3"/>
  <c r="BA103" i="3"/>
  <c r="AZ103" i="3" s="1"/>
  <c r="BA104" i="3"/>
  <c r="BA106" i="3"/>
  <c r="BL108" i="3"/>
  <c r="AZ108" i="3" s="1"/>
  <c r="G110" i="3"/>
  <c r="BL111" i="3"/>
  <c r="C21" i="68"/>
  <c r="AA27" i="71"/>
  <c r="S28" i="71"/>
  <c r="C83" i="71"/>
  <c r="C79" i="71"/>
  <c r="C71" i="71"/>
  <c r="C39" i="71"/>
  <c r="Y28" i="71"/>
  <c r="Z28" i="71" s="1"/>
  <c r="Y30" i="71"/>
  <c r="Z30" i="71" s="1"/>
  <c r="X28" i="71"/>
  <c r="X32" i="71"/>
  <c r="AB38" i="71"/>
  <c r="F75" i="71"/>
  <c r="F74" i="71" s="1"/>
  <c r="BL77" i="3"/>
  <c r="AZ77" i="3" s="1"/>
  <c r="BA79" i="3"/>
  <c r="AZ79" i="3" s="1"/>
  <c r="BA84" i="3"/>
  <c r="BL88" i="3"/>
  <c r="AZ88" i="3" s="1"/>
  <c r="BL90" i="3"/>
  <c r="BL92" i="3"/>
  <c r="AZ92" i="3" s="1"/>
  <c r="BA101" i="3"/>
  <c r="AZ101" i="3" s="1"/>
  <c r="BL112" i="3"/>
  <c r="F35" i="71"/>
  <c r="F36" i="71" s="1"/>
  <c r="V36" i="71" s="1"/>
  <c r="AA34" i="71"/>
  <c r="BA52" i="3"/>
  <c r="AZ52" i="3" s="1"/>
  <c r="BA53" i="3"/>
  <c r="BA54" i="3"/>
  <c r="AZ54" i="3" s="1"/>
  <c r="BL57" i="3"/>
  <c r="G59" i="3"/>
  <c r="G62" i="3"/>
  <c r="BL62" i="3"/>
  <c r="AZ62" i="3" s="1"/>
  <c r="BL63" i="3"/>
  <c r="AZ63" i="3" s="1"/>
  <c r="G65" i="3"/>
  <c r="BL65" i="3"/>
  <c r="AZ65" i="3" s="1"/>
  <c r="BL66" i="3"/>
  <c r="AZ66" i="3" s="1"/>
  <c r="BL67" i="3"/>
  <c r="AZ67" i="3" s="1"/>
  <c r="G69" i="3"/>
  <c r="G70" i="3"/>
  <c r="BL70" i="3"/>
  <c r="AZ70" i="3" s="1"/>
  <c r="BL71" i="3"/>
  <c r="BL72" i="3"/>
  <c r="AZ72" i="3" s="1"/>
  <c r="G74" i="3"/>
  <c r="G75" i="3"/>
  <c r="BL75" i="3"/>
  <c r="G79" i="3"/>
  <c r="BL81" i="3"/>
  <c r="BA82" i="3"/>
  <c r="BL83" i="3"/>
  <c r="G86" i="3"/>
  <c r="G87" i="3"/>
  <c r="G88" i="3"/>
  <c r="BA90" i="3"/>
  <c r="AZ90" i="3" s="1"/>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F50" i="15"/>
  <c r="F66" i="67"/>
  <c r="L59" i="15"/>
  <c r="N59" i="15"/>
  <c r="L58" i="15"/>
  <c r="M59" i="15"/>
  <c r="F66" i="15"/>
  <c r="F64" i="15"/>
  <c r="C27" i="67"/>
  <c r="F71" i="67"/>
  <c r="C27" i="15"/>
  <c r="B13" i="70"/>
  <c r="M7" i="67"/>
  <c r="J6" i="67" s="1"/>
  <c r="F50" i="67"/>
  <c r="F68" i="15"/>
  <c r="D9" i="68"/>
  <c r="F36" i="67"/>
  <c r="M26" i="15"/>
  <c r="D9" i="69"/>
  <c r="C36" i="69"/>
  <c r="F37" i="67"/>
  <c r="D5" i="73"/>
  <c r="F43" i="15"/>
  <c r="D4" i="73"/>
  <c r="F40" i="67"/>
  <c r="M24" i="67"/>
  <c r="M8" i="15"/>
  <c r="C76" i="67"/>
  <c r="F8" i="67"/>
  <c r="F16" i="67"/>
  <c r="D7" i="73"/>
  <c r="J15" i="15"/>
  <c r="D3" i="73"/>
  <c r="F8" i="15"/>
  <c r="M22" i="67"/>
  <c r="C16" i="15"/>
  <c r="L47" i="67"/>
  <c r="F37" i="15"/>
  <c r="F9" i="67"/>
  <c r="E59" i="40" l="1"/>
  <c r="C36" i="68"/>
  <c r="S14" i="36"/>
  <c r="AB14" i="36"/>
  <c r="P6" i="1"/>
  <c r="C13" i="12" s="1"/>
  <c r="E28" i="6"/>
  <c r="K14" i="1" s="1"/>
  <c r="G26" i="43"/>
  <c r="J26" i="43"/>
  <c r="N94" i="46"/>
  <c r="N370" i="46"/>
  <c r="F26" i="43"/>
  <c r="E26" i="43"/>
  <c r="F68" i="67"/>
  <c r="F31" i="15"/>
  <c r="C6" i="15"/>
  <c r="C32" i="15" s="1"/>
  <c r="F51" i="15"/>
  <c r="C49" i="15" s="1"/>
  <c r="F71" i="15"/>
  <c r="C6" i="67"/>
  <c r="C32" i="67" s="1"/>
  <c r="F31" i="67"/>
  <c r="F51" i="67"/>
  <c r="F59" i="67" s="1"/>
  <c r="F65" i="67"/>
  <c r="F65" i="15"/>
  <c r="F64" i="67"/>
  <c r="Q71" i="67"/>
  <c r="N59" i="67"/>
  <c r="L59" i="67"/>
  <c r="Q61" i="67" s="1"/>
  <c r="L58" i="67"/>
  <c r="Q60" i="67" s="1"/>
  <c r="M59" i="67"/>
  <c r="G5" i="3"/>
  <c r="B3" i="3" s="1"/>
  <c r="E502" i="3" s="1"/>
  <c r="AZ82" i="3"/>
  <c r="C70" i="71"/>
  <c r="D70" i="71" s="1"/>
  <c r="D71" i="71"/>
  <c r="AZ75" i="3"/>
  <c r="AZ57" i="3"/>
  <c r="AZ49" i="3"/>
  <c r="AZ41" i="3"/>
  <c r="AZ126" i="3"/>
  <c r="D44" i="71"/>
  <c r="T44" i="71"/>
  <c r="AZ250" i="3"/>
  <c r="AA23" i="36"/>
  <c r="S23" i="36"/>
  <c r="U14" i="40"/>
  <c r="AB14" i="40"/>
  <c r="AC31" i="39"/>
  <c r="W31" i="39"/>
  <c r="W46" i="34"/>
  <c r="AC46" i="34"/>
  <c r="AB39" i="40"/>
  <c r="U39" i="40"/>
  <c r="W12" i="34"/>
  <c r="AC12" i="34"/>
  <c r="Q16" i="1"/>
  <c r="F28" i="12" s="1"/>
  <c r="C29" i="12" s="1"/>
  <c r="D28" i="12" s="1"/>
  <c r="G16" i="1"/>
  <c r="F10" i="39" s="1"/>
  <c r="S10" i="39" s="1"/>
  <c r="AZ53" i="3"/>
  <c r="D79" i="71"/>
  <c r="C78" i="71"/>
  <c r="D78" i="71" s="1"/>
  <c r="AZ71" i="3"/>
  <c r="C56" i="71"/>
  <c r="D55" i="71"/>
  <c r="AZ251" i="3"/>
  <c r="AZ247" i="3"/>
  <c r="AZ150" i="3"/>
  <c r="AZ222" i="3"/>
  <c r="AZ263" i="3"/>
  <c r="AZ223" i="3"/>
  <c r="D75" i="71"/>
  <c r="C74" i="71"/>
  <c r="D74" i="71" s="1"/>
  <c r="AZ217" i="3"/>
  <c r="AB31" i="39"/>
  <c r="U31" i="39"/>
  <c r="AA37" i="39"/>
  <c r="S37" i="39"/>
  <c r="AB46" i="34"/>
  <c r="U46" i="34"/>
  <c r="AC39" i="40"/>
  <c r="W39" i="40"/>
  <c r="U9" i="34"/>
  <c r="AB9" i="34"/>
  <c r="AZ586" i="3"/>
  <c r="J7" i="36"/>
  <c r="AC7" i="36" s="1"/>
  <c r="V36" i="36" s="1"/>
  <c r="I36" i="36" s="1"/>
  <c r="J6" i="15"/>
  <c r="J18" i="15" s="1"/>
  <c r="K16" i="1"/>
  <c r="H16" i="1"/>
  <c r="AZ83" i="3"/>
  <c r="AZ299" i="3"/>
  <c r="AZ84" i="3"/>
  <c r="D83" i="71"/>
  <c r="C82" i="71"/>
  <c r="D82" i="71" s="1"/>
  <c r="D34" i="71"/>
  <c r="C35" i="71"/>
  <c r="C26" i="71"/>
  <c r="D26" i="71" s="1"/>
  <c r="D27" i="71"/>
  <c r="AZ27" i="3"/>
  <c r="AZ169" i="3"/>
  <c r="AZ229" i="3"/>
  <c r="AZ218" i="3"/>
  <c r="AZ395" i="3"/>
  <c r="AZ459" i="3"/>
  <c r="AZ271" i="3"/>
  <c r="AZ243" i="3"/>
  <c r="AZ368" i="3"/>
  <c r="AZ353" i="3"/>
  <c r="D67" i="71"/>
  <c r="C66" i="71"/>
  <c r="O67" i="71"/>
  <c r="AZ401" i="3"/>
  <c r="AZ228" i="3"/>
  <c r="AZ429" i="3"/>
  <c r="AC23" i="36"/>
  <c r="W23" i="36"/>
  <c r="AA27" i="21"/>
  <c r="S27" i="21"/>
  <c r="AC37" i="39"/>
  <c r="W37" i="39"/>
  <c r="AC13" i="33"/>
  <c r="W13" i="33"/>
  <c r="AC9" i="34"/>
  <c r="W9" i="34"/>
  <c r="AZ587" i="3"/>
  <c r="C40" i="71"/>
  <c r="D39" i="71"/>
  <c r="AZ483" i="3"/>
  <c r="C52" i="71"/>
  <c r="D51" i="71"/>
  <c r="AZ238" i="3"/>
  <c r="AZ466" i="3"/>
  <c r="AZ432" i="3"/>
  <c r="U23" i="35"/>
  <c r="AB23" i="35"/>
  <c r="AZ476" i="3"/>
  <c r="AZ428" i="3"/>
  <c r="AA25" i="37"/>
  <c r="S25" i="37"/>
  <c r="AC31" i="21"/>
  <c r="W31" i="21"/>
  <c r="AC40" i="37"/>
  <c r="W40" i="37"/>
  <c r="AB23" i="36"/>
  <c r="U23" i="36"/>
  <c r="S31" i="33"/>
  <c r="AA31" i="33"/>
  <c r="AZ550" i="3"/>
  <c r="U36" i="39"/>
  <c r="AB36" i="39"/>
  <c r="S46" i="21"/>
  <c r="AA46" i="21"/>
  <c r="AC31" i="33"/>
  <c r="W31" i="33"/>
  <c r="AA14" i="37"/>
  <c r="S14" i="37"/>
  <c r="AB12" i="34"/>
  <c r="U12" i="34"/>
  <c r="J7" i="37"/>
  <c r="K1" i="73"/>
  <c r="E95" i="3"/>
  <c r="AL6" i="3"/>
  <c r="E326" i="3"/>
  <c r="E226" i="3"/>
  <c r="E289" i="3"/>
  <c r="E374" i="3"/>
  <c r="E224" i="3"/>
  <c r="E547" i="3"/>
  <c r="E128" i="3"/>
  <c r="I6" i="3"/>
  <c r="E366" i="3"/>
  <c r="E519" i="3"/>
  <c r="E271" i="3"/>
  <c r="E384" i="3"/>
  <c r="E91" i="3"/>
  <c r="E347" i="3"/>
  <c r="E133" i="3"/>
  <c r="E74" i="3"/>
  <c r="AO6" i="3"/>
  <c r="E531" i="3"/>
  <c r="E526" i="3"/>
  <c r="E579" i="3"/>
  <c r="E514" i="3"/>
  <c r="E172" i="3"/>
  <c r="E135" i="3"/>
  <c r="AI6" i="3"/>
  <c r="E132" i="3"/>
  <c r="E483" i="3"/>
  <c r="AA26" i="37"/>
  <c r="S26" i="37"/>
  <c r="BA5" i="3"/>
  <c r="E27" i="6" s="1"/>
  <c r="K26" i="6" s="1"/>
  <c r="M26" i="6" s="1"/>
  <c r="I26" i="6" s="1"/>
  <c r="S26" i="6" s="1"/>
  <c r="C19" i="71"/>
  <c r="T20" i="71"/>
  <c r="D20" i="71"/>
  <c r="U20" i="71" s="1"/>
  <c r="AZ5" i="3"/>
  <c r="E240" i="3"/>
  <c r="W40" i="40"/>
  <c r="AC40" i="40"/>
  <c r="AC12" i="21"/>
  <c r="W12" i="21"/>
  <c r="AB12" i="21"/>
  <c r="U12" i="21"/>
  <c r="AA27" i="34"/>
  <c r="S27" i="34"/>
  <c r="AC26" i="37"/>
  <c r="W26" i="37"/>
  <c r="BL5" i="3"/>
  <c r="B15" i="71"/>
  <c r="B14" i="71" s="1"/>
  <c r="B13" i="71" s="1"/>
  <c r="B12" i="71" s="1"/>
  <c r="S16" i="71"/>
  <c r="F7" i="36"/>
  <c r="S7" i="36" s="1"/>
  <c r="H7" i="36"/>
  <c r="AB7" i="36" s="1"/>
  <c r="T36" i="36" s="1"/>
  <c r="G36"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67"/>
  <c r="M17" i="15"/>
  <c r="P28" i="43"/>
  <c r="B66" i="40" s="1"/>
  <c r="P25" i="43"/>
  <c r="P29" i="43"/>
  <c r="P27" i="43"/>
  <c r="B70" i="39" s="1"/>
  <c r="M11" i="67"/>
  <c r="J10" i="67" s="1"/>
  <c r="J5" i="67" s="1"/>
  <c r="F11" i="15"/>
  <c r="M11" i="15"/>
  <c r="J10" i="15" s="1"/>
  <c r="F11" i="67"/>
  <c r="F1" i="15"/>
  <c r="Q52" i="15"/>
  <c r="J18" i="67"/>
  <c r="F1" i="67"/>
  <c r="Q52" i="67"/>
  <c r="Q60" i="15"/>
  <c r="Q73" i="15"/>
  <c r="Q74" i="15"/>
  <c r="Q61" i="15"/>
  <c r="AE11" i="1"/>
  <c r="AE6" i="1"/>
  <c r="AE9" i="1"/>
  <c r="AE7" i="1"/>
  <c r="AE8" i="1"/>
  <c r="AE12" i="1"/>
  <c r="AE10" i="1"/>
  <c r="F41" i="67"/>
  <c r="G1" i="73"/>
  <c r="F27" i="69"/>
  <c r="C16" i="67"/>
  <c r="E100" i="3" l="1"/>
  <c r="E215" i="3"/>
  <c r="E211" i="3"/>
  <c r="E468" i="3"/>
  <c r="E561" i="3"/>
  <c r="E395" i="3"/>
  <c r="E321" i="3"/>
  <c r="E222" i="3"/>
  <c r="E451" i="3"/>
  <c r="E242" i="3"/>
  <c r="E119" i="3"/>
  <c r="X6" i="3"/>
  <c r="E423" i="3"/>
  <c r="E161" i="3"/>
  <c r="E563" i="3"/>
  <c r="E387" i="3"/>
  <c r="E311" i="3"/>
  <c r="E509" i="3"/>
  <c r="E109" i="3"/>
  <c r="E182" i="3"/>
  <c r="E557" i="3"/>
  <c r="E327" i="3"/>
  <c r="E362" i="3"/>
  <c r="E577" i="3"/>
  <c r="E277" i="3"/>
  <c r="E399" i="3"/>
  <c r="E180" i="3"/>
  <c r="E143" i="3"/>
  <c r="E162" i="3"/>
  <c r="E31" i="3"/>
  <c r="E314" i="3"/>
  <c r="E294" i="3"/>
  <c r="E295" i="3"/>
  <c r="E256" i="3"/>
  <c r="E280" i="3"/>
  <c r="E97" i="3"/>
  <c r="E145" i="3"/>
  <c r="E82" i="3"/>
  <c r="E297" i="3"/>
  <c r="E58" i="3"/>
  <c r="E392" i="3"/>
  <c r="E419" i="3"/>
  <c r="E35" i="3"/>
  <c r="T6" i="3"/>
  <c r="E63" i="3"/>
  <c r="E510" i="3"/>
  <c r="E539" i="3"/>
  <c r="AP6" i="3"/>
  <c r="E349" i="3"/>
  <c r="E467" i="3"/>
  <c r="E371" i="3"/>
  <c r="E184" i="3"/>
  <c r="E283" i="3"/>
  <c r="E391" i="3"/>
  <c r="E174"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389" i="3"/>
  <c r="E160" i="3"/>
  <c r="E67" i="3"/>
  <c r="E309" i="3"/>
  <c r="E482" i="3"/>
  <c r="E34" i="3"/>
  <c r="E205" i="3"/>
  <c r="E405" i="3"/>
  <c r="E556" i="3"/>
  <c r="E41" i="3"/>
  <c r="E412" i="3"/>
  <c r="E49" i="3"/>
  <c r="E16" i="3"/>
  <c r="E564" i="3"/>
  <c r="E440" i="3"/>
  <c r="E463" i="3"/>
  <c r="E276" i="3"/>
  <c r="E540" i="3"/>
  <c r="E194" i="3"/>
  <c r="AQ6" i="3"/>
  <c r="E340" i="3"/>
  <c r="E365" i="3"/>
  <c r="E566" i="3"/>
  <c r="E521" i="3"/>
  <c r="E312" i="3"/>
  <c r="E446" i="3"/>
  <c r="E323" i="3"/>
  <c r="E266" i="3"/>
  <c r="E39" i="3"/>
  <c r="AD6" i="3"/>
  <c r="AC6" i="3" s="1"/>
  <c r="E187" i="3"/>
  <c r="E461" i="3"/>
  <c r="E313" i="3"/>
  <c r="E471" i="3"/>
  <c r="E14" i="3"/>
  <c r="U6" i="3"/>
  <c r="E71" i="3"/>
  <c r="AM6" i="3"/>
  <c r="E328" i="3"/>
  <c r="E523" i="3"/>
  <c r="E298" i="3"/>
  <c r="E213" i="3"/>
  <c r="E303" i="3"/>
  <c r="AA6" i="3"/>
  <c r="E262" i="3"/>
  <c r="E481" i="3"/>
  <c r="E496" i="3"/>
  <c r="E274" i="3"/>
  <c r="E252" i="3"/>
  <c r="P6" i="3"/>
  <c r="E404" i="3"/>
  <c r="E334" i="3"/>
  <c r="E553" i="3"/>
  <c r="E569" i="3"/>
  <c r="E551" i="3"/>
  <c r="E230" i="3"/>
  <c r="E260" i="3"/>
  <c r="E382" i="3"/>
  <c r="E583" i="3"/>
  <c r="E511" i="3"/>
  <c r="E458" i="3"/>
  <c r="E450" i="3"/>
  <c r="E279" i="3"/>
  <c r="E567" i="3"/>
  <c r="E107" i="3"/>
  <c r="E414" i="3"/>
  <c r="E476" i="3"/>
  <c r="E186" i="3"/>
  <c r="E44" i="3"/>
  <c r="E343" i="3"/>
  <c r="E555" i="3"/>
  <c r="E270" i="3"/>
  <c r="E538" i="3"/>
  <c r="E216" i="3"/>
  <c r="E183" i="3"/>
  <c r="E554" i="3"/>
  <c r="E59" i="3"/>
  <c r="E267" i="3"/>
  <c r="E233" i="3"/>
  <c r="E494" i="3"/>
  <c r="E18" i="3"/>
  <c r="E102" i="3"/>
  <c r="E197" i="3"/>
  <c r="E456" i="3"/>
  <c r="E13" i="3"/>
  <c r="E115" i="3"/>
  <c r="E190" i="3"/>
  <c r="E80" i="3"/>
  <c r="E188" i="3"/>
  <c r="E543" i="3"/>
  <c r="AH6" i="3"/>
  <c r="E25" i="3"/>
  <c r="E346" i="3"/>
  <c r="E15" i="3"/>
  <c r="E234" i="3"/>
  <c r="E36" i="3"/>
  <c r="E20" i="3"/>
  <c r="E524" i="3"/>
  <c r="E460" i="3"/>
  <c r="E24" i="3"/>
  <c r="E416" i="3"/>
  <c r="E138" i="3"/>
  <c r="E464" i="3"/>
  <c r="E584" i="3"/>
  <c r="E462" i="3"/>
  <c r="E195" i="3"/>
  <c r="E504" i="3"/>
  <c r="E136" i="3"/>
  <c r="E474" i="3"/>
  <c r="E54" i="3"/>
  <c r="E93" i="3"/>
  <c r="E548" i="3"/>
  <c r="E92" i="3"/>
  <c r="E53" i="3"/>
  <c r="E359" i="3"/>
  <c r="E506" i="3"/>
  <c r="E169" i="3"/>
  <c r="E302" i="3"/>
  <c r="E402" i="3"/>
  <c r="E156" i="3"/>
  <c r="E177" i="3"/>
  <c r="E424" i="3"/>
  <c r="E55" i="3"/>
  <c r="E580" i="3"/>
  <c r="E164" i="3"/>
  <c r="E443" i="3"/>
  <c r="E121" i="3"/>
  <c r="E30" i="3"/>
  <c r="E282" i="3"/>
  <c r="E229" i="3"/>
  <c r="V6" i="3"/>
  <c r="E130" i="3"/>
  <c r="E117" i="3"/>
  <c r="E578" i="3"/>
  <c r="E253" i="3"/>
  <c r="E45" i="3"/>
  <c r="E527" i="3"/>
  <c r="E433" i="3"/>
  <c r="E351" i="3"/>
  <c r="E549" i="3"/>
  <c r="E585" i="3"/>
  <c r="E477" i="3"/>
  <c r="E447" i="3"/>
  <c r="E210" i="3"/>
  <c r="E441" i="3"/>
  <c r="E305" i="3"/>
  <c r="E410" i="3"/>
  <c r="E533" i="3"/>
  <c r="E439" i="3"/>
  <c r="E185" i="3"/>
  <c r="E361" i="3"/>
  <c r="E134" i="3"/>
  <c r="E495" i="3"/>
  <c r="E77" i="3"/>
  <c r="AK6" i="3"/>
  <c r="K6" i="3"/>
  <c r="H6" i="3" s="1"/>
  <c r="E465" i="3"/>
  <c r="E454" i="3"/>
  <c r="E214" i="3"/>
  <c r="E227" i="3"/>
  <c r="E536" i="3"/>
  <c r="E37" i="3"/>
  <c r="E409" i="3"/>
  <c r="E310" i="3"/>
  <c r="E68" i="3"/>
  <c r="E198" i="3"/>
  <c r="E235" i="3"/>
  <c r="E113" i="3"/>
  <c r="E173" i="3"/>
  <c r="E408" i="3"/>
  <c r="E470" i="3"/>
  <c r="E225" i="3"/>
  <c r="E324" i="3"/>
  <c r="E158" i="3"/>
  <c r="E116" i="3"/>
  <c r="E507" i="3"/>
  <c r="J6" i="3"/>
  <c r="E108" i="3"/>
  <c r="L6" i="3"/>
  <c r="E79" i="3"/>
  <c r="E299" i="3"/>
  <c r="E123" i="3"/>
  <c r="E62" i="3"/>
  <c r="E165" i="3"/>
  <c r="E348" i="3"/>
  <c r="E250" i="3"/>
  <c r="E500" i="3"/>
  <c r="E48" i="3"/>
  <c r="E436" i="3"/>
  <c r="E341" i="3"/>
  <c r="E66" i="3"/>
  <c r="E87" i="3"/>
  <c r="E307" i="3"/>
  <c r="E157" i="3"/>
  <c r="E438" i="3"/>
  <c r="E168" i="3"/>
  <c r="E207" i="3"/>
  <c r="E367" i="3"/>
  <c r="E126" i="3"/>
  <c r="E501" i="3"/>
  <c r="E285" i="3"/>
  <c r="E418" i="3"/>
  <c r="E304" i="3"/>
  <c r="E221" i="3"/>
  <c r="AN6" i="3"/>
  <c r="E434" i="3"/>
  <c r="E330" i="3"/>
  <c r="E344" i="3"/>
  <c r="E203" i="3"/>
  <c r="E32" i="3"/>
  <c r="E576" i="3"/>
  <c r="E581" i="3"/>
  <c r="E166" i="3"/>
  <c r="E480" i="3"/>
  <c r="E239" i="3"/>
  <c r="E151" i="3"/>
  <c r="E407" i="3"/>
  <c r="E415" i="3"/>
  <c r="E290" i="3"/>
  <c r="E518" i="3"/>
  <c r="E85" i="3"/>
  <c r="E193" i="3"/>
  <c r="E457"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F27" i="68"/>
  <c r="C47" i="68" s="1"/>
  <c r="D45" i="68" s="1"/>
  <c r="E378" i="3"/>
  <c r="E248" i="3"/>
  <c r="E131" i="3"/>
  <c r="E139" i="3"/>
  <c r="E369" i="3"/>
  <c r="E94" i="3"/>
  <c r="E219" i="3"/>
  <c r="E275" i="3"/>
  <c r="E148" i="3"/>
  <c r="E246" i="3"/>
  <c r="E263" i="3"/>
  <c r="E535" i="3"/>
  <c r="E69" i="3"/>
  <c r="AB6" i="3"/>
  <c r="E201" i="3"/>
  <c r="E322" i="3"/>
  <c r="E572" i="3"/>
  <c r="E70" i="3"/>
  <c r="E400" i="3"/>
  <c r="E204" i="3"/>
  <c r="E171" i="3"/>
  <c r="E406" i="3"/>
  <c r="E545" i="3"/>
  <c r="E586" i="3"/>
  <c r="E528" i="3"/>
  <c r="E388" i="3"/>
  <c r="AS6" i="3"/>
  <c r="E150" i="3"/>
  <c r="E336" i="3"/>
  <c r="E358" i="3"/>
  <c r="E444" i="3"/>
  <c r="E429" i="3"/>
  <c r="E254" i="3"/>
  <c r="E426" i="3"/>
  <c r="E357" i="3"/>
  <c r="E154" i="3"/>
  <c r="E284" i="3"/>
  <c r="E552" i="3"/>
  <c r="E38" i="3"/>
  <c r="E422" i="3"/>
  <c r="E428" i="3"/>
  <c r="E308" i="3"/>
  <c r="E84" i="3"/>
  <c r="AY6" i="3"/>
  <c r="E118" i="3"/>
  <c r="E487" i="3"/>
  <c r="E296" i="3"/>
  <c r="E200" i="3"/>
  <c r="E385" i="3"/>
  <c r="E191" i="3"/>
  <c r="E445" i="3"/>
  <c r="E189" i="3"/>
  <c r="M6" i="3"/>
  <c r="E431" i="3"/>
  <c r="E268" i="3"/>
  <c r="E377" i="3"/>
  <c r="E489" i="3"/>
  <c r="E485" i="3"/>
  <c r="E89" i="3"/>
  <c r="E146" i="3"/>
  <c r="E472" i="3"/>
  <c r="E181" i="3"/>
  <c r="E350" i="3"/>
  <c r="E231" i="3"/>
  <c r="E530" i="3"/>
  <c r="E478" i="3"/>
  <c r="E571" i="3"/>
  <c r="E61" i="3"/>
  <c r="E516" i="3"/>
  <c r="E448" i="3"/>
  <c r="Q6" i="3"/>
  <c r="E565" i="3"/>
  <c r="E317" i="3"/>
  <c r="W6" i="3"/>
  <c r="E179" i="3"/>
  <c r="E110" i="3"/>
  <c r="E176" i="3"/>
  <c r="E60" i="3"/>
  <c r="E393" i="3"/>
  <c r="E420" i="3"/>
  <c r="E86" i="3"/>
  <c r="E64" i="3"/>
  <c r="W7" i="36"/>
  <c r="U7" i="36"/>
  <c r="AA7" i="36"/>
  <c r="R36" i="36" s="1"/>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41" i="3"/>
  <c r="E417" i="3"/>
  <c r="E449" i="3"/>
  <c r="E575" i="3"/>
  <c r="E206" i="3"/>
  <c r="E383" i="3"/>
  <c r="E96" i="3"/>
  <c r="E42" i="3"/>
  <c r="E281" i="3"/>
  <c r="E513" i="3"/>
  <c r="E81" i="3"/>
  <c r="E355" i="3"/>
  <c r="E33" i="3"/>
  <c r="E492" i="3"/>
  <c r="E249" i="3"/>
  <c r="E46" i="3"/>
  <c r="E484" i="3"/>
  <c r="E544" i="3"/>
  <c r="E258" i="3"/>
  <c r="E491" i="3"/>
  <c r="E430" i="3"/>
  <c r="E286" i="3"/>
  <c r="F27" i="11"/>
  <c r="C29" i="11" s="1"/>
  <c r="D27" i="11" s="1"/>
  <c r="D26" i="43"/>
  <c r="C25" i="43" s="1"/>
  <c r="E3" i="6"/>
  <c r="C47" i="69"/>
  <c r="D45" i="69" s="1"/>
  <c r="F10" i="40"/>
  <c r="S10" i="40" s="1"/>
  <c r="AA10" i="39"/>
  <c r="H10" i="40"/>
  <c r="AB10" i="40" s="1"/>
  <c r="J10" i="40"/>
  <c r="AC10" i="40" s="1"/>
  <c r="H10" i="39"/>
  <c r="U10" i="39" s="1"/>
  <c r="J10" i="39"/>
  <c r="W10" i="39" s="1"/>
  <c r="F45" i="69"/>
  <c r="C29" i="69"/>
  <c r="D27" i="69" s="1"/>
  <c r="J5" i="15"/>
  <c r="J24" i="15" s="1"/>
  <c r="Q74" i="67"/>
  <c r="Q73" i="67"/>
  <c r="F59" i="15"/>
  <c r="C49" i="67"/>
  <c r="E292" i="3"/>
  <c r="E152" i="3"/>
  <c r="E479" i="3"/>
  <c r="E517" i="3"/>
  <c r="E255" i="3"/>
  <c r="E466" i="3"/>
  <c r="E499" i="3"/>
  <c r="E212" i="3"/>
  <c r="C36" i="71"/>
  <c r="D35" i="71"/>
  <c r="D56" i="71"/>
  <c r="T56" i="71"/>
  <c r="T40" i="71"/>
  <c r="D40" i="71"/>
  <c r="O65" i="71"/>
  <c r="D66" i="71"/>
  <c r="O66" i="71"/>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15"/>
  <c r="M27" i="67"/>
  <c r="M27" i="15"/>
  <c r="AC10" i="39" l="1"/>
  <c r="U10" i="40"/>
  <c r="W10" i="40"/>
  <c r="F25" i="12"/>
  <c r="C26" i="12" s="1"/>
  <c r="D25" i="12" s="1"/>
  <c r="C48" i="67"/>
  <c r="C60" i="67" s="1"/>
  <c r="AA10" i="40"/>
  <c r="F22" i="68"/>
  <c r="F41" i="68" s="1"/>
  <c r="D116" i="43"/>
  <c r="T36" i="71"/>
  <c r="D36" i="7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67"/>
  <c r="D10" i="69"/>
  <c r="C17" i="15"/>
  <c r="C14" i="67"/>
  <c r="C34" i="69"/>
  <c r="H21" i="6" l="1"/>
  <c r="H24" i="6"/>
  <c r="C66" i="67"/>
  <c r="C44" i="11"/>
  <c r="D41" i="11" s="1"/>
  <c r="C23" i="68"/>
  <c r="H22" i="6"/>
  <c r="C44" i="68"/>
  <c r="D41" i="68" s="1"/>
  <c r="H25" i="6"/>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C8" i="71" l="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D19" i="9"/>
  <c r="AO9" i="1"/>
  <c r="AO8" i="1"/>
  <c r="AO7" i="1"/>
  <c r="AO6" i="1"/>
  <c r="AO11" i="1"/>
  <c r="AO12" i="1"/>
  <c r="D102" i="9" l="1"/>
  <c r="D21" i="9"/>
  <c r="D22" i="9"/>
  <c r="G19" i="9"/>
  <c r="G21" i="9" s="1"/>
  <c r="B3" i="36"/>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R24" i="31"/>
  <c r="C35" i="9"/>
  <c r="C34" i="9" s="1"/>
  <c r="D6" i="71"/>
  <c r="C5" i="71"/>
  <c r="D5" i="71" s="1"/>
  <c r="M24" i="43" s="1"/>
  <c r="C42" i="40"/>
  <c r="C43" i="40"/>
  <c r="E47" i="40"/>
  <c r="F47" i="40" s="1"/>
  <c r="E46" i="40"/>
  <c r="F46" i="40" s="1"/>
  <c r="I47" i="40"/>
  <c r="J47" i="40" s="1"/>
  <c r="S24" i="31" l="1"/>
  <c r="R116" i="31"/>
  <c r="S116" i="31" s="1"/>
  <c r="R100" i="31"/>
  <c r="S100" i="31" s="1"/>
  <c r="R84" i="31"/>
  <c r="S84" i="31" s="1"/>
  <c r="R68" i="31"/>
  <c r="S68" i="31" s="1"/>
  <c r="R52" i="31"/>
  <c r="S52" i="31" s="1"/>
  <c r="R36" i="31"/>
  <c r="S36"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28" i="31"/>
  <c r="S28" i="31" s="1"/>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78" i="31"/>
  <c r="S278"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85" i="31"/>
  <c r="S285"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112" i="31"/>
  <c r="S112" i="31" s="1"/>
  <c r="R96" i="31"/>
  <c r="S96" i="31" s="1"/>
  <c r="R80" i="31"/>
  <c r="S80" i="31" s="1"/>
  <c r="R64" i="31"/>
  <c r="S64" i="31" s="1"/>
  <c r="R48" i="31"/>
  <c r="S48" i="31" s="1"/>
  <c r="R32" i="31"/>
  <c r="S32"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283" i="31"/>
  <c r="S283"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74" i="31"/>
  <c r="S274"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81" i="31"/>
  <c r="S281"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34" i="31"/>
  <c r="S234" i="31" s="1"/>
  <c r="R108" i="31"/>
  <c r="S108" i="31" s="1"/>
  <c r="R92" i="31"/>
  <c r="S92" i="31" s="1"/>
  <c r="R76" i="31"/>
  <c r="S76" i="31" s="1"/>
  <c r="R60" i="31"/>
  <c r="S60" i="31" s="1"/>
  <c r="R44" i="31"/>
  <c r="S44"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279" i="31"/>
  <c r="S279"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86" i="31"/>
  <c r="S286"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77" i="31"/>
  <c r="S277"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18" i="31"/>
  <c r="S218" i="31" s="1"/>
  <c r="R104" i="31"/>
  <c r="S104" i="31" s="1"/>
  <c r="R88" i="31"/>
  <c r="S88" i="31" s="1"/>
  <c r="R72" i="31"/>
  <c r="S72" i="31" s="1"/>
  <c r="R56" i="31"/>
  <c r="S56" i="31" s="1"/>
  <c r="R40" i="31"/>
  <c r="S40"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275" i="31"/>
  <c r="S275"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82" i="31"/>
  <c r="S282" i="31" s="1"/>
  <c r="R266" i="31"/>
  <c r="S266" i="31" s="1"/>
  <c r="R250" i="31"/>
  <c r="S250"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73" i="31"/>
  <c r="S273"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B20" i="31" l="1"/>
  <c r="B6" i="74"/>
  <c r="D6" i="74" s="1"/>
  <c r="B21" i="31" l="1"/>
  <c r="D14" i="74"/>
  <c r="E14" i="74" l="1"/>
  <c r="F14" i="74"/>
  <c r="B5" i="74"/>
  <c r="D5" i="74" l="1"/>
  <c r="C5" i="74"/>
  <c r="C105" i="9"/>
  <c r="I4" i="52"/>
  <c r="B49" i="72"/>
  <c r="C81" i="9"/>
  <c r="B30" i="72"/>
  <c r="N58" i="9"/>
  <c r="P57" i="9"/>
  <c r="C73" i="9"/>
  <c r="M48" i="9"/>
  <c r="D53" i="9"/>
  <c r="C78" i="9"/>
  <c r="D52" i="9"/>
  <c r="B22" i="72"/>
  <c r="H5" i="52"/>
  <c r="B53" i="72"/>
  <c r="D5" i="52"/>
  <c r="H4" i="52"/>
  <c r="H119" i="9"/>
  <c r="C104" i="9"/>
  <c r="D9" i="52"/>
  <c r="B47" i="72"/>
  <c r="H102" i="9"/>
  <c r="D7" i="53"/>
  <c r="B21" i="72"/>
  <c r="N60" i="9"/>
  <c r="N59" i="9"/>
  <c r="N61" i="9"/>
  <c r="C6" i="74"/>
  <c r="M54" i="9"/>
  <c r="E81" i="9"/>
  <c r="C96" i="9"/>
  <c r="E96" i="9"/>
  <c r="E97" i="9"/>
  <c r="C93" i="9"/>
  <c r="C86" i="9"/>
  <c r="C68" i="9"/>
  <c r="D54" i="9"/>
  <c r="D119" i="9"/>
  <c r="D118" i="9"/>
  <c r="D4" i="52"/>
  <c r="D55" i="9"/>
  <c r="M53" i="9"/>
  <c r="N57" i="9"/>
  <c r="D8" i="52"/>
  <c r="D122" i="9"/>
  <c r="D123" i="9"/>
  <c r="D13" i="53"/>
  <c r="D14" i="53"/>
  <c r="B32" i="72"/>
  <c r="D59" i="9"/>
  <c r="M55" i="9"/>
  <c r="E118" i="9"/>
  <c r="E4" i="52"/>
  <c r="B48" i="72"/>
  <c r="C64" i="9"/>
  <c r="C63" i="9"/>
  <c r="C67" i="9"/>
  <c r="F119" i="9"/>
  <c r="F5" i="52"/>
  <c r="G4" i="52"/>
  <c r="B52" i="72"/>
  <c r="B20" i="72"/>
  <c r="D5" i="53"/>
  <c r="D6" i="53"/>
  <c r="G118" i="9"/>
  <c r="F118" i="9"/>
  <c r="F4" i="52"/>
  <c r="B51" i="72"/>
  <c r="H107" i="9"/>
  <c r="H108" i="9"/>
  <c r="D15" i="53"/>
  <c r="B31" i="72"/>
  <c r="C72" i="9"/>
  <c r="C79" i="9"/>
  <c r="C80" i="9"/>
  <c r="E80"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<sst xmlns="http://schemas.openxmlformats.org/spreadsheetml/2006/main" count="10512" uniqueCount="4401">
  <si>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</si>
  <si>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</si>
  <si>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</si>
  <si>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</si>
  <si>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</si>
  <si>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</si>
  <si>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</si>
  <si>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</si>
  <si>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</si>
  <si>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</si>
  <si>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</si>
  <si>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</si>
  <si>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</si>
  <si>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</si>
  <si>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</si>
  <si>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</si>
  <si>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</si>
  <si>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</si>
  <si>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</si>
  <si>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</si>
  <si>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</si>
  <si>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</si>
  <si>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</si>
  <si>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</si>
  <si>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</si>
  <si>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</si>
  <si>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</si>
  <si>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</si>
  <si>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</si>
  <si>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</si>
  <si>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</si>
  <si>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</si>
  <si>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</si>
  <si>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</si>
  <si>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</si>
  <si>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</si>
  <si>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</si>
  <si>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</si>
  <si>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</si>
  <si>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</si>
  <si>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</si>
  <si>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</si>
  <si>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</si>
  <si>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</si>
  <si>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</si>
  <si>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</si>
  <si>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</si>
  <si>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</si>
  <si>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</si>
  <si>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</si>
  <si>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</si>
  <si>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</si>
  <si>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</si>
  <si>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</si>
  <si>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</si>
  <si>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</si>
  <si>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</si>
  <si>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</si>
  <si>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</si>
  <si>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</si>
  <si>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</si>
  <si>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</si>
  <si>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</si>
  <si>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</si>
  <si>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</si>
  <si>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</si>
  <si>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</si>
  <si>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</si>
  <si>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</si>
  <si>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</si>
  <si>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</si>
  <si>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</si>
  <si>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</si>
  <si>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</si>
  <si>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</si>
  <si>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</si>
  <si>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</si>
  <si>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</si>
  <si>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</si>
  <si>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</si>
  <si>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</si>
  <si>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</si>
  <si>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</si>
  <si>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</si>
  <si>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</si>
  <si>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</si>
  <si>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</si>
  <si>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</si>
  <si>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</si>
  <si>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</si>
  <si>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</si>
  <si>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</si>
  <si>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</si>
  <si>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</si>
  <si>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</si>
  <si>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</si>
  <si>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</si>
  <si>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</si>
  <si>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</si>
  <si>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</si>
  <si>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</si>
  <si>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</si>
  <si>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</si>
  <si>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</si>
  <si>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</si>
  <si>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</si>
  <si>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</si>
  <si>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</si>
  <si>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</si>
  <si>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</si>
  <si>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</si>
  <si>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</si>
  <si>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</si>
  <si>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</si>
  <si>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</si>
  <si>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</si>
  <si>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</si>
  <si>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</si>
  <si>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</si>
  <si>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</si>
  <si>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</si>
  <si>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</si>
  <si>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</si>
  <si>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</si>
  <si>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</si>
  <si>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</si>
  <si>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</si>
  <si>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</si>
  <si>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</si>
  <si>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</si>
  <si>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</si>
  <si>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</si>
  <si>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</si>
  <si>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</si>
  <si>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</si>
  <si>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</si>
  <si>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</si>
  <si>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</si>
  <si>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</si>
  <si>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</si>
  <si>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</si>
  <si>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</si>
  <si>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</si>
  <si>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</si>
  <si>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</si>
  <si>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</si>
  <si>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</si>
  <si>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</si>
  <si>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</si>
  <si>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</si>
  <si>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</si>
  <si>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</si>
  <si>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</si>
  <si>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</si>
  <si>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</si>
  <si>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</si>
  <si>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</si>
  <si>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</si>
  <si>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</si>
  <si>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</si>
  <si>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</si>
  <si>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</si>
  <si>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</si>
  <si>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</si>
  <si>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</si>
  <si>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</si>
  <si>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</si>
  <si>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</si>
  <si>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</si>
  <si>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</si>
  <si>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</si>
  <si>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</si>
  <si>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</si>
  <si>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</si>
  <si>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</si>
  <si>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</si>
  <si>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</si>
  <si>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</si>
  <si>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</si>
  <si>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</si>
  <si>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</si>
  <si>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</si>
  <si>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</si>
  <si>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</si>
  <si>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</si>
  <si>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</si>
  <si>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</si>
  <si>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</si>
  <si>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</si>
  <si>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</si>
  <si>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</si>
  <si>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</si>
  <si>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</si>
  <si>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</si>
  <si>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</si>
  <si>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</si>
  <si>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</si>
  <si>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</si>
  <si>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</si>
  <si>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</si>
  <si>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</si>
  <si>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</si>
  <si>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</si>
  <si>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</si>
  <si>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</si>
  <si>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</si>
  <si>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</si>
  <si>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</si>
  <si>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</si>
  <si>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</si>
  <si>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</si>
  <si>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</si>
  <si>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</si>
  <si>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</si>
  <si>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</si>
  <si>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</si>
  <si>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</si>
  <si>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</si>
  <si>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</si>
  <si>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</si>
  <si>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</si>
  <si>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</si>
  <si>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</si>
  <si>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</si>
  <si>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</si>
  <si>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</si>
  <si>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</si>
  <si>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</si>
  <si>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</si>
  <si>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</si>
  <si>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</si>
  <si>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</si>
  <si>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</si>
  <si>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</si>
  <si>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</si>
  <si>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</si>
  <si>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</si>
  <si>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</si>
  <si>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</si>
  <si>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</si>
  <si>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</si>
  <si>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</si>
  <si>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</si>
  <si>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</si>
  <si>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</si>
  <si>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</si>
  <si>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</si>
  <si>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</si>
  <si>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</si>
  <si>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</si>
  <si>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</si>
  <si>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</si>
  <si>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</si>
  <si>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</si>
  <si>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</si>
  <si>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</si>
  <si>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</si>
  <si>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</si>
  <si>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</si>
  <si>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</si>
  <si>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</si>
  <si>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</si>
  <si>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</si>
  <si>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</si>
  <si>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</si>
  <si>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</si>
  <si>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</si>
  <si>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</si>
  <si>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</si>
  <si>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</si>
  <si>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</si>
  <si>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</si>
  <si>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</si>
  <si>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</si>
  <si>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</si>
  <si>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</si>
  <si>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</si>
  <si>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</si>
  <si>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</si>
  <si>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</si>
  <si>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</si>
  <si>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</si>
  <si>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</si>
  <si>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</si>
  <si>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</si>
  <si>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</si>
  <si>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</si>
  <si>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</si>
  <si>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</si>
  <si>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</si>
  <si>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</si>
  <si>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</si>
  <si>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</si>
  <si>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</si>
  <si>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</si>
  <si>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</si>
  <si>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</si>
  <si>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</si>
  <si>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</si>
  <si>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</si>
  <si>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</si>
  <si>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</si>
  <si>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</si>
  <si>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</si>
  <si>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</si>
  <si>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</si>
  <si>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</si>
  <si>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</si>
  <si>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</si>
  <si>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</si>
  <si>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</si>
  <si>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</si>
  <si>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</si>
  <si>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</si>
  <si>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</si>
  <si>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</si>
  <si>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</si>
  <si>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</si>
  <si>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</si>
  <si>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</si>
  <si>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</si>
  <si>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</si>
  <si>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</si>
  <si>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</si>
  <si>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</si>
  <si>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</si>
  <si>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</si>
  <si>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</si>
  <si>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</si>
  <si>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</si>
  <si>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</si>
  <si>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</si>
  <si>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</si>
  <si>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</si>
  <si>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</si>
  <si>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</si>
  <si>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</si>
  <si>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</si>
  <si>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</si>
  <si>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</si>
  <si>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</si>
  <si>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</si>
  <si>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</si>
  <si>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</si>
  <si>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</si>
  <si>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</si>
  <si>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</si>
  <si>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</si>
  <si>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</si>
  <si>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</si>
  <si>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</si>
  <si>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</si>
  <si>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</si>
  <si>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</si>
  <si>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</si>
  <si>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</si>
  <si>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</si>
  <si>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</si>
  <si>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</si>
  <si>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</si>
  <si>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</si>
  <si>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</si>
  <si>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</si>
  <si>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</si>
  <si>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</si>
  <si>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</si>
  <si>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</si>
  <si>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</si>
  <si>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</si>
  <si>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</si>
  <si>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</si>
  <si>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</si>
  <si>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</si>
  <si>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</si>
  <si>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</si>
  <si>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</si>
  <si>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</si>
  <si>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</si>
  <si>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</si>
  <si>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</si>
  <si>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</si>
  <si>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</si>
  <si>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</si>
  <si>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</si>
  <si>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</si>
  <si>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</si>
  <si>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</si>
  <si>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</si>
  <si>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</si>
  <si>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</si>
  <si>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</si>
  <si>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</si>
  <si>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</si>
  <si>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</si>
  <si>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</si>
  <si>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</si>
  <si>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</si>
  <si>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</si>
  <si>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</si>
  <si>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</si>
  <si>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</si>
  <si>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</si>
  <si>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</si>
  <si>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</si>
  <si>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</si>
  <si>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</si>
  <si>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</si>
  <si>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</si>
  <si>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</si>
  <si>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</si>
  <si>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</si>
  <si>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</si>
  <si>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</si>
  <si>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</si>
  <si>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</si>
  <si>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</si>
  <si>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</si>
  <si>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</si>
  <si>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</si>
  <si>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</si>
  <si>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</si>
  <si>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</si>
  <si>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</si>
  <si>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</si>
  <si>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</si>
  <si>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</si>
  <si>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</si>
  <si>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</si>
  <si>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</si>
  <si>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</si>
  <si>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</si>
  <si>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</si>
  <si>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</si>
  <si>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</si>
  <si>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</si>
  <si>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</si>
  <si>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</si>
  <si>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</si>
  <si>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</si>
  <si>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</si>
  <si>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</si>
  <si>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</si>
  <si>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</si>
  <si>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</si>
  <si>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</si>
  <si>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</si>
  <si>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</si>
  <si>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</si>
  <si>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</si>
  <si>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</si>
  <si>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</si>
  <si>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</si>
  <si>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</si>
  <si>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</si>
  <si>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</si>
  <si>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</si>
  <si>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</si>
  <si>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</si>
  <si>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</si>
  <si>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</si>
  <si>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</si>
  <si>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</si>
  <si>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</si>
  <si>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</si>
  <si>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</si>
  <si>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</si>
  <si>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</si>
  <si>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</si>
  <si>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</si>
  <si>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</si>
  <si>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</si>
  <si>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</si>
  <si>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</si>
  <si>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</si>
  <si>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</si>
  <si>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</si>
  <si>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</si>
  <si>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</si>
  <si>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</si>
  <si>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</si>
  <si>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</si>
  <si>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</si>
  <si>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</si>
  <si>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</si>
  <si>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</si>
  <si>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</si>
  <si>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</si>
  <si>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</si>
  <si>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</si>
  <si>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</si>
  <si>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</si>
  <si>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</si>
  <si>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</si>
  <si>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</si>
  <si>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</si>
  <si>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</si>
  <si>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</si>
  <si>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</si>
  <si>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</si>
  <si>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</si>
  <si>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</si>
  <si>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</si>
  <si>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</si>
  <si>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</si>
  <si>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</si>
  <si>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</si>
  <si>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</si>
  <si>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</si>
  <si>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</si>
  <si>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</si>
  <si>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</si>
  <si>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</si>
  <si>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</si>
  <si>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</si>
  <si>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</si>
  <si>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</si>
  <si>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</si>
  <si>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</si>
  <si>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</si>
  <si>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</si>
  <si>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</si>
  <si>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</si>
  <si>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</si>
  <si>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</si>
  <si>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</si>
  <si>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</si>
  <si>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</si>
  <si>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</si>
  <si>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</si>
  <si>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</si>
  <si>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</si>
  <si>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</si>
  <si>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</si>
  <si>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</si>
  <si>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</si>
  <si>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</si>
  <si>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</si>
  <si>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</si>
  <si>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</si>
  <si>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</si>
  <si>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</si>
  <si>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</si>
  <si>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</si>
  <si>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</si>
  <si>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</si>
  <si>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</si>
  <si>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</si>
  <si>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</si>
  <si>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</si>
  <si>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</si>
  <si>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</si>
  <si>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</si>
  <si>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</si>
  <si>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</si>
  <si>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</si>
  <si>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</si>
  <si>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</si>
  <si>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</si>
  <si>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</si>
  <si>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</si>
  <si>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</si>
  <si>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</si>
  <si>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</si>
  <si>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</si>
  <si>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</si>
  <si>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</si>
  <si>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</si>
  <si>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</si>
  <si>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</si>
  <si>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</si>
  <si>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</si>
  <si>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</si>
  <si>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</si>
  <si>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</si>
  <si>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</si>
  <si>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</si>
  <si>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</si>
  <si>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</si>
  <si>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</si>
  <si>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</si>
  <si>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</si>
  <si>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</si>
  <si>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</si>
  <si>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</si>
  <si>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</si>
  <si>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</si>
  <si>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</si>
  <si>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</si>
  <si>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</si>
  <si>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</si>
  <si>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</si>
  <si>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</si>
  <si>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</si>
  <si>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</si>
  <si>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</si>
  <si>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</si>
  <si>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</si>
  <si>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</si>
  <si>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</si>
  <si>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</si>
  <si>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</si>
  <si>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</si>
  <si>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</si>
  <si>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</si>
  <si>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</si>
  <si>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</si>
  <si>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</si>
  <si>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</si>
  <si>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</si>
  <si>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</si>
  <si>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</si>
  <si>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</si>
  <si>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</si>
  <si>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</si>
  <si>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</si>
  <si>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</si>
  <si>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</si>
  <si>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</si>
  <si>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</si>
  <si>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</si>
  <si>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</si>
  <si>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</si>
  <si>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</si>
  <si>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</si>
  <si>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</si>
  <si>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</si>
  <si>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</si>
  <si>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</si>
  <si>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</si>
  <si>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</si>
  <si>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</si>
  <si>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</si>
  <si>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</si>
  <si>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</si>
  <si>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</si>
  <si>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</si>
  <si>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</si>
  <si>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</si>
  <si>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</si>
  <si>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</si>
  <si>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</si>
  <si>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</si>
  <si>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</si>
  <si>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</si>
  <si>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</si>
  <si>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</si>
  <si>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</si>
  <si>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</si>
  <si>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</si>
  <si>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</si>
  <si>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</si>
  <si>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</si>
  <si>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</si>
  <si>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</si>
  <si>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</si>
  <si>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</si>
  <si>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</si>
  <si>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</si>
  <si>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</si>
  <si>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</si>
  <si>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</si>
  <si>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</si>
  <si>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</si>
  <si>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</si>
  <si>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</si>
  <si>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</si>
  <si>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</si>
  <si>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</si>
  <si>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</si>
  <si>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</si>
  <si>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</si>
  <si>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</si>
  <si>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</si>
  <si>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</si>
  <si>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</si>
  <si>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</si>
  <si>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</si>
  <si>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</si>
  <si>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</si>
  <si>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</si>
  <si>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</si>
  <si>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</si>
  <si>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</si>
  <si>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</si>
  <si>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</si>
  <si>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</si>
  <si>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</si>
  <si>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</si>
  <si>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</si>
  <si>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</si>
  <si>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</si>
  <si>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</si>
  <si>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</si>
  <si>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</si>
  <si>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</si>
  <si>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</si>
  <si>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</si>
  <si>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</si>
  <si>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</si>
  <si>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</si>
  <si>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</si>
  <si>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</si>
  <si>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</si>
  <si>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</si>
  <si>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</si>
  <si>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</si>
  <si>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</si>
  <si>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</si>
  <si>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</si>
  <si>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</si>
  <si>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</si>
  <si>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</si>
  <si>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</si>
  <si>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</si>
  <si>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</si>
  <si>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</si>
  <si>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</si>
  <si>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</si>
  <si>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</si>
  <si>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</si>
  <si>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</si>
  <si>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</si>
  <si>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</si>
  <si>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</si>
  <si>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</si>
  <si>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</si>
  <si>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</si>
  <si>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</si>
  <si>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</si>
  <si>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</si>
  <si>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</si>
  <si>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</si>
  <si>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</si>
  <si>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</si>
  <si>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</si>
  <si>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</si>
  <si>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</si>
  <si>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</si>
  <si>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</si>
  <si>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</si>
  <si>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</si>
  <si>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</si>
  <si>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</si>
  <si>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</si>
  <si>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</si>
  <si>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</si>
  <si>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</si>
  <si>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</si>
  <si>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</si>
  <si>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</si>
  <si>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</si>
  <si>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</si>
  <si>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</si>
  <si>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</si>
  <si>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</si>
  <si>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</si>
  <si>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</si>
  <si>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</si>
  <si>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</si>
  <si>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</si>
  <si>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</si>
  <si>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</si>
  <si>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</si>
  <si>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</si>
  <si>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</si>
  <si>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</si>
  <si>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</si>
  <si>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</si>
  <si>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</si>
  <si>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</si>
  <si>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</si>
  <si>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</si>
  <si>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</si>
  <si>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</si>
  <si>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</si>
  <si>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</si>
  <si>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</si>
  <si>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</si>
  <si>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</si>
  <si>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</si>
  <si>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</si>
  <si>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</si>
  <si>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</si>
  <si>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</si>
  <si>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</si>
  <si>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</si>
  <si>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</si>
  <si>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</si>
  <si>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</si>
  <si>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</si>
  <si>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</si>
  <si>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</si>
  <si>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</si>
  <si>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</si>
  <si>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</si>
  <si>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</si>
  <si>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</si>
  <si>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</si>
  <si>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</si>
  <si>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</si>
  <si>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</si>
  <si>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</si>
  <si>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</si>
  <si>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</si>
  <si>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</si>
  <si>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</si>
  <si>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</si>
  <si>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</si>
  <si>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</si>
  <si>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</si>
  <si>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</si>
  <si>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</si>
  <si>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</si>
  <si>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</si>
  <si>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</si>
  <si>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</si>
  <si>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</si>
  <si>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</si>
  <si>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</si>
  <si>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</si>
  <si>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</si>
  <si>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</si>
  <si>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</si>
  <si>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</si>
  <si>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</si>
  <si>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</si>
  <si>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</si>
  <si>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</si>
  <si>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</si>
  <si>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</si>
  <si>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</si>
  <si>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</si>
  <si>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</si>
  <si>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</si>
  <si>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</si>
  <si>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</si>
  <si>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</si>
  <si>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</si>
  <si>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</si>
  <si>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</si>
  <si>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</si>
  <si>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</si>
  <si>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</si>
  <si>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</si>
  <si>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</si>
  <si>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</si>
  <si>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</si>
  <si>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</si>
  <si>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</si>
  <si>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</si>
  <si>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</si>
  <si>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</si>
  <si>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</si>
  <si>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</si>
  <si>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</si>
  <si>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</si>
  <si>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</si>
  <si>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</si>
  <si>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</si>
  <si>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</si>
  <si>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</si>
  <si>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</si>
  <si>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</si>
  <si>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</si>
  <si>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</si>
  <si>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</si>
  <si>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</si>
  <si>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</si>
  <si>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</si>
  <si>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</si>
  <si>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</si>
  <si>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</si>
  <si>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</si>
  <si>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</si>
  <si>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</si>
  <si>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</si>
  <si>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</si>
  <si>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</si>
  <si>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</si>
  <si>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</si>
  <si>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</si>
  <si>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</si>
  <si>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</si>
  <si>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</si>
  <si>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</si>
  <si>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</si>
  <si>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</si>
  <si>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</si>
  <si>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</si>
  <si>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</si>
  <si>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</si>
  <si>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</si>
  <si>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</si>
  <si>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</si>
  <si>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</si>
  <si>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</si>
  <si>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</si>
  <si>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</si>
  <si>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</si>
  <si>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</si>
  <si>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</si>
  <si>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</si>
  <si>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</si>
  <si>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</si>
  <si>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</si>
  <si>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</si>
  <si>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</si>
  <si>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</si>
  <si>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</si>
  <si>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</si>
  <si>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</si>
  <si>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</si>
  <si>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</si>
  <si>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</si>
  <si>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</si>
  <si>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</si>
  <si>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</si>
  <si>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</si>
  <si>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</si>
  <si>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</si>
  <si>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</si>
  <si>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</si>
  <si>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</si>
  <si>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</si>
  <si>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</si>
  <si>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</si>
  <si>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</si>
  <si>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</si>
  <si>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</si>
  <si>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</si>
  <si>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</si>
  <si>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</si>
  <si>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</si>
  <si>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</si>
  <si>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</si>
  <si>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</si>
  <si>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</si>
  <si>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</si>
  <si>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</si>
  <si>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</si>
  <si>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</si>
  <si>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</si>
  <si>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</si>
  <si>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</si>
  <si>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</si>
  <si>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</si>
  <si>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</si>
  <si>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</si>
  <si>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</si>
  <si>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</si>
  <si>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</si>
  <si>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</si>
  <si>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</si>
  <si>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</si>
  <si>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</si>
  <si>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</si>
  <si>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</si>
  <si>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</si>
  <si>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</si>
  <si>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</si>
  <si>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</si>
  <si>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</si>
  <si>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</si>
  <si>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</si>
  <si>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</si>
  <si>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</si>
  <si>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</si>
  <si>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</si>
  <si>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</si>
  <si>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</si>
  <si>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</si>
  <si>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</si>
  <si>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</si>
  <si>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</si>
  <si>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</si>
  <si>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</si>
  <si>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</si>
  <si>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</si>
  <si>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</si>
  <si>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</si>
  <si>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</si>
  <si>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</si>
  <si>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</si>
  <si>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</si>
  <si>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</si>
  <si>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</si>
  <si>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</si>
  <si>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</si>
  <si>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</si>
  <si>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</si>
  <si>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</si>
  <si>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</si>
  <si>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</si>
  <si>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</si>
  <si>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</si>
  <si>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</si>
  <si>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</si>
  <si>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</si>
  <si>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</si>
  <si>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</si>
  <si>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</si>
  <si>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</si>
  <si>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</si>
  <si>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</si>
  <si>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</si>
  <si>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</si>
  <si>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</si>
  <si>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</si>
  <si>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</si>
  <si>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</si>
  <si>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</si>
  <si>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</si>
  <si>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</si>
  <si>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</si>
  <si>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</si>
  <si>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</si>
  <si>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</si>
  <si>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</si>
  <si>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</si>
  <si>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</si>
  <si>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</si>
  <si>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</si>
  <si>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</si>
  <si>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</si>
  <si>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</si>
  <si>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</si>
  <si>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</si>
  <si>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</si>
  <si>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</si>
  <si>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</si>
  <si>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</si>
  <si>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</si>
  <si>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</si>
  <si>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</si>
  <si>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</si>
  <si>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</si>
  <si>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</si>
  <si>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</si>
  <si>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</si>
  <si>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</si>
  <si>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</si>
  <si>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</si>
  <si>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</si>
  <si>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</si>
  <si>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</si>
  <si>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</si>
  <si>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</si>
  <si>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</si>
  <si>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</si>
  <si>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</si>
  <si>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</si>
  <si>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</si>
  <si>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</si>
  <si>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</si>
  <si>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</si>
  <si>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</si>
  <si>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</si>
  <si>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</si>
  <si>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</si>
  <si>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</si>
  <si>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</si>
  <si>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</si>
  <si>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</si>
  <si>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</si>
  <si>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</si>
  <si>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</si>
  <si>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</si>
  <si>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</si>
  <si>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</si>
  <si>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</si>
  <si>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</si>
  <si>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</si>
  <si>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</si>
  <si>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</si>
  <si>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</si>
  <si>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</si>
  <si>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</si>
  <si>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</si>
  <si>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</si>
  <si>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</si>
  <si>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</si>
  <si>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</si>
  <si>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</si>
  <si>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</si>
  <si>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</si>
  <si>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</si>
  <si>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</si>
  <si>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</si>
  <si>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</si>
  <si>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</si>
  <si>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</si>
  <si>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</si>
  <si>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</si>
  <si>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</si>
  <si>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</si>
  <si>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</si>
  <si>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</si>
  <si>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</si>
  <si>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</si>
  <si>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</si>
  <si>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</si>
  <si>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</si>
  <si>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</si>
  <si>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</si>
  <si>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</si>
  <si>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</si>
  <si>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</si>
  <si>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</si>
  <si>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</si>
  <si>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</si>
  <si>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</si>
  <si>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</si>
  <si>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</si>
  <si>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</si>
  <si>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</si>
  <si>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</si>
  <si>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</si>
  <si>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</si>
  <si>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</si>
  <si>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</si>
  <si>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</si>
  <si>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</si>
  <si>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</si>
  <si>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</si>
  <si>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</si>
  <si>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</si>
  <si>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</si>
  <si>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</si>
  <si>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</si>
  <si>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</si>
  <si>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</si>
  <si>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</si>
  <si>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</si>
  <si>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</si>
  <si>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</si>
  <si>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</si>
  <si>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</si>
  <si>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</si>
  <si>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</si>
  <si>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</si>
  <si>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</si>
  <si>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</si>
  <si>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</si>
  <si>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</si>
  <si>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</si>
  <si>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</si>
  <si>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</si>
  <si>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</si>
  <si>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</si>
  <si>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</si>
  <si>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</si>
  <si>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</si>
  <si>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</si>
  <si>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</si>
  <si>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</si>
  <si>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</si>
  <si>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</si>
  <si>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</si>
  <si>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</si>
  <si>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</si>
  <si>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</si>
  <si>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</si>
  <si>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</si>
  <si>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</si>
  <si>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</si>
  <si>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</si>
  <si>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</si>
  <si>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</si>
  <si>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</si>
  <si>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</si>
  <si>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</si>
  <si>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</si>
  <si>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</si>
  <si>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</si>
  <si>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</si>
  <si>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</si>
  <si>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</si>
  <si>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</si>
  <si>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</si>
  <si>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</si>
  <si>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</si>
  <si>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</si>
  <si>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</si>
  <si>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</si>
  <si>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</si>
  <si>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</si>
  <si>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</si>
  <si>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</si>
  <si>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</si>
  <si>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</si>
  <si>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</si>
  <si>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</si>
  <si>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</si>
  <si>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</si>
  <si>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</si>
  <si>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</si>
  <si>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</si>
  <si>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</si>
  <si>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</si>
  <si>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</si>
  <si>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</si>
  <si>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</si>
  <si>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</si>
  <si>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</si>
  <si>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</si>
  <si>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</si>
  <si>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</si>
  <si>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</si>
  <si>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</si>
  <si>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</si>
  <si>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</si>
  <si>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</si>
  <si>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</si>
  <si>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</si>
  <si>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</si>
  <si>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</si>
  <si>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</si>
  <si>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</si>
  <si>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</si>
  <si>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</si>
  <si>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</si>
  <si>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</si>
  <si>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</si>
  <si>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</si>
  <si>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</si>
  <si>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</si>
  <si>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</si>
  <si>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</si>
  <si>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</si>
  <si>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</si>
  <si>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</si>
  <si>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</si>
  <si>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</si>
  <si>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</si>
  <si>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</si>
  <si>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</si>
  <si>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</si>
  <si>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</si>
  <si>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</si>
  <si>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</si>
  <si>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</si>
  <si>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</si>
  <si>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</si>
  <si>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</si>
  <si>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</si>
  <si>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</si>
  <si>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</si>
  <si>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</si>
  <si>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</si>
  <si>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</si>
  <si>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</si>
  <si>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</si>
  <si>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</si>
  <si>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</si>
  <si>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</si>
  <si>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</si>
  <si>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</si>
  <si>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</si>
  <si>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</si>
  <si>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</si>
  <si>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</si>
  <si>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</si>
  <si>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</si>
  <si>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</si>
  <si>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</si>
  <si>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</si>
  <si>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</si>
  <si>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</si>
  <si>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</si>
  <si>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</si>
  <si>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</si>
  <si>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</si>
  <si>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</si>
  <si>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</si>
  <si>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</si>
  <si>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</si>
  <si>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</si>
  <si>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</si>
  <si>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</si>
  <si>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</si>
  <si>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</si>
  <si>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</si>
  <si>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</si>
  <si>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</si>
  <si>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</si>
  <si>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</si>
  <si>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</si>
  <si>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</si>
  <si>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</si>
  <si>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</si>
  <si>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</si>
  <si>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</si>
  <si>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</si>
  <si>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</si>
  <si>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</si>
  <si>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</si>
  <si>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</si>
  <si>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</si>
  <si>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</si>
  <si>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</si>
  <si>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</si>
  <si>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</si>
  <si>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</si>
  <si>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</si>
  <si>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</si>
  <si>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</si>
  <si>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</si>
  <si>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</si>
  <si>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</si>
  <si>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</si>
  <si>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</si>
  <si>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</si>
  <si>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</si>
  <si>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</si>
  <si>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</si>
  <si>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</si>
  <si>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</si>
  <si>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</si>
  <si>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</si>
  <si>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</si>
  <si>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</si>
  <si>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</si>
  <si>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</si>
  <si>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</si>
  <si>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</si>
  <si>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</si>
  <si>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</si>
  <si>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</si>
  <si>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</si>
  <si>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</si>
  <si>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</si>
  <si>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</si>
  <si>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</si>
  <si>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</si>
  <si>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</si>
  <si>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</si>
  <si>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</si>
  <si>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</si>
  <si>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</si>
  <si>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</si>
  <si>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</si>
  <si>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</si>
  <si>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</si>
  <si>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</si>
  <si>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</si>
  <si>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</si>
  <si>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</si>
  <si>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</si>
  <si>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</si>
  <si>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</si>
  <si>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</si>
  <si>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</si>
  <si>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</si>
  <si>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</si>
  <si>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</si>
  <si>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</si>
  <si>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</si>
  <si>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</si>
  <si>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</si>
  <si>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</si>
  <si>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</si>
  <si>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</si>
  <si>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</si>
  <si>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</si>
  <si>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</si>
  <si>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</si>
  <si>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</si>
  <si>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</si>
  <si>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</si>
  <si>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</si>
  <si>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</si>
  <si>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</si>
  <si>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</si>
  <si>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</si>
  <si>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</si>
  <si>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</si>
  <si>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</si>
  <si>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</si>
  <si>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</si>
  <si>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</si>
  <si>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</si>
  <si>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</si>
  <si>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</si>
  <si>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</si>
  <si>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</si>
  <si>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</si>
  <si>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</si>
  <si>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</si>
  <si>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</si>
  <si>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</si>
  <si>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</si>
  <si>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</si>
  <si>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</si>
  <si>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</si>
  <si>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</si>
  <si>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</si>
  <si>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</si>
  <si>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</si>
  <si>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</si>
  <si>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</si>
  <si>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</si>
  <si>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</si>
  <si>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</si>
  <si>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</si>
  <si>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</si>
  <si>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</si>
  <si>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</si>
  <si>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</si>
  <si>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</si>
  <si>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</si>
  <si>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</si>
  <si>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</si>
  <si>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</si>
  <si>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</si>
  <si>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</si>
  <si>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</si>
  <si>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</si>
  <si>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</si>
  <si>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</si>
  <si>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</si>
  <si>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</si>
  <si>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</si>
  <si>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</si>
  <si>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</si>
  <si>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</si>
  <si>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</si>
  <si>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</si>
  <si>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</si>
  <si>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</si>
  <si>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</si>
  <si>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</si>
  <si>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</si>
  <si>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</si>
  <si>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</si>
  <si>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</si>
  <si>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</si>
  <si>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</si>
  <si>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</si>
  <si>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</si>
  <si>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</si>
  <si>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</si>
  <si>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</si>
  <si>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</si>
  <si>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</si>
  <si>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</si>
  <si>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</si>
  <si>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</si>
  <si>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</si>
  <si>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</si>
  <si>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</si>
  <si>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</si>
  <si>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</si>
  <si>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</si>
  <si>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</si>
  <si>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</si>
  <si>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</si>
  <si>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</si>
  <si>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</si>
  <si>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</si>
  <si>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</si>
  <si>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</si>
  <si>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</si>
  <si>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</si>
  <si>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</si>
  <si>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</si>
  <si>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</si>
  <si>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</si>
  <si>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</si>
  <si>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</si>
  <si>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</si>
  <si>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</si>
  <si>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</si>
  <si>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</si>
  <si>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</si>
  <si>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</si>
  <si>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</si>
  <si>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</si>
  <si>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</si>
  <si>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</si>
  <si>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</si>
  <si>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</si>
  <si>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</si>
  <si>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</si>
  <si>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</si>
  <si>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</si>
  <si>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</si>
  <si>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</si>
  <si>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</si>
  <si>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</si>
  <si>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</si>
  <si>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</si>
  <si>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</si>
  <si>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</si>
  <si>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</si>
  <si>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</si>
  <si>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</si>
  <si>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</si>
  <si>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</si>
  <si>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</si>
  <si>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</si>
  <si>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</si>
  <si>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</si>
  <si>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</si>
  <si>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</si>
  <si>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</si>
  <si>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</si>
  <si>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</si>
  <si>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</si>
  <si>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</si>
  <si>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</si>
  <si>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</si>
  <si>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</si>
  <si>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</si>
  <si>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</si>
  <si>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</si>
  <si>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</si>
  <si>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</si>
  <si>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</si>
  <si>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</si>
  <si>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</si>
  <si>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</si>
  <si>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</si>
  <si>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</si>
  <si>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</si>
  <si>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</si>
  <si>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</si>
  <si>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</si>
  <si>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</si>
  <si>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</si>
  <si>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</si>
  <si>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</si>
  <si>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</si>
  <si>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</si>
  <si>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</si>
  <si>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</si>
  <si>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</si>
  <si>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</si>
  <si>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</si>
  <si>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</si>
  <si>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</si>
  <si>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</si>
  <si>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</si>
  <si>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</si>
  <si>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</si>
  <si>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</si>
  <si>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</si>
  <si>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</si>
  <si>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</si>
  <si>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</si>
  <si>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</si>
  <si>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</si>
  <si>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</si>
  <si>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</si>
  <si>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</si>
  <si>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</si>
  <si>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</si>
  <si>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</si>
  <si>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</si>
  <si>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</si>
  <si>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</si>
  <si>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</si>
  <si>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</si>
  <si>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</si>
  <si>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</si>
  <si>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</si>
  <si>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</si>
  <si>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</si>
  <si>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</si>
  <si>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</si>
  <si>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</si>
  <si>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</si>
  <si>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</si>
  <si>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</si>
  <si>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</si>
  <si>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</si>
  <si>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</si>
  <si>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</si>
  <si>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</si>
  <si>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</si>
  <si>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</si>
  <si>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</si>
  <si>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</si>
  <si>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</si>
  <si>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</si>
  <si>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</si>
  <si>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</si>
  <si>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</si>
  <si>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</si>
  <si>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</si>
  <si>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</si>
  <si>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</si>
  <si>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</si>
  <si>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</si>
  <si>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</si>
  <si>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</si>
  <si>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</si>
  <si>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</si>
  <si>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</si>
  <si>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</si>
  <si>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</si>
  <si>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</si>
  <si>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</si>
  <si>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</si>
  <si>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</si>
  <si>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</si>
  <si>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</si>
  <si>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</si>
  <si>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</si>
  <si>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</si>
  <si>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</si>
  <si>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</si>
  <si>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</si>
  <si>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</si>
  <si>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</si>
  <si>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</si>
  <si>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</si>
  <si>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</si>
  <si>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</si>
  <si>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</si>
  <si>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</si>
  <si>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</si>
  <si>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</si>
  <si>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</si>
  <si>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</si>
  <si>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</si>
  <si>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</si>
  <si>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</si>
  <si>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</si>
  <si>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</si>
  <si>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</si>
  <si>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</si>
  <si>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</si>
  <si>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</si>
  <si>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</si>
  <si>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</si>
  <si>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</si>
  <si>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</si>
  <si>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</si>
  <si>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</si>
  <si>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</si>
  <si>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</si>
  <si>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</si>
  <si>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</si>
  <si>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</si>
  <si>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</si>
  <si>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</si>
  <si>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</si>
  <si>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</si>
  <si>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</si>
  <si>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</si>
  <si>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</si>
  <si>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</si>
  <si>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</si>
  <si>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</si>
  <si>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</si>
  <si>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</si>
  <si>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</si>
  <si>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</si>
  <si>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</si>
  <si>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</si>
  <si>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</si>
  <si>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</si>
  <si>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</si>
  <si>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</si>
  <si>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</si>
  <si>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</si>
  <si>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</si>
  <si>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</si>
  <si>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</si>
  <si>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</si>
  <si>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</si>
  <si>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</si>
  <si>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</si>
  <si>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</si>
  <si>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</si>
  <si>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</si>
  <si>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</si>
  <si>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</si>
  <si>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</si>
  <si>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</si>
  <si>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</si>
  <si>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</si>
  <si>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</si>
  <si>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</si>
  <si>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</si>
  <si>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</si>
  <si>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</si>
  <si>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</si>
  <si>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</si>
  <si>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</si>
  <si>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</si>
  <si>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</si>
  <si>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</si>
  <si>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</si>
  <si>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</si>
  <si>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</si>
  <si>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</si>
  <si>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</si>
  <si>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</si>
  <si>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</si>
  <si>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</si>
  <si>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</si>
  <si>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</si>
  <si>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</si>
  <si>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</si>
  <si>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</si>
  <si>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</si>
  <si>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</si>
  <si>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</si>
  <si>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</si>
  <si>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</si>
  <si>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</si>
  <si>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</si>
  <si>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</si>
  <si>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</si>
  <si>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</si>
  <si>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</si>
  <si>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</si>
  <si>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</si>
  <si>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</si>
  <si>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</si>
  <si>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</si>
  <si>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</si>
  <si>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</si>
  <si>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</si>
  <si>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</si>
  <si>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</si>
  <si>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</si>
  <si>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</si>
  <si>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</si>
  <si>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</si>
  <si>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</si>
  <si>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</si>
  <si>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</si>
  <si>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</si>
  <si>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</si>
  <si>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</si>
  <si>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</si>
  <si>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</si>
  <si>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</si>
  <si>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</si>
  <si>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</si>
  <si>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</si>
  <si>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</si>
  <si>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</si>
  <si>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</si>
  <si>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</si>
  <si>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</si>
  <si>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</si>
  <si>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</si>
  <si>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</si>
  <si>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</si>
  <si>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</si>
  <si>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</si>
  <si>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</si>
  <si>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</si>
  <si>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</si>
  <si>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</si>
  <si>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</si>
  <si>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</si>
  <si>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</si>
  <si>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</si>
  <si>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</si>
  <si>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</si>
  <si>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</si>
  <si>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</si>
  <si>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</si>
  <si>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</si>
  <si>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</si>
  <si>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</si>
  <si>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</si>
  <si>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</si>
  <si>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</si>
  <si>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</si>
  <si>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</si>
  <si>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</si>
  <si>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</si>
  <si>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</si>
  <si>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</si>
  <si>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</si>
  <si>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</si>
  <si>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</si>
  <si>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</si>
  <si>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</si>
  <si>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</si>
  <si>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</si>
  <si>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</si>
  <si>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</si>
  <si>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</si>
  <si>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</si>
  <si>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</si>
  <si>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</si>
  <si>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</si>
  <si>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</si>
  <si>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</si>
  <si>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</si>
  <si>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</si>
  <si>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</si>
  <si>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</si>
  <si>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</si>
  <si>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</si>
  <si>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</si>
  <si>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</si>
  <si>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</si>
  <si>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</si>
  <si>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</si>
  <si>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</si>
  <si>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</si>
  <si>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</si>
  <si>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</si>
  <si>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</si>
  <si>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</si>
  <si>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</si>
  <si>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</si>
  <si>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</si>
  <si>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</si>
  <si>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</si>
  <si>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</si>
  <si>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</si>
  <si>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</si>
  <si>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</si>
  <si>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</si>
  <si>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</si>
  <si>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</si>
  <si>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</si>
  <si>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</si>
  <si>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</si>
  <si>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</si>
  <si>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</si>
  <si>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</si>
  <si>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</si>
  <si>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</si>
  <si>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</si>
  <si>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</si>
  <si>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</si>
  <si>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</si>
  <si>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</si>
  <si>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</si>
  <si>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</si>
  <si>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</si>
  <si>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</si>
  <si>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</si>
  <si>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</si>
  <si>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</si>
  <si>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</si>
  <si>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</si>
  <si>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</si>
  <si>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</si>
  <si>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</si>
  <si>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</si>
  <si>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</si>
  <si>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</si>
  <si>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</si>
  <si>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</si>
  <si>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</si>
  <si>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</si>
  <si>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</si>
  <si>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</si>
  <si>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</si>
  <si>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</si>
  <si>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</si>
  <si>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</si>
  <si>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</si>
  <si>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</si>
  <si>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</si>
  <si>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</si>
  <si>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</si>
  <si>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</si>
  <si>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</si>
  <si>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</si>
  <si>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</si>
  <si>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</si>
  <si>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</si>
  <si>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</si>
  <si>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</si>
  <si>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</si>
  <si>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</si>
  <si>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</si>
  <si>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</si>
  <si>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</si>
  <si>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</si>
  <si>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</si>
  <si>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</si>
  <si>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</si>
  <si>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</si>
  <si>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</si>
  <si>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</si>
  <si>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</si>
  <si>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</si>
  <si>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</si>
  <si>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</si>
  <si>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</si>
  <si>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</si>
  <si>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</si>
  <si>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</si>
  <si>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</si>
  <si>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</si>
  <si>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</si>
  <si>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</si>
  <si>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</si>
  <si>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</si>
  <si>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</si>
  <si>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</si>
  <si>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</si>
  <si>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</si>
  <si>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</si>
  <si>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</si>
  <si>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</si>
  <si>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</si>
  <si>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</si>
  <si>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</si>
  <si>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</si>
  <si>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</si>
  <si>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</si>
  <si>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</si>
  <si>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</si>
  <si>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</si>
  <si>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</si>
  <si>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</si>
  <si>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</si>
  <si>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</si>
  <si>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</si>
  <si>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</si>
  <si>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</si>
  <si>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</si>
  <si>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</si>
  <si>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</si>
  <si>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</si>
  <si>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</si>
  <si>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</si>
  <si>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</si>
  <si>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</si>
  <si>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</si>
  <si>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</si>
  <si>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</si>
  <si>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</si>
  <si>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</si>
  <si>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</si>
  <si>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</si>
  <si>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</si>
  <si>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</si>
  <si>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</si>
  <si>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</si>
  <si>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</si>
  <si>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</si>
  <si>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</si>
  <si>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</si>
  <si>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</si>
  <si>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</si>
  <si>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</si>
  <si>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</si>
  <si>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</si>
  <si>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</si>
  <si>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</si>
  <si>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</si>
  <si>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</si>
  <si>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</si>
  <si>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</si>
  <si>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</si>
  <si>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</si>
  <si>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</si>
  <si>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</si>
  <si>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</si>
  <si>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</si>
  <si>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</si>
  <si>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</si>
  <si>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</si>
  <si>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</si>
  <si>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</si>
  <si>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</si>
  <si>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</si>
  <si>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</si>
  <si>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</si>
  <si>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</si>
  <si>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</si>
  <si>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</si>
  <si>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</si>
  <si>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</si>
  <si>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</si>
  <si>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</si>
  <si>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</si>
  <si>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</si>
  <si>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</si>
  <si>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</si>
  <si>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</si>
  <si>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</si>
  <si>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</si>
  <si>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</si>
  <si>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</si>
  <si>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</si>
  <si>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</si>
  <si>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</si>
  <si>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</si>
  <si>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</si>
  <si>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</si>
  <si>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</si>
  <si>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</si>
  <si>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</si>
  <si>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</si>
  <si>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</si>
  <si>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</si>
  <si>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</si>
  <si>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</si>
  <si>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</si>
  <si>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</si>
  <si>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</si>
  <si>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</si>
  <si>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</si>
  <si>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</si>
  <si>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</si>
  <si>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</si>
  <si>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</si>
  <si>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</si>
  <si>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</si>
  <si>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</si>
  <si>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</si>
  <si>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</si>
  <si>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</si>
  <si>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</si>
  <si>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</si>
  <si>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</si>
  <si>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</si>
  <si>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</si>
  <si>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</si>
  <si>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</si>
  <si>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</si>
  <si>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</si>
  <si>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</si>
  <si>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</si>
  <si>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</si>
  <si>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</si>
  <si>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</si>
  <si>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</si>
  <si>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</si>
  <si>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</si>
  <si>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</si>
  <si>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</si>
  <si>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</si>
  <si>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</si>
  <si>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</si>
  <si>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</si>
  <si>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</si>
  <si>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</si>
  <si>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</si>
  <si>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</si>
  <si>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</si>
  <si>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</si>
  <si>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</si>
  <si>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</si>
  <si>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</si>
  <si>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</si>
  <si>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</si>
  <si>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</si>
  <si>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</si>
  <si>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</si>
  <si>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</si>
  <si>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</si>
  <si>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</si>
  <si>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</si>
  <si>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</si>
  <si>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</si>
  <si>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</si>
  <si>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</si>
  <si>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</si>
  <si>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</si>
  <si>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</si>
  <si>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</si>
  <si>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</si>
  <si>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</si>
  <si>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</si>
  <si>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</si>
  <si>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</si>
  <si>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</si>
  <si>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</si>
  <si>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</si>
  <si>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</si>
  <si>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</si>
  <si>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</si>
  <si>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</si>
  <si>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</si>
  <si>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</si>
  <si>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</si>
  <si>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</si>
  <si>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</si>
  <si>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</si>
  <si>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</si>
  <si>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</si>
  <si>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</si>
  <si>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</si>
  <si>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</si>
  <si>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</si>
  <si>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</si>
  <si>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</si>
  <si>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</si>
  <si>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</si>
  <si>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</si>
  <si>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</si>
  <si>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</si>
  <si>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</si>
  <si>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</si>
  <si>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</si>
  <si>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</si>
  <si>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</si>
  <si>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</si>
  <si>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</si>
  <si>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</si>
  <si>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</si>
  <si>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</si>
  <si>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</si>
  <si>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</si>
  <si>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</si>
  <si>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</si>
  <si>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</si>
  <si>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</si>
  <si>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</si>
  <si>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</si>
  <si>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</si>
  <si>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</si>
  <si>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</si>
  <si>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</si>
  <si>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</si>
  <si>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</si>
  <si>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</si>
  <si>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</si>
  <si>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</si>
  <si>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</si>
  <si>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</si>
  <si>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</si>
  <si>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</si>
  <si>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</si>
  <si>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</si>
  <si>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</si>
  <si>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</si>
  <si>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</si>
  <si>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</si>
  <si>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</si>
  <si>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</si>
  <si>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</si>
  <si>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</si>
  <si>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</si>
  <si>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</si>
  <si>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</si>
  <si>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</si>
  <si>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</si>
  <si>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</si>
  <si>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</si>
  <si>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</si>
  <si>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</si>
  <si>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</si>
  <si>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</si>
  <si>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</si>
  <si>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</si>
  <si>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</si>
  <si>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</si>
  <si>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</si>
  <si>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</si>
  <si>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</si>
  <si>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</si>
  <si>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</si>
  <si>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</si>
  <si>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</si>
  <si>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</si>
  <si>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</si>
  <si>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</si>
  <si>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</si>
  <si>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</si>
  <si>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</si>
  <si>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</si>
  <si>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</si>
  <si>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</si>
  <si>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</si>
  <si>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</si>
  <si>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</si>
  <si>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</si>
  <si>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</si>
  <si>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</si>
  <si>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</si>
  <si>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</si>
  <si>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</si>
  <si>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</si>
  <si>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</si>
  <si>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</si>
  <si>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</si>
  <si>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</si>
  <si>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</si>
  <si>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</si>
  <si>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</si>
  <si>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</si>
  <si>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</si>
  <si>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</si>
  <si>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</si>
  <si>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</si>
  <si>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</si>
  <si>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</si>
  <si>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</si>
  <si>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</si>
  <si>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</si>
  <si>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</si>
  <si>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</si>
  <si>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</si>
  <si>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</si>
  <si>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</si>
  <si>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</si>
  <si>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</si>
  <si>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</si>
  <si>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</si>
  <si>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</si>
  <si>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</si>
  <si>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</si>
  <si>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</si>
  <si>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</si>
  <si>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</si>
  <si>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</si>
  <si>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</si>
  <si>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</si>
  <si>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</si>
  <si>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</si>
  <si>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</si>
  <si>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</si>
  <si>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</si>
  <si>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</si>
  <si>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</si>
  <si>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</si>
  <si>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</si>
  <si>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</si>
  <si>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</si>
  <si>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</si>
  <si>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</si>
  <si>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</si>
  <si>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</si>
  <si>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</si>
  <si>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</si>
  <si>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</si>
  <si>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</si>
  <si>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</si>
  <si>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</si>
  <si>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</si>
  <si>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</si>
  <si>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</si>
  <si>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</si>
  <si>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</si>
  <si>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</si>
  <si>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</si>
  <si>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</si>
  <si>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</si>
  <si>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</si>
  <si>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</si>
  <si>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</si>
  <si>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</si>
  <si>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</si>
  <si>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</si>
  <si>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</si>
  <si>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</si>
  <si>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</si>
  <si>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</si>
  <si>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</si>
  <si>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</si>
  <si>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</si>
  <si>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</si>
  <si>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</si>
  <si>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</si>
  <si>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</si>
  <si>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</si>
  <si>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</si>
  <si>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</si>
  <si>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</si>
  <si>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</si>
  <si>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</si>
  <si>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</si>
  <si>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</si>
  <si>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</si>
  <si>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</si>
  <si>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</si>
  <si>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</si>
  <si>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</si>
  <si>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</si>
  <si>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</si>
  <si>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</si>
  <si>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</si>
  <si>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</si>
  <si>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</si>
  <si>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</si>
  <si>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</si>
  <si>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</si>
  <si>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</si>
  <si>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</si>
  <si>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</si>
  <si>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</si>
  <si>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</si>
  <si>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</si>
  <si>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</si>
  <si>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</si>
  <si>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</si>
  <si>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</si>
  <si>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</si>
  <si>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</si>
  <si>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</si>
  <si>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</si>
  <si>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</si>
  <si>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</si>
  <si>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</si>
  <si>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</si>
  <si>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</si>
  <si>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</si>
  <si>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</si>
  <si>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</si>
  <si>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</si>
  <si>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</si>
  <si>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</si>
  <si>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</si>
  <si>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</si>
  <si>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</si>
  <si>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</si>
  <si>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</si>
  <si>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</si>
  <si>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</si>
  <si>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</si>
  <si>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</si>
  <si>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</si>
  <si>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</si>
  <si>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</si>
  <si>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</si>
  <si>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</si>
  <si>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</si>
  <si>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</si>
  <si>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</si>
  <si>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</si>
  <si>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</si>
  <si>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</si>
  <si>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</si>
  <si>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</si>
  <si>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</si>
  <si>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</si>
  <si>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</si>
  <si>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</si>
  <si>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</si>
  <si>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</si>
  <si>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</si>
  <si>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</si>
  <si>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</si>
  <si>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</si>
  <si>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</si>
  <si>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</si>
  <si>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</si>
  <si>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</si>
  <si>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</si>
  <si>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</si>
  <si>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</si>
  <si>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</si>
  <si>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</si>
  <si>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</si>
  <si>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</si>
  <si>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</si>
  <si>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</si>
  <si>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</si>
  <si>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</si>
  <si>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</si>
  <si>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</si>
  <si>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</si>
  <si>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</si>
  <si>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</si>
  <si>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</si>
  <si>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</si>
  <si>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</si>
  <si>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</si>
  <si>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</si>
  <si>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</si>
  <si>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</si>
  <si>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</si>
  <si>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</si>
  <si>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</si>
  <si>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</si>
  <si>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</si>
  <si>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</si>
  <si>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</si>
  <si>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</si>
  <si>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</si>
  <si>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</si>
  <si>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</si>
  <si>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</si>
  <si>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</si>
  <si>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</si>
  <si>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</si>
  <si>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</si>
  <si>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</si>
  <si>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</si>
  <si>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</si>
  <si>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</si>
  <si>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</si>
  <si>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</si>
  <si>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</si>
  <si>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</si>
  <si>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</si>
  <si>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</si>
  <si>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</si>
  <si>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</si>
  <si>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</si>
  <si>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</si>
  <si>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</si>
  <si>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</si>
  <si>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</si>
  <si>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</si>
  <si>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</si>
  <si>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</si>
  <si>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</si>
  <si>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</si>
  <si>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</si>
  <si>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</si>
  <si>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</si>
  <si>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</si>
  <si>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</si>
  <si>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</si>
  <si>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</si>
  <si>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</si>
  <si>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</si>
  <si>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</si>
  <si>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</si>
  <si>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</si>
  <si>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</si>
  <si>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</si>
  <si>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</si>
  <si>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</si>
  <si>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</si>
  <si>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</si>
  <si>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</si>
  <si>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</si>
  <si>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</si>
  <si>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</si>
  <si>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</si>
  <si>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</si>
  <si>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</si>
  <si>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</si>
  <si>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</si>
  <si>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</si>
  <si>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</si>
  <si>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</si>
  <si>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</si>
  <si>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</si>
  <si>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</si>
  <si>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</si>
  <si>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</si>
  <si>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</si>
  <si>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</si>
  <si>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</si>
  <si>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</si>
  <si>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</si>
  <si>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</si>
  <si>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</si>
  <si>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</si>
  <si>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</si>
  <si>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</si>
  <si>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</si>
  <si>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</si>
  <si>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</si>
  <si>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</si>
  <si>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</si>
  <si>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</si>
  <si>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</si>
  <si>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</si>
  <si>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</si>
  <si>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</si>
  <si>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</si>
  <si>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</si>
  <si>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</si>
  <si>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</si>
  <si>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</si>
  <si>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</si>
  <si>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</si>
  <si>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</si>
  <si>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</si>
  <si>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</si>
  <si>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</si>
  <si>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</si>
  <si>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</si>
  <si>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</si>
  <si>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</si>
  <si>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</si>
  <si>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</si>
  <si>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</si>
  <si>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</si>
  <si>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</si>
  <si>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</si>
  <si>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</si>
  <si>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</si>
  <si>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</si>
  <si>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</si>
  <si>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</si>
  <si>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</si>
  <si>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</si>
  <si>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</si>
  <si>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</si>
  <si>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</si>
  <si>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</si>
  <si>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</si>
  <si>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</si>
  <si>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</si>
  <si>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</si>
  <si>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</si>
  <si>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</si>
  <si>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</si>
  <si>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</si>
  <si>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</si>
  <si>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</si>
  <si>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</si>
  <si>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</si>
  <si>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</si>
  <si>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</si>
  <si>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</si>
  <si>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</si>
  <si>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</si>
  <si>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</si>
  <si>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</si>
  <si>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</si>
  <si>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</si>
  <si>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</si>
  <si>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</si>
  <si>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</si>
  <si>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</si>
  <si>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</si>
  <si>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</si>
  <si>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</si>
  <si>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</si>
  <si>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</si>
  <si>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</si>
  <si>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</si>
  <si>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</si>
  <si>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</si>
  <si>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</si>
  <si>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</si>
  <si>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</si>
  <si>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</si>
  <si>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</si>
  <si>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</si>
  <si>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</si>
  <si>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</si>
  <si>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</si>
  <si>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</si>
  <si>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</si>
  <si>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</si>
  <si>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</si>
  <si>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</si>
  <si>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</si>
  <si>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</si>
  <si>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</si>
  <si>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</si>
  <si>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</si>
  <si>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</si>
  <si>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</si>
  <si>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</si>
  <si>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</si>
  <si>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</si>
  <si>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</si>
  <si>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</si>
  <si>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</si>
  <si>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</si>
  <si>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</si>
  <si>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</si>
  <si>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</si>
  <si>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</si>
  <si>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</si>
  <si>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</si>
  <si>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</si>
  <si>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</si>
  <si>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</si>
  <si>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</si>
  <si>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</si>
  <si>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</si>
  <si>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</si>
  <si>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</si>
  <si>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</si>
  <si>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</si>
  <si>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</si>
  <si>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</si>
  <si>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</si>
  <si>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</si>
  <si>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</si>
  <si>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</si>
  <si>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</si>
  <si>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</si>
  <si>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</si>
  <si>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</si>
  <si>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</si>
  <si>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</si>
  <si>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</si>
  <si>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</si>
  <si>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</si>
  <si>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</si>
  <si>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</si>
  <si>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</si>
  <si>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</si>
  <si>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</si>
  <si>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</si>
  <si>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</si>
  <si>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</si>
  <si>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</si>
  <si>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</si>
  <si>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</si>
  <si>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</si>
  <si>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</si>
  <si>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</si>
  <si>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</si>
  <si>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</si>
  <si>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</si>
  <si>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</si>
  <si>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</si>
  <si>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</si>
  <si>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</si>
  <si>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</si>
  <si>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</si>
  <si>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</si>
  <si>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</si>
  <si>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</si>
  <si>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</si>
  <si>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</si>
  <si>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</si>
  <si>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</si>
  <si>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</si>
  <si>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</si>
  <si>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</si>
  <si>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</si>
  <si>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</si>
  <si>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</si>
  <si>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</si>
  <si>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</si>
  <si>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</si>
  <si>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</si>
  <si>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</si>
  <si>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</si>
  <si>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</si>
  <si>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</si>
  <si>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</si>
  <si>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</si>
  <si>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</si>
  <si>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</si>
  <si>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</si>
  <si>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</si>
  <si>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</si>
  <si>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</si>
  <si>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</si>
  <si>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</si>
  <si>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</si>
  <si>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</si>
  <si>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</si>
  <si>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</si>
  <si>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</si>
  <si>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</si>
  <si>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</si>
  <si>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</si>
  <si>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</si>
  <si>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</si>
  <si>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</si>
  <si>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</si>
  <si>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</si>
  <si>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</si>
  <si>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</si>
  <si>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</si>
  <si>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</si>
  <si>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</si>
  <si>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</si>
  <si>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</si>
  <si>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</si>
  <si>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</si>
  <si>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</si>
  <si>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</si>
  <si>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</si>
  <si>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</si>
  <si>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</si>
  <si>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</si>
  <si>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</si>
  <si>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</si>
  <si>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</si>
  <si>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</si>
  <si>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</si>
  <si>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</si>
  <si>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</si>
  <si>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</si>
  <si>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</si>
  <si>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</si>
  <si>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</si>
  <si>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</si>
  <si>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</si>
  <si>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</si>
  <si>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</si>
  <si>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</si>
  <si>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</si>
  <si>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</si>
  <si>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</si>
  <si>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</si>
  <si>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</si>
  <si>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</si>
  <si>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</si>
  <si>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</si>
  <si>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</si>
  <si>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</si>
  <si>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</si>
  <si>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</si>
  <si>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</si>
  <si>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</si>
  <si>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</si>
  <si>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</si>
  <si>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</si>
  <si>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</si>
  <si>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</si>
  <si>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</si>
  <si>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</si>
  <si>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</si>
  <si>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</si>
  <si>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</si>
  <si>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</si>
  <si>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</si>
  <si>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</si>
  <si>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</si>
  <si>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</si>
  <si>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</si>
  <si>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</si>
  <si>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</si>
  <si>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</si>
  <si>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</si>
  <si>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</si>
  <si>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</si>
  <si>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</si>
  <si>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</si>
  <si>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</si>
  <si>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</si>
  <si>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</si>
  <si>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</si>
  <si>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</si>
  <si>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</si>
  <si>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</si>
  <si>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</si>
  <si>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</si>
  <si>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</si>
  <si>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</si>
  <si>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</si>
  <si>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</si>
  <si>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</si>
  <si>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</si>
  <si>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</si>
  <si>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</si>
  <si>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</si>
  <si>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</si>
  <si>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</si>
  <si>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</si>
  <si>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</si>
  <si>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</si>
  <si>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</si>
  <si>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</si>
  <si>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</si>
  <si>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</si>
  <si>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</si>
  <si>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</si>
  <si>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</si>
  <si>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</si>
  <si>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</si>
  <si>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</si>
  <si>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</si>
  <si>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</si>
  <si>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</si>
  <si>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</si>
  <si>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</si>
  <si>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</si>
  <si>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</si>
  <si>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</si>
  <si>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</si>
  <si>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</si>
  <si>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</si>
  <si>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</si>
  <si>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</si>
  <si>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</si>
  <si>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</si>
  <si>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</si>
  <si>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</si>
  <si>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</si>
  <si>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</si>
  <si>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</si>
  <si>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</si>
  <si>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</si>
  <si>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</si>
  <si>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</si>
  <si>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</si>
  <si>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</si>
  <si>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</si>
  <si>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</si>
  <si>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</si>
  <si>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</si>
  <si>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</si>
  <si>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</si>
  <si>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</si>
  <si>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</si>
  <si>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</si>
  <si>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</si>
  <si>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</si>
  <si>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</si>
  <si>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</si>
  <si>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</si>
  <si>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</si>
  <si>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</si>
  <si>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</si>
  <si>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</si>
  <si>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</si>
  <si>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</si>
  <si>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</si>
  <si>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</si>
  <si>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</si>
  <si>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</si>
  <si>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</si>
  <si>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</si>
  <si>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</si>
  <si>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</si>
  <si>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</si>
  <si>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</si>
  <si>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</si>
  <si>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</si>
  <si>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</si>
  <si>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</si>
  <si>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</si>
  <si>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</si>
  <si>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</si>
  <si>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</si>
  <si>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</si>
  <si>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</si>
  <si>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</si>
  <si>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</si>
  <si>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</si>
  <si>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</si>
  <si>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</si>
  <si>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</si>
  <si>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</si>
  <si>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</si>
  <si>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</si>
  <si>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</si>
  <si>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</si>
  <si>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</si>
  <si>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</si>
  <si>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</si>
  <si>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</si>
  <si>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</si>
  <si>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</si>
  <si>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</si>
  <si>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</si>
  <si>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</si>
  <si>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</si>
  <si>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</si>
  <si>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</si>
  <si>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</si>
  <si>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</si>
  <si>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</si>
  <si>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</si>
  <si>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</si>
  <si>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</si>
  <si>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</si>
  <si>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</si>
  <si>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</si>
  <si>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</si>
  <si>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</si>
  <si>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</si>
  <si>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</si>
  <si>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</si>
  <si>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</si>
  <si>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</si>
  <si>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</si>
  <si>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</si>
  <si>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</si>
  <si>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</si>
  <si>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</si>
  <si>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</si>
  <si>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</si>
  <si>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</si>
  <si>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</si>
  <si>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</si>
  <si>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</si>
  <si>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</si>
  <si>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</si>
  <si>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</si>
  <si>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</si>
  <si>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</si>
  <si>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</si>
  <si>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</si>
  <si>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</si>
  <si>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</si>
  <si>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</si>
  <si>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</si>
  <si>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</si>
  <si>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</si>
  <si>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</si>
  <si>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</si>
  <si>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</si>
  <si>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</si>
  <si>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</si>
  <si>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</si>
  <si>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</si>
  <si>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</si>
  <si>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</si>
  <si>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</si>
  <si>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</si>
  <si>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</si>
  <si>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</si>
  <si>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</si>
  <si>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</si>
  <si>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</si>
  <si>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</si>
  <si>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</si>
  <si>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</si>
  <si>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</si>
  <si>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</si>
  <si>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</si>
  <si>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</si>
  <si>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</si>
  <si>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</si>
  <si>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</si>
  <si>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</si>
  <si>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</si>
  <si>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</si>
  <si>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</si>
  <si>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</si>
  <si>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</si>
  <si>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</si>
  <si>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</si>
  <si>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</si>
  <si>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</si>
  <si>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</si>
  <si>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</si>
  <si>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</si>
  <si>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</si>
  <si>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</si>
  <si>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</si>
  <si>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</si>
  <si>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</si>
  <si>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</si>
  <si>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</si>
  <si>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</si>
  <si>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</si>
  <si>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</si>
  <si>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</si>
  <si>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</si>
  <si>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</si>
  <si>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</si>
  <si>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</si>
  <si>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</si>
  <si>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</si>
  <si>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</si>
  <si>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</si>
  <si>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</si>
  <si>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</si>
  <si>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</si>
  <si>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</si>
  <si>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</si>
  <si>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</si>
  <si>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</si>
  <si>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</si>
  <si>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</si>
  <si>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</si>
  <si>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</si>
  <si>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</si>
  <si>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</si>
  <si>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</si>
  <si>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</si>
  <si>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</si>
  <si>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</si>
  <si>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</si>
  <si>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</si>
  <si>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</si>
  <si>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</si>
  <si>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</si>
  <si>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</si>
  <si>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</si>
  <si>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</si>
  <si>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</si>
  <si>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</si>
  <si>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</si>
  <si>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</si>
  <si>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</si>
  <si>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</si>
  <si>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</si>
  <si>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</si>
  <si>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</si>
  <si>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</si>
  <si>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</si>
  <si>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</si>
  <si>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</si>
  <si>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</si>
  <si>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</si>
  <si>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</si>
  <si>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</si>
  <si>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</si>
  <si>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</si>
  <si>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</si>
  <si>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</si>
  <si>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</si>
  <si>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</si>
  <si>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</si>
  <si>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</si>
  <si>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</si>
  <si>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</si>
  <si>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</si>
  <si>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</si>
  <si>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</si>
  <si>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</si>
  <si>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</si>
  <si>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</si>
  <si>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</si>
  <si>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</si>
  <si>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</si>
  <si>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</si>
  <si>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</si>
  <si>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</si>
  <si>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</si>
  <si>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</si>
  <si>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</si>
  <si>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</si>
  <si>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</si>
  <si>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</si>
  <si>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</si>
  <si>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</si>
  <si>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</si>
  <si>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</si>
  <si>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</si>
  <si>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</si>
  <si>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</si>
  <si>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</si>
  <si>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</si>
  <si>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</si>
  <si>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</si>
  <si>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</si>
  <si>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</si>
  <si>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</si>
  <si>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</si>
  <si>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</si>
  <si>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</si>
  <si>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</si>
  <si>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</si>
  <si>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</si>
  <si>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</si>
  <si>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</si>
  <si>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</si>
  <si>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</si>
  <si>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</si>
  <si>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</si>
  <si>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</si>
  <si>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</si>
  <si>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</si>
  <si>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</si>
  <si>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</si>
  <si>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</si>
  <si>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</si>
  <si>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</si>
  <si>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</si>
  <si>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</si>
  <si>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</si>
  <si>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</si>
  <si>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</si>
  <si>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</si>
  <si>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</si>
  <si>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</si>
  <si>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</si>
  <si>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</si>
  <si>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</si>
  <si>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</si>
  <si>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</si>
  <si>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</si>
  <si>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</si>
  <si>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</si>
  <si>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</si>
  <si>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</si>
  <si>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</si>
  <si>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</si>
  <si>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</si>
  <si>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</si>
  <si>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</si>
  <si>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</si>
  <si>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</si>
  <si>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</si>
  <si>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</si>
  <si>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</si>
  <si>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</si>
  <si>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</si>
  <si>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</si>
  <si>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</si>
  <si>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</si>
  <si>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</si>
  <si>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</si>
  <si>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</si>
  <si>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</si>
  <si>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</si>
  <si>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</si>
  <si>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</si>
  <si>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</si>
  <si>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</si>
  <si>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</si>
  <si>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</si>
  <si>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</si>
  <si>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</si>
  <si>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</si>
  <si>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</si>
  <si>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</si>
  <si>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</si>
  <si>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</si>
  <si>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</si>
  <si>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</si>
  <si>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</si>
  <si>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</si>
  <si>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</si>
  <si>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</si>
  <si>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</si>
  <si>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</si>
  <si>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</si>
  <si>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</si>
  <si>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</si>
  <si>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</si>
  <si>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</si>
  <si>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</si>
  <si>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</si>
  <si>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</si>
  <si>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</si>
  <si>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</si>
  <si>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</si>
  <si>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</si>
  <si>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</si>
  <si>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</si>
  <si>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</si>
  <si>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</si>
  <si>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</si>
  <si>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</si>
  <si>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</si>
  <si>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</si>
  <si>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</si>
  <si>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</si>
  <si>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</si>
  <si>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</si>
  <si>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</si>
  <si>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</si>
  <si>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</si>
  <si>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</si>
  <si>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</si>
  <si>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</si>
  <si>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</si>
  <si>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</si>
  <si>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</si>
  <si>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</si>
  <si>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</si>
  <si>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</si>
  <si>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</si>
  <si>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</si>
  <si>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</si>
  <si>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</si>
  <si>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</si>
  <si>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</si>
  <si>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</si>
  <si>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</si>
  <si>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</si>
  <si>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</si>
  <si>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</si>
  <si>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</si>
  <si>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</si>
  <si>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</si>
  <si>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</si>
  <si>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</si>
  <si>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</si>
  <si>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</si>
  <si>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</si>
  <si>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</si>
  <si>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</si>
  <si>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</si>
  <si>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</si>
  <si>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</si>
  <si>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</si>
  <si>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</si>
  <si>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</si>
  <si>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</si>
  <si>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</si>
  <si>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</si>
  <si>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</si>
  <si>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</si>
  <si>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</si>
  <si>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</si>
  <si>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</si>
  <si>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</si>
  <si>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</si>
  <si>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</si>
  <si>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</si>
  <si>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</si>
  <si>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</si>
  <si>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</si>
  <si>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</si>
  <si>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</si>
  <si>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</si>
  <si>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</si>
  <si>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</si>
  <si>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</si>
  <si>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</si>
  <si>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</si>
  <si>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</si>
  <si>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</si>
  <si>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</si>
  <si>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</si>
  <si>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</si>
  <si>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</si>
  <si>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</si>
  <si>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</si>
  <si>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</si>
  <si>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</si>
  <si>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</si>
  <si>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</si>
  <si>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</si>
  <si>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</si>
  <si>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</si>
  <si>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</si>
  <si>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</si>
  <si>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</si>
  <si>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</si>
  <si>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</si>
  <si>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</si>
  <si>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</si>
  <si>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</si>
  <si>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</si>
  <si>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</si>
  <si>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</si>
  <si>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</si>
  <si>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</si>
  <si>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</si>
  <si>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</si>
  <si>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</si>
  <si>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</si>
  <si>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</si>
  <si>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</si>
  <si>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</si>
  <si>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</si>
  <si>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</si>
  <si>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</si>
  <si>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</si>
  <si>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</si>
  <si>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</si>
  <si>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</si>
  <si>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</si>
  <si>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</si>
  <si>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</si>
  <si>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</si>
  <si>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</si>
  <si>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</si>
  <si>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</si>
  <si>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</si>
  <si>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</si>
  <si>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</si>
  <si>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</si>
  <si>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</si>
  <si>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</si>
  <si>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</si>
  <si>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</si>
  <si>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</si>
  <si>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</si>
  <si>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</si>
  <si>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</si>
  <si>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</si>
  <si>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</si>
  <si>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</si>
  <si>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</si>
  <si>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</si>
  <si>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</si>
  <si>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</si>
  <si>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</si>
  <si>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</si>
  <si>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</si>
  <si>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</si>
  <si>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</si>
  <si>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</si>
  <si>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</si>
  <si>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</si>
  <si>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</si>
  <si>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</si>
  <si>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</si>
  <si>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</si>
  <si>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</si>
  <si>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</si>
  <si>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</si>
  <si>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</si>
  <si>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</si>
  <si>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</si>
  <si>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</si>
  <si>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</si>
  <si>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</si>
  <si>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</si>
  <si>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</si>
  <si>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</si>
  <si>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</si>
  <si>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</si>
  <si>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</si>
  <si>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</si>
  <si>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</si>
  <si>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</si>
  <si>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</si>
  <si>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</si>
  <si>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</si>
  <si>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</si>
  <si>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</si>
  <si>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</si>
  <si>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</si>
  <si>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</si>
  <si>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</si>
  <si>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</si>
  <si>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</si>
  <si>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</si>
  <si>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</si>
  <si>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</si>
  <si>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</si>
  <si>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</si>
  <si>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</si>
  <si>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</si>
  <si>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</si>
  <si>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</si>
  <si>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</si>
  <si>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</si>
  <si>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</si>
  <si>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</si>
  <si>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</si>
  <si>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</si>
  <si>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</si>
  <si>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</si>
  <si>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</si>
  <si>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</si>
  <si>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</si>
  <si>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</si>
  <si>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</si>
  <si>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</si>
  <si>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</si>
  <si>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</si>
  <si>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</si>
  <si>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</si>
  <si>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</si>
  <si>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</si>
  <si>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</si>
  <si>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</si>
  <si>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</si>
  <si>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</si>
  <si>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</si>
  <si>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</si>
  <si>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</si>
  <si>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</si>
  <si>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</si>
  <si>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</si>
  <si>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</si>
  <si>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</si>
  <si>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</si>
  <si>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</si>
  <si>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</si>
  <si>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</si>
  <si>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</si>
  <si>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</si>
  <si>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</si>
  <si>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</si>
  <si>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</si>
  <si>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</si>
  <si>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</si>
  <si>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</si>
  <si>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</si>
  <si>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</si>
  <si>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</si>
  <si>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</si>
  <si>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</si>
  <si>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</si>
  <si>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</si>
  <si>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</si>
  <si>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</si>
  <si>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</si>
  <si>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</si>
  <si>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</si>
  <si>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</si>
  <si>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</si>
  <si>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</si>
  <si>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</si>
  <si>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</si>
  <si>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</si>
  <si>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</si>
  <si>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</si>
  <si>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</si>
  <si>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</si>
  <si>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</si>
  <si>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</si>
  <si>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</si>
  <si>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</si>
  <si>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</si>
  <si>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</si>
  <si>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</si>
  <si>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</si>
  <si>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</si>
  <si>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</si>
  <si>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</si>
  <si>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</si>
  <si>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</si>
  <si>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</si>
  <si>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</si>
  <si>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</si>
  <si>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</si>
  <si>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</si>
  <si>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</si>
  <si>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</si>
  <si>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</si>
  <si>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</si>
  <si>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</si>
  <si>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</si>
  <si>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</si>
  <si>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</si>
  <si>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</si>
  <si>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</si>
  <si>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</si>
  <si>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</si>
  <si>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</si>
  <si>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</si>
  <si>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</si>
  <si>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</si>
  <si>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Ⅹ-平1</t>
  </si>
  <si>
    <t>城镇住宅用地</t>
  </si>
  <si>
    <t>自定义容积率</t>
  </si>
  <si>
    <t>通路</t>
  </si>
  <si>
    <t>通电</t>
  </si>
  <si>
    <t>通讯</t>
  </si>
  <si>
    <t>通上水</t>
  </si>
  <si>
    <t>通下水</t>
  </si>
  <si>
    <t>通热</t>
  </si>
  <si>
    <t>燃气</t>
  </si>
  <si>
    <t>平整</t>
  </si>
  <si>
    <t>不临65条商业街</t>
  </si>
  <si>
    <t>无</t>
  </si>
  <si>
    <t>1000米以外</t>
  </si>
  <si>
    <t>北京市</t>
  </si>
  <si>
    <t>企业</t>
  </si>
  <si>
    <t>核定资产</t>
  </si>
  <si>
    <t>房地产市场价值</t>
  </si>
  <si>
    <t>仓储</t>
    <phoneticPr fontId="7" type="noConversion"/>
  </si>
  <si>
    <t>未包含在土地购买价格中</t>
  </si>
  <si>
    <t>已包含在土地取得成本中</t>
  </si>
  <si>
    <t>是</t>
  </si>
  <si>
    <t>成新度</t>
  </si>
  <si>
    <t>观岭家园仓储未售</t>
    <phoneticPr fontId="134" type="noConversion"/>
  </si>
  <si>
    <t>序号</t>
    <phoneticPr fontId="134" type="noConversion"/>
  </si>
  <si>
    <t>仓储所在楼号</t>
    <phoneticPr fontId="134" type="noConversion"/>
  </si>
  <si>
    <t>预测仓储房号</t>
    <phoneticPr fontId="134" type="noConversion"/>
  </si>
  <si>
    <t>实测仓储房号</t>
    <phoneticPr fontId="134" type="noConversion"/>
  </si>
  <si>
    <t>仓储楼层</t>
    <phoneticPr fontId="134" type="noConversion"/>
  </si>
  <si>
    <t>房屋坐落</t>
    <phoneticPr fontId="134" type="noConversion"/>
  </si>
  <si>
    <t>备注</t>
    <phoneticPr fontId="134" type="noConversion"/>
  </si>
  <si>
    <t>A1</t>
    <phoneticPr fontId="134" type="noConversion"/>
  </si>
  <si>
    <t>A1-108</t>
  </si>
  <si>
    <t>A1-B101</t>
  </si>
  <si>
    <t>-1</t>
    <phoneticPr fontId="134" type="noConversion"/>
  </si>
  <si>
    <t>平谷区兴谷街道寨笆路8号院1号楼-1层B101</t>
    <phoneticPr fontId="134" type="noConversion"/>
  </si>
  <si>
    <t>A1-109</t>
  </si>
  <si>
    <t>A1-B102</t>
  </si>
  <si>
    <t>平谷区兴谷街道寨笆路8号院1号楼-1层B102</t>
  </si>
  <si>
    <t>A1-110</t>
  </si>
  <si>
    <t>A1-B103</t>
  </si>
  <si>
    <t>平谷区兴谷街道寨笆路8号院1号楼-1层B103</t>
  </si>
  <si>
    <t>A1-107</t>
  </si>
  <si>
    <t>A1-B105</t>
  </si>
  <si>
    <t>平谷区兴谷街道寨笆路8号院1号楼-1层B105</t>
    <phoneticPr fontId="134" type="noConversion"/>
  </si>
  <si>
    <t>A1-112</t>
  </si>
  <si>
    <t>A1-B106</t>
  </si>
  <si>
    <t>平谷区兴谷街道寨笆路8号院1号楼-1层B106</t>
  </si>
  <si>
    <t>A1-113</t>
  </si>
  <si>
    <t>A1-B107</t>
  </si>
  <si>
    <t>平谷区兴谷街道寨笆路8号院1号楼-1层B107</t>
  </si>
  <si>
    <t>A1-114</t>
  </si>
  <si>
    <t>A1-B108</t>
  </si>
  <si>
    <t>平谷区兴谷街道寨笆路8号院1号楼-1层B108</t>
  </si>
  <si>
    <t>A1-115</t>
  </si>
  <si>
    <t>A1-B109</t>
  </si>
  <si>
    <t>平谷区兴谷街道寨笆路8号院1号楼-1层B109</t>
  </si>
  <si>
    <t>A1-116</t>
  </si>
  <si>
    <t>A1-B110</t>
  </si>
  <si>
    <t>平谷区兴谷街道寨笆路8号院1号楼-1层B110</t>
  </si>
  <si>
    <t>A1-117</t>
  </si>
  <si>
    <t>A1-B111</t>
  </si>
  <si>
    <t>平谷区兴谷街道寨笆路8号院1号楼-1层B111</t>
  </si>
  <si>
    <t>A1-118</t>
  </si>
  <si>
    <t>A1-B112</t>
  </si>
  <si>
    <t>平谷区兴谷街道寨笆路8号院1号楼-1层B112</t>
  </si>
  <si>
    <t>A1-119</t>
  </si>
  <si>
    <t>A1-B113</t>
  </si>
  <si>
    <t>平谷区兴谷街道寨笆路8号院1号楼-1层B113</t>
  </si>
  <si>
    <t>A1-106</t>
  </si>
  <si>
    <t>A1-B114</t>
  </si>
  <si>
    <t>平谷区兴谷街道寨笆路8号院1号楼-1层B114</t>
  </si>
  <si>
    <t>A1-105</t>
  </si>
  <si>
    <t>A1-B115</t>
  </si>
  <si>
    <t>平谷区兴谷街道寨笆路8号院1号楼-1层B115</t>
  </si>
  <si>
    <t>A1-120</t>
  </si>
  <si>
    <t>A1-B116</t>
  </si>
  <si>
    <t>平谷区兴谷街道寨笆路8号院1号楼-1层B116</t>
  </si>
  <si>
    <t>A1-104</t>
  </si>
  <si>
    <t>A1-B121</t>
  </si>
  <si>
    <t>平谷区兴谷街道寨笆路8号院1号楼-1层B121</t>
    <phoneticPr fontId="134" type="noConversion"/>
  </si>
  <si>
    <t>A1-103</t>
  </si>
  <si>
    <t>A1-B122</t>
  </si>
  <si>
    <t>平谷区兴谷街道寨笆路8号院1号楼-1层B122</t>
  </si>
  <si>
    <t>A1-125</t>
  </si>
  <si>
    <t>A1-B123</t>
  </si>
  <si>
    <t>平谷区兴谷街道寨笆路8号院1号楼-1层B123</t>
  </si>
  <si>
    <t>A1-126</t>
  </si>
  <si>
    <t>A1-B124</t>
  </si>
  <si>
    <t>平谷区兴谷街道寨笆路8号院1号楼-1层B124</t>
  </si>
  <si>
    <t>A1-127</t>
  </si>
  <si>
    <t>A1-B125</t>
  </si>
  <si>
    <t>平谷区兴谷街道寨笆路8号院1号楼-1层B125</t>
  </si>
  <si>
    <t>A1-128</t>
  </si>
  <si>
    <t>A1-B126</t>
  </si>
  <si>
    <t>平谷区兴谷街道寨笆路8号院1号楼-1层B126</t>
  </si>
  <si>
    <t>A1-129</t>
  </si>
  <si>
    <t>A1-B127</t>
  </si>
  <si>
    <t>平谷区兴谷街道寨笆路8号院1号楼-1层B127</t>
  </si>
  <si>
    <t>A1-130</t>
  </si>
  <si>
    <t>A1-B128</t>
  </si>
  <si>
    <t>平谷区兴谷街道寨笆路8号院1号楼-1层B128</t>
  </si>
  <si>
    <t>A1-102</t>
  </si>
  <si>
    <t>A1-B129</t>
  </si>
  <si>
    <t>平谷区兴谷街道寨笆路8号院1号楼-1层B129</t>
  </si>
  <si>
    <t>A1-131</t>
  </si>
  <si>
    <t>A1-B130</t>
  </si>
  <si>
    <t>平谷区兴谷街道寨笆路8号院1号楼-1层B130</t>
  </si>
  <si>
    <t>A1-132</t>
  </si>
  <si>
    <t>A1-B131</t>
  </si>
  <si>
    <t>平谷区兴谷街道寨笆路8号院1号楼-1层B131</t>
  </si>
  <si>
    <t>A1-101</t>
  </si>
  <si>
    <t>A1-B132</t>
  </si>
  <si>
    <t>平谷区兴谷街道寨笆路8号院1号楼-1层B132</t>
  </si>
  <si>
    <t>A1-222</t>
  </si>
  <si>
    <t>A1-B201</t>
  </si>
  <si>
    <t>-2</t>
    <phoneticPr fontId="134" type="noConversion"/>
  </si>
  <si>
    <t>平谷区兴谷街道寨笆路8号院1号楼-2层B201</t>
    <phoneticPr fontId="134" type="noConversion"/>
  </si>
  <si>
    <t>A1-221</t>
  </si>
  <si>
    <t>A1-B202</t>
  </si>
  <si>
    <t>平谷区兴谷街道寨笆路8号院1号楼-2层B202</t>
  </si>
  <si>
    <t>A1-219</t>
  </si>
  <si>
    <t>A1-B204</t>
  </si>
  <si>
    <t>平谷区兴谷街道寨笆路8号院1号楼-2层B204</t>
    <phoneticPr fontId="134" type="noConversion"/>
  </si>
  <si>
    <t>A1-223</t>
  </si>
  <si>
    <t>A1-B205</t>
  </si>
  <si>
    <t>平谷区兴谷街道寨笆路8号院1号楼-2层B205</t>
  </si>
  <si>
    <t>A1-224</t>
  </si>
  <si>
    <t>A1-B206</t>
  </si>
  <si>
    <t>平谷区兴谷街道寨笆路8号院1号楼-2层B206</t>
  </si>
  <si>
    <t>A1-225</t>
  </si>
  <si>
    <t>A1-B207</t>
  </si>
  <si>
    <t>平谷区兴谷街道寨笆路8号院1号楼-2层B207</t>
  </si>
  <si>
    <t>A1-232</t>
  </si>
  <si>
    <t>A1-B214</t>
  </si>
  <si>
    <t>平谷区兴谷街道寨笆路8号院1号楼-2层B214</t>
    <phoneticPr fontId="134" type="noConversion"/>
  </si>
  <si>
    <t>A1-218</t>
  </si>
  <si>
    <t>A1-B216</t>
  </si>
  <si>
    <t>平谷区兴谷街道寨笆路8号院1号楼-2层B216</t>
    <phoneticPr fontId="134" type="noConversion"/>
  </si>
  <si>
    <t>A1-236</t>
  </si>
  <si>
    <t>A1-B222</t>
  </si>
  <si>
    <t>平谷区兴谷街道寨笆路8号院1号楼-2层B222</t>
    <phoneticPr fontId="134" type="noConversion"/>
  </si>
  <si>
    <t>A1-214</t>
  </si>
  <si>
    <t>A1-B223</t>
  </si>
  <si>
    <t>平谷区兴谷街道寨笆路8号院1号楼-2层B223</t>
  </si>
  <si>
    <t>A1-213</t>
  </si>
  <si>
    <t>A1-B224</t>
  </si>
  <si>
    <t>平谷区兴谷街道寨笆路8号院1号楼-2层B224</t>
  </si>
  <si>
    <t>A1-212</t>
  </si>
  <si>
    <t>A1-B227</t>
  </si>
  <si>
    <t>平谷区兴谷街道寨笆路8号院1号楼-2层B227</t>
    <phoneticPr fontId="134" type="noConversion"/>
  </si>
  <si>
    <t>A1-211</t>
  </si>
  <si>
    <t>A1-B228</t>
  </si>
  <si>
    <t>平谷区兴谷街道寨笆路8号院1号楼-2层B228</t>
  </si>
  <si>
    <t>A1-210</t>
  </si>
  <si>
    <t>A1-B231</t>
  </si>
  <si>
    <t>平谷区兴谷街道寨笆路8号院1号楼-2层B231</t>
    <phoneticPr fontId="134" type="noConversion"/>
  </si>
  <si>
    <t>A1-209</t>
  </si>
  <si>
    <t>A1-B232</t>
  </si>
  <si>
    <t>平谷区兴谷街道寨笆路8号院1号楼-2层B232</t>
  </si>
  <si>
    <t>A1-242</t>
  </si>
  <si>
    <t>A1-B234</t>
  </si>
  <si>
    <t>平谷区兴谷街道寨笆路8号院1号楼-2层B234</t>
    <phoneticPr fontId="134" type="noConversion"/>
  </si>
  <si>
    <t>A1-204</t>
  </si>
  <si>
    <t>A1-B247</t>
  </si>
  <si>
    <t>平谷区兴谷街道寨笆路8号院1号楼-2层B247</t>
    <phoneticPr fontId="134" type="noConversion"/>
  </si>
  <si>
    <t>A1-202</t>
  </si>
  <si>
    <t>A1-B249</t>
  </si>
  <si>
    <t>平谷区兴谷街道寨笆路8号院1号楼-2层B249</t>
    <phoneticPr fontId="134" type="noConversion"/>
  </si>
  <si>
    <t>A1-252</t>
  </si>
  <si>
    <t>A1-B251</t>
  </si>
  <si>
    <t>平谷区兴谷街道寨笆路8号院1号楼-2层B251</t>
    <phoneticPr fontId="134" type="noConversion"/>
  </si>
  <si>
    <t>A2</t>
    <phoneticPr fontId="134" type="noConversion"/>
  </si>
  <si>
    <t>A2-105</t>
  </si>
  <si>
    <t>A2-B101</t>
  </si>
  <si>
    <t>平谷区兴谷街道寨笆路8号院2号楼-1层B101</t>
    <phoneticPr fontId="134" type="noConversion"/>
  </si>
  <si>
    <t>A2-106</t>
  </si>
  <si>
    <t>A2-B102</t>
  </si>
  <si>
    <t>平谷区兴谷街道寨笆路8号院2号楼-1层B102</t>
  </si>
  <si>
    <t>A2-107</t>
  </si>
  <si>
    <t>A2-B103</t>
  </si>
  <si>
    <t>平谷区兴谷街道寨笆路8号院2号楼-1层B103</t>
  </si>
  <si>
    <t>A2-108</t>
  </si>
  <si>
    <t>A2-B104</t>
  </si>
  <si>
    <t>平谷区兴谷街道寨笆路8号院2号楼-1层B104</t>
  </si>
  <si>
    <t>A2-109</t>
  </si>
  <si>
    <t>A2-B105</t>
  </si>
  <si>
    <t>平谷区兴谷街道寨笆路8号院2号楼-1层B105</t>
  </si>
  <si>
    <t>A2-110</t>
  </si>
  <si>
    <t>A2-B106</t>
  </si>
  <si>
    <t>平谷区兴谷街道寨笆路8号院2号楼-1层B106</t>
  </si>
  <si>
    <t>A2-103</t>
  </si>
  <si>
    <t>A2-B108</t>
  </si>
  <si>
    <t>平谷区兴谷街道寨笆路8号院2号楼-1层B108</t>
    <phoneticPr fontId="134" type="noConversion"/>
  </si>
  <si>
    <t>A2-113</t>
  </si>
  <si>
    <t>A2-B111</t>
  </si>
  <si>
    <t>平谷区兴谷街道寨笆路8号院2号楼-1层B111</t>
    <phoneticPr fontId="134" type="noConversion"/>
  </si>
  <si>
    <t>A2-114</t>
  </si>
  <si>
    <t>A2-B112</t>
  </si>
  <si>
    <t>平谷区兴谷街道寨笆路8号院2号楼-1层B112</t>
  </si>
  <si>
    <t>A2-101</t>
  </si>
  <si>
    <t>A2-B113</t>
  </si>
  <si>
    <t>平谷区兴谷街道寨笆路8号院2号楼-1层B113</t>
  </si>
  <si>
    <t>A2-102</t>
  </si>
  <si>
    <t>A2-B114</t>
  </si>
  <si>
    <t>平谷区兴谷街道寨笆路8号院2号楼-1层B114</t>
  </si>
  <si>
    <t>A2-211</t>
  </si>
  <si>
    <t>A2-B201</t>
  </si>
  <si>
    <t>平谷区兴谷街道寨笆路8号院2号楼-2层B201</t>
    <phoneticPr fontId="134" type="noConversion"/>
  </si>
  <si>
    <t>A2-210</t>
  </si>
  <si>
    <t>A2-B202</t>
  </si>
  <si>
    <t>平谷区兴谷街道寨笆路8号院2号楼-2层B202</t>
  </si>
  <si>
    <t>A2-209</t>
  </si>
  <si>
    <t>A2-B203</t>
  </si>
  <si>
    <t>平谷区兴谷街道寨笆路8号院2号楼-2层B203</t>
  </si>
  <si>
    <t>A2-208</t>
  </si>
  <si>
    <t>A2-B204</t>
  </si>
  <si>
    <t>平谷区兴谷街道寨笆路8号院2号楼-2层B204</t>
  </si>
  <si>
    <t>A2-212</t>
  </si>
  <si>
    <t>A2-B205</t>
  </si>
  <si>
    <t>平谷区兴谷街道寨笆路8号院2号楼-2层B205</t>
  </si>
  <si>
    <t>A2-213</t>
  </si>
  <si>
    <t>A2-B206</t>
  </si>
  <si>
    <t>平谷区兴谷街道寨笆路8号院2号楼-2层B206</t>
  </si>
  <si>
    <t>A2-215</t>
  </si>
  <si>
    <t>A2-B208</t>
  </si>
  <si>
    <t>平谷区兴谷街道寨笆路8号院2号楼-2层B208</t>
    <phoneticPr fontId="134" type="noConversion"/>
  </si>
  <si>
    <t>A2-216</t>
  </si>
  <si>
    <t>A2-B209</t>
  </si>
  <si>
    <t>平谷区兴谷街道寨笆路8号院2号楼-2层B209</t>
  </si>
  <si>
    <t>A2-217</t>
  </si>
  <si>
    <t>A2-B210</t>
  </si>
  <si>
    <t>平谷区兴谷街道寨笆路8号院2号楼-2层B210</t>
  </si>
  <si>
    <t>A2-220</t>
  </si>
  <si>
    <t>A2-B213</t>
  </si>
  <si>
    <t>平谷区兴谷街道寨笆路8号院2号楼-2层B213</t>
    <phoneticPr fontId="134" type="noConversion"/>
  </si>
  <si>
    <t>A2-222</t>
  </si>
  <si>
    <t>A2-B217</t>
  </si>
  <si>
    <t>平谷区兴谷街道寨笆路8号院2号楼-2层B217</t>
    <phoneticPr fontId="134" type="noConversion"/>
  </si>
  <si>
    <t>A2-223</t>
  </si>
  <si>
    <t>A2-B218</t>
  </si>
  <si>
    <t>平谷区兴谷街道寨笆路8号院2号楼-2层B218</t>
  </si>
  <si>
    <t>A2-224</t>
  </si>
  <si>
    <t>A2-B219</t>
  </si>
  <si>
    <t>平谷区兴谷街道寨笆路8号院2号楼-2层B219</t>
  </si>
  <si>
    <t>A2-201</t>
  </si>
  <si>
    <t>A2-B221</t>
  </si>
  <si>
    <t>平谷区兴谷街道寨笆路8号院2号楼-2层B221</t>
    <phoneticPr fontId="134" type="noConversion"/>
  </si>
  <si>
    <t>A2-202</t>
  </si>
  <si>
    <t>A2-B222</t>
  </si>
  <si>
    <t>平谷区兴谷街道寨笆路8号院2号楼-2层B222</t>
  </si>
  <si>
    <t>A2-203</t>
  </si>
  <si>
    <t>A2-B223</t>
  </si>
  <si>
    <t>平谷区兴谷街道寨笆路8号院2号楼-2层B223</t>
  </si>
  <si>
    <t>A2-204</t>
  </si>
  <si>
    <t>A2-B224</t>
  </si>
  <si>
    <t>平谷区兴谷街道寨笆路8号院2号楼-2层B224</t>
  </si>
  <si>
    <t>A3</t>
    <phoneticPr fontId="134" type="noConversion"/>
  </si>
  <si>
    <t>A3-108</t>
  </si>
  <si>
    <t>A3-B101</t>
  </si>
  <si>
    <t>平谷区兴谷街道寨笆路8号院3号楼-1层B101</t>
    <phoneticPr fontId="134" type="noConversion"/>
  </si>
  <si>
    <t>A3-109</t>
  </si>
  <si>
    <t>A3-B103</t>
  </si>
  <si>
    <t>平谷区兴谷街道寨笆路8号院3号楼-1层B103</t>
    <phoneticPr fontId="134" type="noConversion"/>
  </si>
  <si>
    <t>A3-110</t>
  </si>
  <si>
    <t>A3-B104</t>
  </si>
  <si>
    <t>平谷区兴谷街道寨笆路8号院3号楼-1层B104</t>
  </si>
  <si>
    <t>A3-111</t>
  </si>
  <si>
    <t>A3-B105</t>
  </si>
  <si>
    <t>平谷区兴谷街道寨笆路8号院3号楼-1层B105</t>
  </si>
  <si>
    <t>A3-112</t>
  </si>
  <si>
    <t>A3-B106</t>
  </si>
  <si>
    <t>平谷区兴谷街道寨笆路8号院3号楼-1层B106</t>
  </si>
  <si>
    <t>A3-113</t>
  </si>
  <si>
    <t>A3-B107</t>
  </si>
  <si>
    <t>平谷区兴谷街道寨笆路8号院3号楼-1层B107</t>
  </si>
  <si>
    <t>A3-114</t>
  </si>
  <si>
    <t>A3-B108</t>
  </si>
  <si>
    <t>平谷区兴谷街道寨笆路8号院3号楼-1层B108</t>
  </si>
  <si>
    <t>A3-115</t>
  </si>
  <si>
    <t>A3-B109</t>
  </si>
  <si>
    <t>平谷区兴谷街道寨笆路8号院3号楼-1层B109</t>
  </si>
  <si>
    <t>A3-116</t>
  </si>
  <si>
    <t>A3-B110</t>
  </si>
  <si>
    <t>平谷区兴谷街道寨笆路8号院3号楼-1层B110</t>
  </si>
  <si>
    <t>A3-106</t>
  </si>
  <si>
    <t>A3-B111</t>
  </si>
  <si>
    <t>平谷区兴谷街道寨笆路8号院3号楼-1层B111</t>
  </si>
  <si>
    <t>A3-117</t>
  </si>
  <si>
    <t>A3-B113</t>
  </si>
  <si>
    <t>平谷区兴谷街道寨笆路8号院3号楼-1层B113</t>
    <phoneticPr fontId="134" type="noConversion"/>
  </si>
  <si>
    <t>A3-119</t>
  </si>
  <si>
    <t>A3-B115</t>
  </si>
  <si>
    <t>平谷区兴谷街道寨笆路8号院3号楼-1层B115</t>
    <phoneticPr fontId="134" type="noConversion"/>
  </si>
  <si>
    <t>A3-120</t>
  </si>
  <si>
    <t>A3-B116</t>
  </si>
  <si>
    <t>平谷区兴谷街道寨笆路8号院3号楼-1层B116</t>
  </si>
  <si>
    <t>A3-121</t>
  </si>
  <si>
    <t>A3-B117</t>
  </si>
  <si>
    <t>平谷区兴谷街道寨笆路8号院3号楼-1层B117</t>
  </si>
  <si>
    <t>A3-104</t>
  </si>
  <si>
    <t>A3-B118</t>
  </si>
  <si>
    <t>平谷区兴谷街道寨笆路8号院3号楼-1层B118</t>
  </si>
  <si>
    <t>A3-103</t>
  </si>
  <si>
    <t>A3-B119</t>
  </si>
  <si>
    <t>平谷区兴谷街道寨笆路8号院3号楼-1层B119</t>
  </si>
  <si>
    <t>A3-122</t>
  </si>
  <si>
    <t>A3-B120</t>
  </si>
  <si>
    <t>平谷区兴谷街道寨笆路8号院3号楼-1层B120</t>
  </si>
  <si>
    <t>A3-123</t>
  </si>
  <si>
    <t>A3-B121</t>
  </si>
  <si>
    <t>平谷区兴谷街道寨笆路8号院3号楼-1层B121</t>
  </si>
  <si>
    <t>A3-124</t>
  </si>
  <si>
    <t>A3-B122</t>
  </si>
  <si>
    <t>平谷区兴谷街道寨笆路8号院3号楼-1层B122</t>
  </si>
  <si>
    <t>A3-126</t>
  </si>
  <si>
    <t>A3-B124</t>
  </si>
  <si>
    <t>平谷区兴谷街道寨笆路8号院3号楼-1层B124</t>
    <phoneticPr fontId="134" type="noConversion"/>
  </si>
  <si>
    <t>A3-127</t>
  </si>
  <si>
    <t>A3-B125</t>
  </si>
  <si>
    <t>平谷区兴谷街道寨笆路8号院3号楼-1层B125</t>
  </si>
  <si>
    <t>A3-128</t>
  </si>
  <si>
    <t>A3-B126</t>
  </si>
  <si>
    <t>平谷区兴谷街道寨笆路8号院3号楼-1层B126</t>
  </si>
  <si>
    <t>A3-129</t>
  </si>
  <si>
    <t>A3-B127</t>
  </si>
  <si>
    <t>平谷区兴谷街道寨笆路8号院3号楼-1层B127</t>
  </si>
  <si>
    <t>A3-130</t>
  </si>
  <si>
    <t>A3-B128</t>
  </si>
  <si>
    <t>平谷区兴谷街道寨笆路8号院3号楼-1层B128</t>
  </si>
  <si>
    <t>A3-131</t>
  </si>
  <si>
    <t>A3-B129</t>
  </si>
  <si>
    <t>平谷区兴谷街道寨笆路8号院3号楼-1层B129</t>
  </si>
  <si>
    <t>A3-132</t>
  </si>
  <si>
    <t>A3-B130</t>
  </si>
  <si>
    <t>平谷区兴谷街道寨笆路8号院3号楼-1层B130</t>
  </si>
  <si>
    <t>A3-101</t>
  </si>
  <si>
    <t>A3-B132</t>
  </si>
  <si>
    <t>平谷区兴谷街道寨笆路8号院3号楼-1层B132</t>
    <phoneticPr fontId="134" type="noConversion"/>
  </si>
  <si>
    <t>A3-221</t>
  </si>
  <si>
    <t>A3-B202</t>
  </si>
  <si>
    <t>平谷区兴谷街道寨笆路8号院3号楼-2层B202</t>
    <phoneticPr fontId="134" type="noConversion"/>
  </si>
  <si>
    <t>A3-220</t>
  </si>
  <si>
    <t>A3-B203</t>
  </si>
  <si>
    <t>平谷区兴谷街道寨笆路8号院3号楼-2层B203</t>
  </si>
  <si>
    <t>A3-219</t>
  </si>
  <si>
    <t>A3-B204</t>
  </si>
  <si>
    <t>平谷区兴谷街道寨笆路8号院3号楼-2层B204</t>
  </si>
  <si>
    <t>A3-223</t>
  </si>
  <si>
    <t>A3-B205</t>
  </si>
  <si>
    <t>平谷区兴谷街道寨笆路8号院3号楼-2层B205</t>
  </si>
  <si>
    <t>A3-227</t>
  </si>
  <si>
    <t>A3-B209</t>
  </si>
  <si>
    <t>平谷区兴谷街道寨笆路8号院3号楼-2层B209</t>
    <phoneticPr fontId="134" type="noConversion"/>
  </si>
  <si>
    <t>A3-228</t>
  </si>
  <si>
    <t>A3-B210</t>
  </si>
  <si>
    <t>平谷区兴谷街道寨笆路8号院3号楼-2层B210</t>
  </si>
  <si>
    <t>A3-229</t>
  </si>
  <si>
    <t>A3-B211</t>
  </si>
  <si>
    <t>平谷区兴谷街道寨笆路8号院3号楼-2层B211</t>
  </si>
  <si>
    <t>A3-230</t>
  </si>
  <si>
    <t>A3-B212</t>
  </si>
  <si>
    <t>平谷区兴谷街道寨笆路8号院3号楼-2层B212</t>
  </si>
  <si>
    <t>A3-231</t>
  </si>
  <si>
    <t>A3-B213</t>
  </si>
  <si>
    <t>平谷区兴谷街道寨笆路8号院3号楼-2层B213</t>
  </si>
  <si>
    <t>A3-233</t>
  </si>
  <si>
    <t>A3-B219</t>
  </si>
  <si>
    <t>平谷区兴谷街道寨笆路8号院3号楼-2层B219</t>
    <phoneticPr fontId="134" type="noConversion"/>
  </si>
  <si>
    <t>A3-234</t>
  </si>
  <si>
    <t>A3-B220</t>
  </si>
  <si>
    <t>平谷区兴谷街道寨笆路8号院3号楼-2层B220</t>
  </si>
  <si>
    <t>A3-214</t>
  </si>
  <si>
    <t>A3-B221</t>
  </si>
  <si>
    <t>平谷区兴谷街道寨笆路8号院3号楼-2层B221</t>
  </si>
  <si>
    <t>A3-213</t>
  </si>
  <si>
    <t>A3-B222</t>
  </si>
  <si>
    <t>平谷区兴谷街道寨笆路8号院3号楼-2层B222</t>
  </si>
  <si>
    <t>A3-212</t>
  </si>
  <si>
    <t>A3-B225</t>
  </si>
  <si>
    <t>平谷区兴谷街道寨笆路8号院3号楼-2层B225</t>
    <phoneticPr fontId="134" type="noConversion"/>
  </si>
  <si>
    <t>A3-211</t>
  </si>
  <si>
    <t>A3-B226</t>
  </si>
  <si>
    <t>平谷区兴谷街道寨笆路8号院3号楼-2层B226</t>
    <phoneticPr fontId="134" type="noConversion"/>
  </si>
  <si>
    <t>A3-210</t>
  </si>
  <si>
    <t>A3-B229</t>
  </si>
  <si>
    <t>平谷区兴谷街道寨笆路8号院3号楼-2层B229</t>
    <phoneticPr fontId="134" type="noConversion"/>
  </si>
  <si>
    <t>A3-209</t>
  </si>
  <si>
    <t>A3-B230</t>
  </si>
  <si>
    <t>平谷区兴谷街道寨笆路8号院3号楼-2层B230</t>
  </si>
  <si>
    <t>A3-239</t>
  </si>
  <si>
    <t>A3-B231</t>
  </si>
  <si>
    <t>平谷区兴谷街道寨笆路8号院3号楼-2层B231</t>
  </si>
  <si>
    <t>A3-240</t>
  </si>
  <si>
    <t>A3-B232</t>
  </si>
  <si>
    <t>平谷区兴谷街道寨笆路8号院3号楼-2层B232</t>
  </si>
  <si>
    <t>A3-205</t>
  </si>
  <si>
    <t>A3-B237</t>
  </si>
  <si>
    <t>平谷区兴谷街道寨笆路8号院3号楼-2层B237</t>
    <phoneticPr fontId="134" type="noConversion"/>
  </si>
  <si>
    <t>A3-242</t>
  </si>
  <si>
    <t>A3-B238</t>
  </si>
  <si>
    <t>平谷区兴谷街道寨笆路8号院3号楼-2层B238</t>
  </si>
  <si>
    <t>A3-243</t>
  </si>
  <si>
    <t>A3-B239</t>
  </si>
  <si>
    <t>平谷区兴谷街道寨笆路8号院3号楼-2层B239</t>
  </si>
  <si>
    <t>A3-244</t>
  </si>
  <si>
    <t>A3-B240</t>
  </si>
  <si>
    <t>平谷区兴谷街道寨笆路8号院3号楼-2层B240</t>
  </si>
  <si>
    <t>A3-245</t>
  </si>
  <si>
    <t>A3-B241</t>
  </si>
  <si>
    <t>平谷区兴谷街道寨笆路8号院3号楼-2层B241</t>
  </si>
  <si>
    <t>A3-247</t>
  </si>
  <si>
    <t>A3-B243</t>
  </si>
  <si>
    <t>平谷区兴谷街道寨笆路8号院3号楼-2层B243</t>
    <phoneticPr fontId="134" type="noConversion"/>
  </si>
  <si>
    <t>A3-248</t>
  </si>
  <si>
    <t>A3-B244</t>
  </si>
  <si>
    <t>平谷区兴谷街道寨笆路8号院3号楼-2层B244</t>
  </si>
  <si>
    <t>A3-249</t>
  </si>
  <si>
    <t>A3-B245</t>
  </si>
  <si>
    <t>平谷区兴谷街道寨笆路8号院3号楼-2层B245</t>
  </si>
  <si>
    <t>A3-204</t>
  </si>
  <si>
    <t>A3-B247</t>
  </si>
  <si>
    <t>平谷区兴谷街道寨笆路8号院3号楼-2层B247</t>
    <phoneticPr fontId="134" type="noConversion"/>
  </si>
  <si>
    <t>A3-203</t>
  </si>
  <si>
    <t>A3-B248</t>
  </si>
  <si>
    <t>平谷区兴谷街道寨笆路8号院3号楼-2层B248</t>
  </si>
  <si>
    <t>A3-202</t>
  </si>
  <si>
    <t>A3-B249</t>
  </si>
  <si>
    <t>平谷区兴谷街道寨笆路8号院3号楼-2层B249</t>
  </si>
  <si>
    <t>A3-251</t>
  </si>
  <si>
    <t>A3-B250</t>
  </si>
  <si>
    <t>平谷区兴谷街道寨笆路8号院3号楼-2层B250</t>
  </si>
  <si>
    <t>A3-252</t>
  </si>
  <si>
    <t>A3-B251</t>
  </si>
  <si>
    <t>平谷区兴谷街道寨笆路8号院3号楼-2层B251</t>
  </si>
  <si>
    <t>A3-201</t>
  </si>
  <si>
    <t>A3-B252</t>
  </si>
  <si>
    <t>平谷区兴谷街道寨笆路8号院3号楼-2层B252</t>
  </si>
  <si>
    <t>A4</t>
    <phoneticPr fontId="134" type="noConversion"/>
  </si>
  <si>
    <t>A4-102</t>
  </si>
  <si>
    <t>A4-B104</t>
  </si>
  <si>
    <t>平谷区兴谷街道寨笆路8号院4号楼-1层B104</t>
    <phoneticPr fontId="134" type="noConversion"/>
  </si>
  <si>
    <t>-</t>
  </si>
  <si>
    <t>A4-B106</t>
  </si>
  <si>
    <t>平谷区兴谷街道寨笆路8号院4号楼-1层B106</t>
    <phoneticPr fontId="134" type="noConversion"/>
  </si>
  <si>
    <t>A4-B107</t>
  </si>
  <si>
    <t>平谷区兴谷街道寨笆路8号院4号楼-1层B107</t>
  </si>
  <si>
    <t>A4-B108</t>
  </si>
  <si>
    <t>平谷区兴谷街道寨笆路8号院4号楼-1层B108</t>
  </si>
  <si>
    <t>A4-B109</t>
  </si>
  <si>
    <t>平谷区兴谷街道寨笆路8号院4号楼-1层B109</t>
  </si>
  <si>
    <t>A4-109</t>
  </si>
  <si>
    <t>A4-B111</t>
  </si>
  <si>
    <t>平谷区兴谷街道寨笆路8号院4号楼-1层B111</t>
    <phoneticPr fontId="134" type="noConversion"/>
  </si>
  <si>
    <t>A4-110</t>
  </si>
  <si>
    <t>A4-B112</t>
  </si>
  <si>
    <t>平谷区兴谷街道寨笆路8号院4号楼-1层B112</t>
  </si>
  <si>
    <t>A5</t>
    <phoneticPr fontId="134" type="noConversion"/>
  </si>
  <si>
    <t>A5-103</t>
  </si>
  <si>
    <t>A5-B101</t>
  </si>
  <si>
    <t>平谷区兴谷街道寨笆路8号院5号楼-1层B101</t>
    <phoneticPr fontId="134" type="noConversion"/>
  </si>
  <si>
    <t>A5-104</t>
  </si>
  <si>
    <t>A5-B102</t>
  </si>
  <si>
    <t>平谷区兴谷街道寨笆路8号院5号楼-1层B102</t>
  </si>
  <si>
    <t>A5-105</t>
  </si>
  <si>
    <t>A5-B103</t>
  </si>
  <si>
    <t>平谷区兴谷街道寨笆路8号院5号楼-1层B103</t>
  </si>
  <si>
    <t>A5-106</t>
  </si>
  <si>
    <t>A5-B104</t>
  </si>
  <si>
    <t>平谷区兴谷街道寨笆路8号院5号楼-1层B104</t>
  </si>
  <si>
    <t>A5-107</t>
  </si>
  <si>
    <t>A5-B105</t>
  </si>
  <si>
    <t>平谷区兴谷街道寨笆路8号院5号楼-1层B105</t>
  </si>
  <si>
    <t>A5-108</t>
  </si>
  <si>
    <t>A5-B106</t>
  </si>
  <si>
    <t>平谷区兴谷街道寨笆路8号院5号楼-1层B106</t>
  </si>
  <si>
    <t>A5-102</t>
  </si>
  <si>
    <t>A5-B107</t>
  </si>
  <si>
    <t>平谷区兴谷街道寨笆路8号院5号楼-1层B107</t>
  </si>
  <si>
    <t>A5-101</t>
  </si>
  <si>
    <t>A5-B108</t>
  </si>
  <si>
    <t>平谷区兴谷街道寨笆路8号院5号楼-1层B108</t>
  </si>
  <si>
    <t>A5-111</t>
  </si>
  <si>
    <t>A5-B111</t>
  </si>
  <si>
    <t>平谷区兴谷街道寨笆路8号院5号楼-1层B111</t>
    <phoneticPr fontId="134" type="noConversion"/>
  </si>
  <si>
    <t>A5-112</t>
  </si>
  <si>
    <t>A5-B112</t>
  </si>
  <si>
    <t>平谷区兴谷街道寨笆路8号院5号楼-1层B112</t>
  </si>
  <si>
    <t>A5-209</t>
  </si>
  <si>
    <t>A5-B201</t>
  </si>
  <si>
    <t>平谷区兴谷街道寨笆路8号院5号楼-2层B201</t>
    <phoneticPr fontId="134" type="noConversion"/>
  </si>
  <si>
    <t>A5-208</t>
  </si>
  <si>
    <t>A5-B202</t>
  </si>
  <si>
    <t>平谷区兴谷街道寨笆路8号院5号楼-2层B202</t>
  </si>
  <si>
    <t>A5-207</t>
  </si>
  <si>
    <t>A5-B203</t>
  </si>
  <si>
    <t>平谷区兴谷街道寨笆路8号院5号楼-2层B203</t>
  </si>
  <si>
    <t>A5-206</t>
  </si>
  <si>
    <t>A5-B204</t>
  </si>
  <si>
    <t>平谷区兴谷街道寨笆路8号院5号楼-2层B204</t>
  </si>
  <si>
    <t>A5-210</t>
  </si>
  <si>
    <t>A5-B205</t>
  </si>
  <si>
    <t>平谷区兴谷街道寨笆路8号院5号楼-2层B205</t>
  </si>
  <si>
    <t>A5-211</t>
  </si>
  <si>
    <t>A5-B206</t>
  </si>
  <si>
    <t>平谷区兴谷街道寨笆路8号院5号楼-2层B206</t>
  </si>
  <si>
    <t>A5-213</t>
  </si>
  <si>
    <t>A5-B208</t>
  </si>
  <si>
    <t>平谷区兴谷街道寨笆路8号院5号楼-2层B208</t>
    <phoneticPr fontId="134" type="noConversion"/>
  </si>
  <si>
    <t>A5-214</t>
  </si>
  <si>
    <t>A5-B209</t>
  </si>
  <si>
    <t>平谷区兴谷街道寨笆路8号院5号楼-2层B209</t>
  </si>
  <si>
    <t>A5-205</t>
  </si>
  <si>
    <t>A5-B211</t>
  </si>
  <si>
    <t>平谷区兴谷街道寨笆路8号院5号楼-2层B211</t>
    <phoneticPr fontId="134" type="noConversion"/>
  </si>
  <si>
    <t>A5-217</t>
  </si>
  <si>
    <t>A5-B213</t>
  </si>
  <si>
    <t>平谷区兴谷街道寨笆路8号院5号楼-2层B213</t>
    <phoneticPr fontId="134" type="noConversion"/>
  </si>
  <si>
    <t>A5-218</t>
  </si>
  <si>
    <t>A5-B214</t>
  </si>
  <si>
    <t>平谷区兴谷街道寨笆路8号院5号楼-2层B214</t>
  </si>
  <si>
    <t>A5-219</t>
  </si>
  <si>
    <t>A5-B215</t>
  </si>
  <si>
    <t>平谷区兴谷街道寨笆路8号院5号楼-2层B215</t>
  </si>
  <si>
    <t>A5-204</t>
  </si>
  <si>
    <t>A5-B216</t>
  </si>
  <si>
    <t>平谷区兴谷街道寨笆路8号院5号楼-2层B216</t>
  </si>
  <si>
    <t>A5-220</t>
  </si>
  <si>
    <t>A5-B218</t>
  </si>
  <si>
    <t>平谷区兴谷街道寨笆路8号院5号楼-2层B218</t>
    <phoneticPr fontId="134" type="noConversion"/>
  </si>
  <si>
    <t>A5-202</t>
  </si>
  <si>
    <t>A5-B219</t>
  </si>
  <si>
    <t>平谷区兴谷街道寨笆路8号院5号楼-2层B219</t>
  </si>
  <si>
    <t>A6</t>
    <phoneticPr fontId="134" type="noConversion"/>
  </si>
  <si>
    <t>A6-222</t>
  </si>
  <si>
    <t>A6-B201</t>
  </si>
  <si>
    <t>平谷区兴谷街道寨笆路8号院6号楼-2层B201</t>
    <phoneticPr fontId="134" type="noConversion"/>
  </si>
  <si>
    <t>A6-221</t>
  </si>
  <si>
    <t>A6-B202</t>
  </si>
  <si>
    <t>平谷区兴谷街道寨笆路8号院6号楼-2层B202</t>
  </si>
  <si>
    <t>A6-220</t>
  </si>
  <si>
    <t>A6-B203</t>
  </si>
  <si>
    <t>平谷区兴谷街道寨笆路8号院6号楼-2层B203</t>
  </si>
  <si>
    <t>A6-219</t>
  </si>
  <si>
    <t>A6-B204</t>
  </si>
  <si>
    <t>平谷区兴谷街道寨笆路8号院6号楼-2层B204</t>
  </si>
  <si>
    <t>A6-223</t>
  </si>
  <si>
    <t>A6-B205</t>
  </si>
  <si>
    <t>平谷区兴谷街道寨笆路8号院6号楼-2层B205</t>
  </si>
  <si>
    <t>A6-224</t>
  </si>
  <si>
    <t>A6-B206</t>
  </si>
  <si>
    <t>平谷区兴谷街道寨笆路8号院6号楼-2层B206</t>
  </si>
  <si>
    <t>A6-227</t>
  </si>
  <si>
    <t>A6-B209</t>
  </si>
  <si>
    <t>平谷区兴谷街道寨笆路8号院6号楼-2层B209</t>
    <phoneticPr fontId="134" type="noConversion"/>
  </si>
  <si>
    <t>A6-231</t>
  </si>
  <si>
    <t>A6-B213</t>
  </si>
  <si>
    <t>平谷区兴谷街道寨笆路8号院6号楼-2层B213</t>
    <phoneticPr fontId="134" type="noConversion"/>
  </si>
  <si>
    <t>A6-209</t>
  </si>
  <si>
    <t>A6-B230</t>
  </si>
  <si>
    <t>平谷区兴谷街道寨笆路8号院6号楼-2层B230</t>
    <phoneticPr fontId="134" type="noConversion"/>
  </si>
  <si>
    <t>A6-208</t>
  </si>
  <si>
    <t>A6-B233</t>
  </si>
  <si>
    <t>平谷区兴谷街道寨笆路8号院6号楼-2层B233</t>
    <phoneticPr fontId="134" type="noConversion"/>
  </si>
  <si>
    <t>A6-242</t>
  </si>
  <si>
    <t>A6-B238</t>
  </si>
  <si>
    <t>平谷区兴谷街道寨笆路8号院6号楼-2层B238</t>
    <phoneticPr fontId="134" type="noConversion"/>
  </si>
  <si>
    <t>A6-243</t>
  </si>
  <si>
    <t>A6-B239</t>
  </si>
  <si>
    <t>平谷区兴谷街道寨笆路8号院6号楼-2层B239</t>
  </si>
  <si>
    <t>A6-246</t>
  </si>
  <si>
    <t>A6-B242</t>
  </si>
  <si>
    <t>平谷区兴谷街道寨笆路8号院6号楼-2层B242</t>
    <phoneticPr fontId="134" type="noConversion"/>
  </si>
  <si>
    <t>A6-247</t>
  </si>
  <si>
    <t>A6-B243</t>
  </si>
  <si>
    <t>平谷区兴谷街道寨笆路8号院6号楼-2层B243</t>
  </si>
  <si>
    <t>A6-249</t>
  </si>
  <si>
    <t>A6-B244</t>
  </si>
  <si>
    <t>平谷区兴谷街道寨笆路8号院6号楼-2层B244</t>
  </si>
  <si>
    <t>A6-204</t>
  </si>
  <si>
    <t>A6-B246</t>
  </si>
  <si>
    <t>平谷区兴谷街道寨笆路8号院6号楼-2层B246</t>
    <phoneticPr fontId="134" type="noConversion"/>
  </si>
  <si>
    <t>A6-203</t>
  </si>
  <si>
    <t>A6-B247</t>
  </si>
  <si>
    <t>平谷区兴谷街道寨笆路8号院6号楼-2层B247</t>
  </si>
  <si>
    <t>A6-202</t>
  </si>
  <si>
    <t>A6-B248</t>
  </si>
  <si>
    <t>平谷区兴谷街道寨笆路8号院6号楼-2层B248</t>
  </si>
  <si>
    <t>A6-250</t>
  </si>
  <si>
    <t>A6-B249</t>
  </si>
  <si>
    <t>平谷区兴谷街道寨笆路8号院6号楼-2层B249</t>
  </si>
  <si>
    <t>A6-201</t>
  </si>
  <si>
    <t>A6-B250</t>
  </si>
  <si>
    <t>平谷区兴谷街道寨笆路8号院6号楼-2层B250</t>
  </si>
  <si>
    <t>A7</t>
    <phoneticPr fontId="134" type="noConversion"/>
  </si>
  <si>
    <t>A7-104</t>
  </si>
  <si>
    <t>A7-B101</t>
  </si>
  <si>
    <t>平谷区兴谷街道寨笆路8号院7号楼-1层B101</t>
    <phoneticPr fontId="134" type="noConversion"/>
  </si>
  <si>
    <t>A7-105</t>
  </si>
  <si>
    <t>A7-B102</t>
  </si>
  <si>
    <t>平谷区兴谷街道寨笆路8号院7号楼-1层B102</t>
  </si>
  <si>
    <t>A7-107</t>
  </si>
  <si>
    <t>A7-B104</t>
  </si>
  <si>
    <t>平谷区兴谷街道寨笆路8号院7号楼-1层B104</t>
    <phoneticPr fontId="134" type="noConversion"/>
  </si>
  <si>
    <t>A7-108</t>
  </si>
  <si>
    <t>A7-B105</t>
  </si>
  <si>
    <t>平谷区兴谷街道寨笆路8号院7号楼-1层B105</t>
  </si>
  <si>
    <t>A7-B106</t>
  </si>
  <si>
    <t>平谷区兴谷街道寨笆路8号院7号楼-1层B106</t>
  </si>
  <si>
    <t>A7-B107</t>
  </si>
  <si>
    <t>平谷区兴谷街道寨笆路8号院7号楼-1层B107</t>
  </si>
  <si>
    <t>A7-103</t>
  </si>
  <si>
    <t>A7-B108</t>
  </si>
  <si>
    <t>平谷区兴谷街道寨笆路8号院7号楼-1层B108</t>
  </si>
  <si>
    <t>A7-102</t>
  </si>
  <si>
    <t>A7-B112</t>
  </si>
  <si>
    <t>平谷区兴谷街道寨笆路8号院7号楼-1层B112</t>
    <phoneticPr fontId="134" type="noConversion"/>
  </si>
  <si>
    <t>A7-101</t>
  </si>
  <si>
    <t>A7-B113</t>
  </si>
  <si>
    <t>平谷区兴谷街道寨笆路8号院7号楼-1层B113</t>
  </si>
  <si>
    <t>A7-208</t>
  </si>
  <si>
    <t>A7-B201</t>
  </si>
  <si>
    <t>平谷区兴谷街道寨笆路8号院7号楼-2层B201</t>
    <phoneticPr fontId="134" type="noConversion"/>
  </si>
  <si>
    <t>A7-209</t>
  </si>
  <si>
    <t>A7-B202</t>
  </si>
  <si>
    <t>平谷区兴谷街道寨笆路8号院7号楼-2层B202</t>
  </si>
  <si>
    <t>A7-210</t>
  </si>
  <si>
    <t>A7-B203</t>
  </si>
  <si>
    <t>平谷区兴谷街道寨笆路8号院7号楼-2层B203</t>
  </si>
  <si>
    <t>A7-207</t>
  </si>
  <si>
    <t>A7-B204</t>
  </si>
  <si>
    <t>平谷区兴谷街道寨笆路8号院7号楼-2层B204</t>
  </si>
  <si>
    <t>A7-206</t>
  </si>
  <si>
    <t>A7-B205</t>
  </si>
  <si>
    <t>平谷区兴谷街道寨笆路8号院7号楼-2层B205</t>
  </si>
  <si>
    <t>A7-205</t>
  </si>
  <si>
    <t>A7-B206</t>
  </si>
  <si>
    <t>平谷区兴谷街道寨笆路8号院7号楼-2层B206</t>
  </si>
  <si>
    <t>A7-212</t>
  </si>
  <si>
    <t>A7-B207</t>
  </si>
  <si>
    <t>平谷区兴谷街道寨笆路8号院7号楼-2层B207</t>
  </si>
  <si>
    <t>A7-213</t>
  </si>
  <si>
    <t>A7-B208</t>
  </si>
  <si>
    <t>平谷区兴谷街道寨笆路8号院7号楼-2层B208</t>
  </si>
  <si>
    <t>A7-214</t>
  </si>
  <si>
    <t>A7-B209</t>
  </si>
  <si>
    <t>平谷区兴谷街道寨笆路8号院7号楼-2层B209</t>
  </si>
  <si>
    <t>A7-215</t>
  </si>
  <si>
    <t>A7-B210</t>
  </si>
  <si>
    <t>平谷区兴谷街道寨笆路8号院7号楼-2层B210</t>
  </si>
  <si>
    <t>A7-217</t>
  </si>
  <si>
    <t>A7-B212</t>
  </si>
  <si>
    <t>平谷区兴谷街道寨笆路8号院7号楼-2层B212</t>
    <phoneticPr fontId="134" type="noConversion"/>
  </si>
  <si>
    <t>A7-218</t>
  </si>
  <si>
    <t>A7-B213</t>
  </si>
  <si>
    <t>平谷区兴谷街道寨笆路8号院7号楼-2层B213</t>
  </si>
  <si>
    <t>A7-219</t>
  </si>
  <si>
    <t>A7-B214</t>
  </si>
  <si>
    <t>平谷区兴谷街道寨笆路8号院7号楼-2层B214</t>
  </si>
  <si>
    <t>A7-204</t>
  </si>
  <si>
    <t>A7-B216</t>
  </si>
  <si>
    <t>平谷区兴谷街道寨笆路8号院7号楼-2层B216</t>
    <phoneticPr fontId="134" type="noConversion"/>
  </si>
  <si>
    <t>A7-203</t>
  </si>
  <si>
    <t>A7-B217</t>
  </si>
  <si>
    <t>平谷区兴谷街道寨笆路8号院7号楼-2层B217</t>
  </si>
  <si>
    <t>A7-222</t>
  </si>
  <si>
    <t>A7-B218</t>
  </si>
  <si>
    <t>平谷区兴谷街道寨笆路8号院7号楼-2层B218</t>
  </si>
  <si>
    <t>A7-202</t>
  </si>
  <si>
    <t>A7-B220</t>
  </si>
  <si>
    <t>平谷区兴谷街道寨笆路8号院7号楼-2层B220</t>
    <phoneticPr fontId="134" type="noConversion"/>
  </si>
  <si>
    <t>A7-201</t>
  </si>
  <si>
    <t>A7-B221</t>
  </si>
  <si>
    <t>平谷区兴谷街道寨笆路8号院7号楼-2层B221</t>
  </si>
  <si>
    <t>A8</t>
    <phoneticPr fontId="134" type="noConversion"/>
  </si>
  <si>
    <t>A8-110</t>
  </si>
  <si>
    <t>A8-B101</t>
  </si>
  <si>
    <t>平谷区兴谷街道寨笆路8号院8号楼-1层B101</t>
    <phoneticPr fontId="134" type="noConversion"/>
  </si>
  <si>
    <t>A8-111</t>
  </si>
  <si>
    <t>A8-B102</t>
  </si>
  <si>
    <t>平谷区兴谷街道寨笆路8号院8号楼-1层B102</t>
  </si>
  <si>
    <t>A8-112</t>
  </si>
  <si>
    <t>A8-B103</t>
  </si>
  <si>
    <t>平谷区兴谷街道寨笆路8号院8号楼-1层B103</t>
  </si>
  <si>
    <t>A8-114</t>
  </si>
  <si>
    <t>A8-B106</t>
  </si>
  <si>
    <t>平谷区兴谷街道寨笆路8号院8号楼-1层B106</t>
    <phoneticPr fontId="134" type="noConversion"/>
  </si>
  <si>
    <t>A8-115</t>
  </si>
  <si>
    <t>A8-B107</t>
  </si>
  <si>
    <t>平谷区兴谷街道寨笆路8号院8号楼-1层B107</t>
  </si>
  <si>
    <t>A8-105</t>
  </si>
  <si>
    <t>A8-B112</t>
  </si>
  <si>
    <t>平谷区兴谷街道寨笆路8号院8号楼-1层B112</t>
    <phoneticPr fontId="134" type="noConversion"/>
  </si>
  <si>
    <t>A8-117</t>
  </si>
  <si>
    <t>A8-B113</t>
  </si>
  <si>
    <t>平谷区兴谷街道寨笆路8号院8号楼-1层B113</t>
  </si>
  <si>
    <t>A8-118</t>
  </si>
  <si>
    <t>A8-B114</t>
  </si>
  <si>
    <t>平谷区兴谷街道寨笆路8号院8号楼-1层B114</t>
  </si>
  <si>
    <t>A8-121</t>
  </si>
  <si>
    <t>A8-B117</t>
  </si>
  <si>
    <t>平谷区兴谷街道寨笆路8号院8号楼-1层B117</t>
    <phoneticPr fontId="134" type="noConversion"/>
  </si>
  <si>
    <t>A8-123</t>
  </si>
  <si>
    <t>A8-B121</t>
  </si>
  <si>
    <t>平谷区兴谷街道寨笆路8号院8号楼-1层B121</t>
    <phoneticPr fontId="134" type="noConversion"/>
  </si>
  <si>
    <t>A8-124</t>
  </si>
  <si>
    <t>A8-B122</t>
  </si>
  <si>
    <t>平谷区兴谷街道寨笆路8号院8号楼-1层B122</t>
  </si>
  <si>
    <t>A8-125</t>
  </si>
  <si>
    <t>A8-B123</t>
  </si>
  <si>
    <t>平谷区兴谷街道寨笆路8号院8号楼-1层B123</t>
  </si>
  <si>
    <t>A8-126</t>
  </si>
  <si>
    <t>A8-B124</t>
  </si>
  <si>
    <t>平谷区兴谷街道寨笆路8号院8号楼-1层B124</t>
  </si>
  <si>
    <t>A8-127</t>
  </si>
  <si>
    <t>A8-B125</t>
  </si>
  <si>
    <t>平谷区兴谷街道寨笆路8号院8号楼-1层B125</t>
  </si>
  <si>
    <t>A8-128</t>
  </si>
  <si>
    <t>A8-B126</t>
  </si>
  <si>
    <t>平谷区兴谷街道寨笆路8号院8号楼-1层B126</t>
  </si>
  <si>
    <t>A8-130</t>
  </si>
  <si>
    <t>A8-B128</t>
  </si>
  <si>
    <t>平谷区兴谷街道寨笆路8号院8号楼-1层B128</t>
    <phoneticPr fontId="134" type="noConversion"/>
  </si>
  <si>
    <t>A8-131</t>
  </si>
  <si>
    <t>A8-B130</t>
  </si>
  <si>
    <t>平谷区兴谷街道寨笆路8号院8号楼-1层B130</t>
    <phoneticPr fontId="134" type="noConversion"/>
  </si>
  <si>
    <t>A8-101</t>
  </si>
  <si>
    <t>A8-B132</t>
  </si>
  <si>
    <t>平谷区兴谷街道寨笆路8号院8号楼-1层B132</t>
    <phoneticPr fontId="134" type="noConversion"/>
  </si>
  <si>
    <t>B1</t>
    <phoneticPr fontId="134" type="noConversion"/>
  </si>
  <si>
    <t>B1-101</t>
  </si>
  <si>
    <t>B1-B101</t>
  </si>
  <si>
    <t>平谷区兴谷街道寨笆路7号院1号楼-1层B101</t>
    <phoneticPr fontId="134" type="noConversion"/>
  </si>
  <si>
    <t>B1-104</t>
  </si>
  <si>
    <t>B1-B104</t>
  </si>
  <si>
    <t>平谷区兴谷街道寨笆路7号院1号楼-1层B104</t>
    <phoneticPr fontId="134" type="noConversion"/>
  </si>
  <si>
    <t>B1-113</t>
  </si>
  <si>
    <t>B1-B105</t>
  </si>
  <si>
    <t>平谷区兴谷街道寨笆路7号院1号楼-1层B105</t>
  </si>
  <si>
    <t>B1-107</t>
  </si>
  <si>
    <t>B1-B108</t>
  </si>
  <si>
    <t>平谷区兴谷街道寨笆路7号院1号楼-1层B108</t>
    <phoneticPr fontId="134" type="noConversion"/>
  </si>
  <si>
    <t>B1-108</t>
  </si>
  <si>
    <t>B1-B109</t>
  </si>
  <si>
    <t>平谷区兴谷街道寨笆路7号院1号楼-1层B109</t>
  </si>
  <si>
    <t>B1-112</t>
  </si>
  <si>
    <t>B1-B110</t>
  </si>
  <si>
    <t>平谷区兴谷街道寨笆路7号院1号楼-1层B110</t>
  </si>
  <si>
    <t>B1-110</t>
  </si>
  <si>
    <t>B1-B112</t>
  </si>
  <si>
    <t>平谷区兴谷街道寨笆路7号院1号楼-1层B112</t>
    <phoneticPr fontId="134" type="noConversion"/>
  </si>
  <si>
    <t>B1-111</t>
  </si>
  <si>
    <t>B1-B113</t>
  </si>
  <si>
    <t>平谷区兴谷街道寨笆路7号院1号楼-1层B113</t>
  </si>
  <si>
    <t>B1-201</t>
  </si>
  <si>
    <t>B1-B201</t>
  </si>
  <si>
    <t>平谷区兴谷街道寨笆路7号院1号楼-2层B201</t>
    <phoneticPr fontId="134" type="noConversion"/>
  </si>
  <si>
    <t>B1-202</t>
  </si>
  <si>
    <t>B1-B202</t>
  </si>
  <si>
    <t>平谷区兴谷街道寨笆路7号院1号楼-2层B202</t>
  </si>
  <si>
    <t>B1-203</t>
  </si>
  <si>
    <t>B1-B203</t>
  </si>
  <si>
    <t>平谷区兴谷街道寨笆路7号院1号楼-2层B203</t>
  </si>
  <si>
    <t>B1-204</t>
  </si>
  <si>
    <t>B1-B204</t>
  </si>
  <si>
    <t>平谷区兴谷街道寨笆路7号院1号楼-2层B204</t>
  </si>
  <si>
    <t>B1-209</t>
  </si>
  <si>
    <t>B1-B205</t>
  </si>
  <si>
    <t>平谷区兴谷街道寨笆路7号院1号楼-2层B205</t>
  </si>
  <si>
    <t>B1-207</t>
  </si>
  <si>
    <t>B1-B207</t>
  </si>
  <si>
    <t>平谷区兴谷街道寨笆路7号院1号楼-2层B207</t>
    <phoneticPr fontId="134" type="noConversion"/>
  </si>
  <si>
    <t>B1-206</t>
  </si>
  <si>
    <t>B1-B208</t>
  </si>
  <si>
    <t>平谷区兴谷街道寨笆路7号院1号楼-2层B208</t>
  </si>
  <si>
    <t>B1-210</t>
  </si>
  <si>
    <t>B1-B209</t>
  </si>
  <si>
    <t>平谷区兴谷街道寨笆路7号院1号楼-2层B209</t>
  </si>
  <si>
    <t>B1-211</t>
  </si>
  <si>
    <t>B1-B210</t>
  </si>
  <si>
    <t>平谷区兴谷街道寨笆路7号院1号楼-2层B210</t>
  </si>
  <si>
    <t>B1-212</t>
  </si>
  <si>
    <t>B1-B211</t>
  </si>
  <si>
    <t>平谷区兴谷街道寨笆路7号院1号楼-2层B211</t>
  </si>
  <si>
    <t>B1-213</t>
  </si>
  <si>
    <t>B1-B212</t>
  </si>
  <si>
    <t>平谷区兴谷街道寨笆路7号院1号楼-2层B212</t>
  </si>
  <si>
    <t>B1-214</t>
  </si>
  <si>
    <t>B1-B213</t>
  </si>
  <si>
    <t>平谷区兴谷街道寨笆路7号院1号楼-2层B213</t>
  </si>
  <si>
    <t>B1-215</t>
  </si>
  <si>
    <t>B1-B214</t>
  </si>
  <si>
    <t>平谷区兴谷街道寨笆路7号院1号楼-2层B214</t>
  </si>
  <si>
    <t>B1-216</t>
  </si>
  <si>
    <t>B1-B215</t>
  </si>
  <si>
    <t>平谷区兴谷街道寨笆路7号院1号楼-2层B215</t>
  </si>
  <si>
    <t>B1-217</t>
  </si>
  <si>
    <t>B1-B216</t>
  </si>
  <si>
    <t>平谷区兴谷街道寨笆路7号院1号楼-2层B216</t>
  </si>
  <si>
    <t>B1-224</t>
  </si>
  <si>
    <t>B1-B217</t>
  </si>
  <si>
    <t>平谷区兴谷街道寨笆路7号院1号楼-2层B217</t>
  </si>
  <si>
    <t>B1-223</t>
  </si>
  <si>
    <t>B1-B218</t>
  </si>
  <si>
    <t>平谷区兴谷街道寨笆路7号院1号楼-2层B218</t>
  </si>
  <si>
    <t>B1-222</t>
  </si>
  <si>
    <t>B1-B219</t>
  </si>
  <si>
    <t>平谷区兴谷街道寨笆路7号院1号楼-2层B219</t>
  </si>
  <si>
    <t>B1-219</t>
  </si>
  <si>
    <t>B1-B220</t>
  </si>
  <si>
    <t>平谷区兴谷街道寨笆路7号院1号楼-2层B220</t>
  </si>
  <si>
    <t>B1-220</t>
  </si>
  <si>
    <t>B1-B221</t>
  </si>
  <si>
    <t>平谷区兴谷街道寨笆路7号院1号楼-2层B221</t>
  </si>
  <si>
    <t>B2</t>
    <phoneticPr fontId="134" type="noConversion"/>
  </si>
  <si>
    <t>B2-106</t>
  </si>
  <si>
    <t>B2-B110</t>
  </si>
  <si>
    <t>平谷区兴谷街道寨笆路7号院2号楼-1层B110</t>
    <phoneticPr fontId="134" type="noConversion"/>
  </si>
  <si>
    <t>B2-107</t>
  </si>
  <si>
    <t>B2-B111</t>
  </si>
  <si>
    <t>平谷区兴谷街道寨笆路7号院2号楼-1层B111</t>
  </si>
  <si>
    <t>B2-108</t>
  </si>
  <si>
    <t>B2-B112</t>
  </si>
  <si>
    <t>平谷区兴谷街道寨笆路7号院2号楼-1层B112</t>
  </si>
  <si>
    <t>B2-110</t>
  </si>
  <si>
    <t>B2-B114</t>
  </si>
  <si>
    <t>平谷区兴谷街道寨笆路7号院2号楼-1层B114</t>
    <phoneticPr fontId="134" type="noConversion"/>
  </si>
  <si>
    <t>10.6</t>
    <phoneticPr fontId="134" type="noConversion"/>
  </si>
  <si>
    <t>7.68</t>
    <phoneticPr fontId="134" type="noConversion"/>
  </si>
  <si>
    <t>8.31</t>
    <phoneticPr fontId="134" type="noConversion"/>
  </si>
  <si>
    <t>6.43</t>
    <phoneticPr fontId="134" type="noConversion"/>
  </si>
  <si>
    <t>4.4</t>
    <phoneticPr fontId="134" type="noConversion"/>
  </si>
  <si>
    <t>10.56</t>
    <phoneticPr fontId="134" type="noConversion"/>
  </si>
  <si>
    <t>10.32</t>
    <phoneticPr fontId="134" type="noConversion"/>
  </si>
  <si>
    <t>9.06</t>
    <phoneticPr fontId="134" type="noConversion"/>
  </si>
  <si>
    <t>11.93</t>
    <phoneticPr fontId="134" type="noConversion"/>
  </si>
  <si>
    <t>5.27</t>
    <phoneticPr fontId="134" type="noConversion"/>
  </si>
  <si>
    <t>7.82</t>
    <phoneticPr fontId="134" type="noConversion"/>
  </si>
  <si>
    <t>9.06</t>
    <phoneticPr fontId="134" type="noConversion"/>
  </si>
  <si>
    <t>9.06</t>
    <phoneticPr fontId="134" type="noConversion"/>
  </si>
  <si>
    <t>8.32</t>
    <phoneticPr fontId="134" type="noConversion"/>
  </si>
  <si>
    <t>7.61</t>
    <phoneticPr fontId="134" type="noConversion"/>
  </si>
  <si>
    <t>10.54</t>
    <phoneticPr fontId="134" type="noConversion"/>
  </si>
  <si>
    <t>8.24</t>
    <phoneticPr fontId="134" type="noConversion"/>
  </si>
  <si>
    <t>10.23</t>
    <phoneticPr fontId="134" type="noConversion"/>
  </si>
  <si>
    <t>8.97</t>
    <phoneticPr fontId="134" type="noConversion"/>
  </si>
  <si>
    <t>8.13</t>
    <phoneticPr fontId="134" type="noConversion"/>
  </si>
  <si>
    <t>7.2</t>
    <phoneticPr fontId="134" type="noConversion"/>
  </si>
  <si>
    <t>6.9</t>
    <phoneticPr fontId="134" type="noConversion"/>
  </si>
  <si>
    <t>7.69</t>
    <phoneticPr fontId="134" type="noConversion"/>
  </si>
  <si>
    <t>9.82</t>
    <phoneticPr fontId="134" type="noConversion"/>
  </si>
  <si>
    <t>6.98</t>
    <phoneticPr fontId="134" type="noConversion"/>
  </si>
  <si>
    <t>8.3</t>
    <phoneticPr fontId="134" type="noConversion"/>
  </si>
  <si>
    <t>7.97</t>
    <phoneticPr fontId="134" type="noConversion"/>
  </si>
  <si>
    <t>8.02</t>
    <phoneticPr fontId="134" type="noConversion"/>
  </si>
  <si>
    <t>7.72</t>
    <phoneticPr fontId="134" type="noConversion"/>
  </si>
  <si>
    <t>7.72</t>
    <phoneticPr fontId="134" type="noConversion"/>
  </si>
  <si>
    <t>7.6</t>
    <phoneticPr fontId="134" type="noConversion"/>
  </si>
  <si>
    <t>4.35</t>
    <phoneticPr fontId="134" type="noConversion"/>
  </si>
  <si>
    <t>7.45</t>
    <phoneticPr fontId="134" type="noConversion"/>
  </si>
  <si>
    <t>10.65</t>
    <phoneticPr fontId="134" type="noConversion"/>
  </si>
  <si>
    <t>7.73</t>
    <phoneticPr fontId="134" type="noConversion"/>
  </si>
  <si>
    <t>9.52</t>
    <phoneticPr fontId="134" type="noConversion"/>
  </si>
  <si>
    <t>8.2</t>
    <phoneticPr fontId="134" type="noConversion"/>
  </si>
  <si>
    <t>6.79</t>
    <phoneticPr fontId="134" type="noConversion"/>
  </si>
  <si>
    <t>11.48</t>
    <phoneticPr fontId="134" type="noConversion"/>
  </si>
  <si>
    <t>10.65</t>
    <phoneticPr fontId="134" type="noConversion"/>
  </si>
  <si>
    <t>8.2</t>
    <phoneticPr fontId="134" type="noConversion"/>
  </si>
  <si>
    <t>7.58</t>
    <phoneticPr fontId="134" type="noConversion"/>
  </si>
  <si>
    <t>11.03</t>
    <phoneticPr fontId="134" type="noConversion"/>
  </si>
  <si>
    <t>8.94</t>
    <phoneticPr fontId="134" type="noConversion"/>
  </si>
  <si>
    <t>9.07</t>
    <phoneticPr fontId="134" type="noConversion"/>
  </si>
  <si>
    <t>7.74</t>
    <phoneticPr fontId="134" type="noConversion"/>
  </si>
  <si>
    <t>8.87</t>
    <phoneticPr fontId="134" type="noConversion"/>
  </si>
  <si>
    <t>9.18</t>
    <phoneticPr fontId="134" type="noConversion"/>
  </si>
  <si>
    <t>10.69</t>
    <phoneticPr fontId="134" type="noConversion"/>
  </si>
  <si>
    <t>10.64</t>
    <phoneticPr fontId="134" type="noConversion"/>
  </si>
  <si>
    <t>10.64</t>
    <phoneticPr fontId="134" type="noConversion"/>
  </si>
  <si>
    <t>10.64</t>
    <phoneticPr fontId="134" type="noConversion"/>
  </si>
  <si>
    <t>8.35</t>
    <phoneticPr fontId="134" type="noConversion"/>
  </si>
  <si>
    <t>10.75</t>
    <phoneticPr fontId="134" type="noConversion"/>
  </si>
  <si>
    <t>8.14</t>
    <phoneticPr fontId="134" type="noConversion"/>
  </si>
  <si>
    <t>6.94</t>
    <phoneticPr fontId="134" type="noConversion"/>
  </si>
  <si>
    <t>8.86</t>
    <phoneticPr fontId="134" type="noConversion"/>
  </si>
  <si>
    <t>10.5</t>
    <phoneticPr fontId="134" type="noConversion"/>
  </si>
  <si>
    <t>10.4</t>
    <phoneticPr fontId="134" type="noConversion"/>
  </si>
  <si>
    <t>11.06</t>
    <phoneticPr fontId="134" type="noConversion"/>
  </si>
  <si>
    <t>10.63</t>
    <phoneticPr fontId="134" type="noConversion"/>
  </si>
  <si>
    <t>6.8</t>
    <phoneticPr fontId="134" type="noConversion"/>
  </si>
  <si>
    <t>9.62</t>
    <phoneticPr fontId="134" type="noConversion"/>
  </si>
  <si>
    <t>9.28</t>
    <phoneticPr fontId="134" type="noConversion"/>
  </si>
  <si>
    <t>11.23</t>
    <phoneticPr fontId="134" type="noConversion"/>
  </si>
  <si>
    <t>7.95</t>
    <phoneticPr fontId="134" type="noConversion"/>
  </si>
  <si>
    <t>12.19</t>
    <phoneticPr fontId="134" type="noConversion"/>
  </si>
  <si>
    <t>9.05</t>
    <phoneticPr fontId="134" type="noConversion"/>
  </si>
  <si>
    <t>9.1</t>
    <phoneticPr fontId="134" type="noConversion"/>
  </si>
  <si>
    <t>10.59</t>
    <phoneticPr fontId="134" type="noConversion"/>
  </si>
  <si>
    <t>8.38</t>
    <phoneticPr fontId="134" type="noConversion"/>
  </si>
  <si>
    <t>10.98</t>
    <phoneticPr fontId="134" type="noConversion"/>
  </si>
  <si>
    <t>10.38</t>
    <phoneticPr fontId="134" type="noConversion"/>
  </si>
  <si>
    <t>10.6</t>
    <phoneticPr fontId="134" type="noConversion"/>
  </si>
  <si>
    <t>9.87</t>
    <phoneticPr fontId="134" type="noConversion"/>
  </si>
  <si>
    <t>7.1</t>
    <phoneticPr fontId="134" type="noConversion"/>
  </si>
  <si>
    <t>10.38</t>
    <phoneticPr fontId="134" type="noConversion"/>
  </si>
  <si>
    <t>6.88</t>
    <phoneticPr fontId="134" type="noConversion"/>
  </si>
  <si>
    <t>6.74</t>
    <phoneticPr fontId="134" type="noConversion"/>
  </si>
  <si>
    <t>10.6</t>
    <phoneticPr fontId="134" type="noConversion"/>
  </si>
  <si>
    <t>7.68</t>
    <phoneticPr fontId="134" type="noConversion"/>
  </si>
  <si>
    <t>10.7</t>
    <phoneticPr fontId="134" type="noConversion"/>
  </si>
  <si>
    <t>7.86</t>
    <phoneticPr fontId="134" type="noConversion"/>
  </si>
  <si>
    <t>7.5</t>
    <phoneticPr fontId="134" type="noConversion"/>
  </si>
  <si>
    <t>7.84</t>
    <phoneticPr fontId="134" type="noConversion"/>
  </si>
  <si>
    <t>8.18</t>
    <phoneticPr fontId="134" type="noConversion"/>
  </si>
  <si>
    <t>9.82</t>
    <phoneticPr fontId="134" type="noConversion"/>
  </si>
  <si>
    <t>7.82</t>
    <phoneticPr fontId="134" type="noConversion"/>
  </si>
  <si>
    <t>7.82</t>
    <phoneticPr fontId="134" type="noConversion"/>
  </si>
  <si>
    <t>10.92</t>
    <phoneticPr fontId="134" type="noConversion"/>
  </si>
  <si>
    <t>10.49</t>
    <phoneticPr fontId="134" type="noConversion"/>
  </si>
  <si>
    <t>8.42</t>
    <phoneticPr fontId="134" type="noConversion"/>
  </si>
  <si>
    <t>9.22</t>
    <phoneticPr fontId="134" type="noConversion"/>
  </si>
  <si>
    <t>6.46</t>
    <phoneticPr fontId="134" type="noConversion"/>
  </si>
  <si>
    <t>10.11</t>
    <phoneticPr fontId="134" type="noConversion"/>
  </si>
  <si>
    <t>8.87</t>
    <phoneticPr fontId="134" type="noConversion"/>
  </si>
  <si>
    <t>7.6</t>
    <phoneticPr fontId="134" type="noConversion"/>
  </si>
  <si>
    <t>8.43</t>
    <phoneticPr fontId="134" type="noConversion"/>
  </si>
  <si>
    <t>8.04</t>
    <phoneticPr fontId="134" type="noConversion"/>
  </si>
  <si>
    <t>10.42</t>
    <phoneticPr fontId="134" type="noConversion"/>
  </si>
  <si>
    <t>8.07</t>
    <phoneticPr fontId="134" type="noConversion"/>
  </si>
  <si>
    <t>5.23</t>
    <phoneticPr fontId="134" type="noConversion"/>
  </si>
  <si>
    <t>7.75</t>
    <phoneticPr fontId="134" type="noConversion"/>
  </si>
  <si>
    <t>8.21</t>
    <phoneticPr fontId="134" type="noConversion"/>
  </si>
  <si>
    <t>7.83</t>
    <phoneticPr fontId="134" type="noConversion"/>
  </si>
  <si>
    <t>7.59</t>
    <phoneticPr fontId="134" type="noConversion"/>
  </si>
  <si>
    <t>8.1</t>
    <phoneticPr fontId="134" type="noConversion"/>
  </si>
  <si>
    <t>7.22</t>
    <phoneticPr fontId="134" type="noConversion"/>
  </si>
  <si>
    <t>8.38</t>
    <phoneticPr fontId="134" type="noConversion"/>
  </si>
  <si>
    <t>12.03</t>
    <phoneticPr fontId="134" type="noConversion"/>
  </si>
  <si>
    <t>10.5</t>
    <phoneticPr fontId="134" type="noConversion"/>
  </si>
  <si>
    <t>8.35</t>
    <phoneticPr fontId="134" type="noConversion"/>
  </si>
  <si>
    <t>4.45</t>
    <phoneticPr fontId="134" type="noConversion"/>
  </si>
  <si>
    <t>9.1</t>
    <phoneticPr fontId="134" type="noConversion"/>
  </si>
  <si>
    <t>10.69</t>
    <phoneticPr fontId="134" type="noConversion"/>
  </si>
  <si>
    <t>8.22</t>
    <phoneticPr fontId="134" type="noConversion"/>
  </si>
  <si>
    <t>7.69</t>
    <phoneticPr fontId="134" type="noConversion"/>
  </si>
  <si>
    <t>8.18</t>
    <phoneticPr fontId="134" type="noConversion"/>
  </si>
  <si>
    <t>10.98</t>
    <phoneticPr fontId="134" type="noConversion"/>
  </si>
  <si>
    <t>10.55</t>
    <phoneticPr fontId="134" type="noConversion"/>
  </si>
  <si>
    <t>4.43</t>
    <phoneticPr fontId="134" type="noConversion"/>
  </si>
  <si>
    <t>10.64</t>
    <phoneticPr fontId="134" type="noConversion"/>
  </si>
  <si>
    <t>8.43</t>
    <phoneticPr fontId="134" type="noConversion"/>
  </si>
  <si>
    <t>9.06</t>
    <phoneticPr fontId="134" type="noConversion"/>
  </si>
  <si>
    <t>8.31</t>
    <phoneticPr fontId="134" type="noConversion"/>
  </si>
  <si>
    <t>7.69</t>
    <phoneticPr fontId="134" type="noConversion"/>
  </si>
  <si>
    <t>10.41</t>
    <phoneticPr fontId="134" type="noConversion"/>
  </si>
  <si>
    <t>7.38</t>
    <phoneticPr fontId="134" type="noConversion"/>
  </si>
  <si>
    <t>10.51</t>
    <phoneticPr fontId="134" type="noConversion"/>
  </si>
  <si>
    <t>6.38</t>
    <phoneticPr fontId="134" type="noConversion"/>
  </si>
  <si>
    <t>4.39</t>
    <phoneticPr fontId="134" type="noConversion"/>
  </si>
  <si>
    <t>7.71</t>
    <phoneticPr fontId="134" type="noConversion"/>
  </si>
  <si>
    <t>10.58</t>
    <phoneticPr fontId="134" type="noConversion"/>
  </si>
  <si>
    <t>8.23</t>
    <phoneticPr fontId="134" type="noConversion"/>
  </si>
  <si>
    <t>7.38</t>
    <phoneticPr fontId="134" type="noConversion"/>
  </si>
  <si>
    <t>4.35</t>
    <phoneticPr fontId="134" type="noConversion"/>
  </si>
  <si>
    <t>10.43</t>
    <phoneticPr fontId="134" type="noConversion"/>
  </si>
  <si>
    <t>7.65</t>
    <phoneticPr fontId="134" type="noConversion"/>
  </si>
  <si>
    <t>8.25</t>
    <phoneticPr fontId="134" type="noConversion"/>
  </si>
  <si>
    <t>6.87</t>
    <phoneticPr fontId="134" type="noConversion"/>
  </si>
  <si>
    <t>7.74</t>
    <phoneticPr fontId="134" type="noConversion"/>
  </si>
  <si>
    <t>7.74</t>
    <phoneticPr fontId="134" type="noConversion"/>
  </si>
  <si>
    <t>10.45</t>
    <phoneticPr fontId="134" type="noConversion"/>
  </si>
  <si>
    <t>10.45</t>
    <phoneticPr fontId="134" type="noConversion"/>
  </si>
  <si>
    <t>8.19</t>
    <phoneticPr fontId="134" type="noConversion"/>
  </si>
  <si>
    <t>与级别开发程度不一致</t>
  </si>
  <si>
    <t>比较法-仓储</t>
  </si>
  <si>
    <t>单套模式</t>
  </si>
  <si>
    <t>售价</t>
  </si>
  <si>
    <t>观岭家园</t>
    <phoneticPr fontId="3" type="noConversion"/>
  </si>
  <si>
    <t>城建·京能·樾园</t>
    <phoneticPr fontId="3" type="noConversion"/>
  </si>
  <si>
    <t>北京城建樂知筑</t>
    <phoneticPr fontId="3" type="noConversion"/>
  </si>
  <si>
    <t>正常</t>
  </si>
  <si>
    <t>一般</t>
  </si>
  <si>
    <t>较好</t>
  </si>
  <si>
    <t>较差</t>
  </si>
  <si>
    <t>成本法 (元)</t>
  </si>
  <si>
    <t>有窗</t>
    <phoneticPr fontId="134" type="noConversion"/>
  </si>
  <si>
    <t>有窗</t>
    <phoneticPr fontId="134" type="noConversion"/>
  </si>
  <si>
    <t>楼层</t>
    <phoneticPr fontId="3" type="noConversion"/>
  </si>
  <si>
    <t>窗户</t>
    <phoneticPr fontId="3" type="noConversion"/>
  </si>
  <si>
    <t>有窗</t>
    <phoneticPr fontId="24" type="noConversion"/>
  </si>
  <si>
    <t>无</t>
    <phoneticPr fontId="24" type="noConversion"/>
  </si>
  <si>
    <t>无</t>
    <phoneticPr fontId="134"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</si>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</sst>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b/>
      <sz val="10"/>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3" fillId="0" borderId="0" xfId="10" applyFont="1" applyFill="1">
      <alignment vertical="center"/>
    </xf>
    <xf numFmtId="0" fontId="272" fillId="22" borderId="1" xfId="10" applyFont="1" applyFill="1" applyBorder="1" applyAlignment="1">
      <alignment horizontal="center" vertical="center"/>
    </xf>
    <xf numFmtId="49" fontId="272" fillId="22" borderId="1" xfId="10" applyNumberFormat="1" applyFont="1" applyFill="1" applyBorder="1" applyAlignment="1">
      <alignment horizontal="center" vertical="center"/>
    </xf>
    <xf numFmtId="0" fontId="274" fillId="0" borderId="1" xfId="10" applyFont="1" applyFill="1" applyBorder="1" applyAlignment="1">
      <alignment horizontal="center" vertical="center"/>
    </xf>
    <xf numFmtId="49" fontId="274" fillId="0" borderId="1" xfId="10" applyNumberFormat="1" applyFont="1" applyFill="1" applyBorder="1" applyAlignment="1">
      <alignment horizontal="center" vertical="center" shrinkToFit="1"/>
    </xf>
    <xf numFmtId="0" fontId="273" fillId="0" borderId="0" xfId="10" applyFont="1" applyFill="1" applyAlignment="1">
      <alignment horizontal="center" vertical="center"/>
    </xf>
    <xf numFmtId="49" fontId="275" fillId="22" borderId="1" xfId="10" applyNumberFormat="1" applyFont="1" applyFill="1" applyBorder="1" applyAlignment="1">
      <alignment horizontal="center" vertical="center"/>
    </xf>
    <xf numFmtId="0" fontId="274" fillId="0" borderId="1" xfId="0" applyFont="1" applyFill="1" applyBorder="1">
      <alignment vertical="center"/>
    </xf>
    <xf numFmtId="49" fontId="274" fillId="0" borderId="1" xfId="10" applyNumberFormat="1" applyFont="1" applyFill="1" applyBorder="1" applyAlignment="1" applyProtection="1">
      <alignment horizontal="center" vertical="center" shrinkToFit="1"/>
      <protection locked="0"/>
    </xf>
    <xf numFmtId="0" fontId="222" fillId="0" borderId="108"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274" fillId="0" borderId="1" xfId="0" applyFont="1" applyFill="1" applyBorder="1" applyProtection="1">
      <alignment vertical="center"/>
      <protection locked="0"/>
    </xf>
    <xf numFmtId="176" fontId="60" fillId="0" borderId="1" xfId="0" applyNumberFormat="1"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22" borderId="5" xfId="10" applyFont="1" applyFill="1" applyBorder="1" applyAlignment="1">
      <alignment horizontal="center" vertical="center"/>
    </xf>
    <xf numFmtId="0" fontId="272" fillId="22" borderId="54" xfId="10" applyFont="1" applyFill="1" applyBorder="1" applyAlignment="1">
      <alignment horizontal="center" vertical="center"/>
    </xf>
    <xf numFmtId="0" fontId="272" fillId="22" borderId="3" xfId="10"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0" fontId="98" fillId="6"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38101</xdr:rowOff>
    </xdr:from>
    <xdr:to>
      <xdr:col>17</xdr:col>
      <xdr:colOff>436800</xdr:colOff>
      <xdr:row>21</xdr:row>
      <xdr:rowOff>50186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8421"/>
          <a:ext cx="10800000" cy="1292245"/>
        </a:xfrm>
        <a:prstGeom prst="rect">
          <a:avLst/>
        </a:prstGeom>
      </xdr:spPr>
    </xdr:pic>
    <xdr:clientData/>
  </xdr:twoCellAnchor>
  <xdr:twoCellAnchor editAs="oneCell">
    <xdr:from>
      <xdr:col>0</xdr:col>
      <xdr:colOff>0</xdr:colOff>
      <xdr:row>21</xdr:row>
      <xdr:rowOff>45720</xdr:rowOff>
    </xdr:from>
    <xdr:to>
      <xdr:col>17</xdr:col>
      <xdr:colOff>436800</xdr:colOff>
      <xdr:row>26</xdr:row>
      <xdr:rowOff>76774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86200"/>
          <a:ext cx="10800000" cy="945454"/>
        </a:xfrm>
        <a:prstGeom prst="rect">
          <a:avLst/>
        </a:prstGeom>
      </xdr:spPr>
    </xdr:pic>
    <xdr:clientData/>
  </xdr:twoCellAnchor>
  <xdr:twoCellAnchor editAs="oneCell">
    <xdr:from>
      <xdr:col>0</xdr:col>
      <xdr:colOff>0</xdr:colOff>
      <xdr:row>0</xdr:row>
      <xdr:rowOff>0</xdr:rowOff>
    </xdr:from>
    <xdr:to>
      <xdr:col>17</xdr:col>
      <xdr:colOff>436800</xdr:colOff>
      <xdr:row>14</xdr:row>
      <xdr:rowOff>155719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0800000" cy="2716039"/>
        </a:xfrm>
        <a:prstGeom prst="rect">
          <a:avLst/>
        </a:prstGeom>
      </xdr:spPr>
    </xdr:pic>
    <xdr:clientData/>
  </xdr:twoCellAnchor>
  <xdr:twoCellAnchor editAs="oneCell">
    <xdr:from>
      <xdr:col>0</xdr:col>
      <xdr:colOff>0</xdr:colOff>
      <xdr:row>27</xdr:row>
      <xdr:rowOff>0</xdr:rowOff>
    </xdr:from>
    <xdr:to>
      <xdr:col>17</xdr:col>
      <xdr:colOff>436800</xdr:colOff>
      <xdr:row>52</xdr:row>
      <xdr:rowOff>153896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37760"/>
          <a:ext cx="10800000" cy="4725896"/>
        </a:xfrm>
        <a:prstGeom prst="rect">
          <a:avLst/>
        </a:prstGeom>
      </xdr:spPr>
    </xdr:pic>
    <xdr:clientData/>
  </xdr:twoCellAnchor>
  <xdr:twoCellAnchor editAs="oneCell">
    <xdr:from>
      <xdr:col>0</xdr:col>
      <xdr:colOff>0</xdr:colOff>
      <xdr:row>54</xdr:row>
      <xdr:rowOff>0</xdr:rowOff>
    </xdr:from>
    <xdr:to>
      <xdr:col>23</xdr:col>
      <xdr:colOff>322057</xdr:colOff>
      <xdr:row>110</xdr:row>
      <xdr:rowOff>139672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875520"/>
          <a:ext cx="14342857" cy="10380952"/>
        </a:xfrm>
        <a:prstGeom prst="rect">
          <a:avLst/>
        </a:prstGeom>
      </xdr:spPr>
    </xdr:pic>
    <xdr:clientData/>
  </xdr:twoCellAnchor>
  <xdr:twoCellAnchor editAs="oneCell">
    <xdr:from>
      <xdr:col>0</xdr:col>
      <xdr:colOff>0</xdr:colOff>
      <xdr:row>111</xdr:row>
      <xdr:rowOff>15240</xdr:rowOff>
    </xdr:from>
    <xdr:to>
      <xdr:col>23</xdr:col>
      <xdr:colOff>217295</xdr:colOff>
      <xdr:row>172</xdr:row>
      <xdr:rowOff>2417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314920"/>
          <a:ext cx="14238095" cy="1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2025年8月13日（评估专业人员实地查勘之日）</v>
      </c>
    </row>
    <row r="13" spans="1:2" s="1203" customFormat="1">
      <c r="A13" s="1201" t="s">
        <v>529</v>
      </c>
      <c r="B13" s="1202"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10.32</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2574</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2575</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2290</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H68" sqref="H68"/>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2497</v>
      </c>
      <c r="B1" s="3014"/>
      <c r="C1" s="3014"/>
      <c r="D1" s="3014"/>
      <c r="E1" s="3014"/>
      <c r="F1" s="3015"/>
      <c r="I1" s="3437" t="s">
        <v>2590</v>
      </c>
      <c r="J1" s="3226"/>
      <c r="K1" s="3226"/>
      <c r="L1" s="3226"/>
      <c r="M1" s="3226"/>
      <c r="N1" s="3438"/>
      <c r="O1" s="3438"/>
      <c r="P1" s="3438"/>
      <c r="Q1" s="3438"/>
      <c r="R1" s="3438"/>
    </row>
    <row r="2" spans="1:18">
      <c r="A2" s="3017"/>
      <c r="B2" s="3018"/>
      <c r="C2" s="3018"/>
      <c r="D2" s="3018"/>
      <c r="E2" s="3018"/>
      <c r="F2" s="3019"/>
      <c r="I2" s="3524" t="s">
        <v>2577</v>
      </c>
      <c r="J2" s="3524"/>
      <c r="K2" s="3524"/>
      <c r="L2" s="3524"/>
      <c r="M2" s="3524"/>
      <c r="N2" s="3524"/>
      <c r="O2" s="3524"/>
      <c r="P2" s="3524"/>
      <c r="Q2" s="3524"/>
      <c r="R2" s="3524"/>
    </row>
    <row r="3" spans="1:18">
      <c r="A3" s="3020" t="s">
        <v>2498</v>
      </c>
      <c r="B3" s="3021">
        <f>项目基本情况!D3</f>
        <v>45882</v>
      </c>
      <c r="C3" s="3023"/>
      <c r="D3" s="3023"/>
      <c r="E3" s="3023"/>
      <c r="F3" s="3019"/>
      <c r="I3" s="3439"/>
      <c r="J3" s="3439" t="s">
        <v>2581</v>
      </c>
      <c r="K3" s="3439" t="s">
        <v>2582</v>
      </c>
      <c r="L3" s="3439" t="s">
        <v>2583</v>
      </c>
      <c r="M3" s="3439" t="s">
        <v>2584</v>
      </c>
      <c r="N3" s="3440" t="s">
        <v>2585</v>
      </c>
      <c r="O3" s="3440" t="s">
        <v>2586</v>
      </c>
      <c r="P3" s="3440" t="s">
        <v>2587</v>
      </c>
      <c r="Q3" s="3440" t="s">
        <v>2588</v>
      </c>
      <c r="R3" s="3440" t="s">
        <v>2589</v>
      </c>
    </row>
    <row r="4" spans="1:18">
      <c r="A4" s="3020" t="s">
        <v>2499</v>
      </c>
      <c r="B4" s="3023" t="s">
        <v>2500</v>
      </c>
      <c r="C4" s="3023" t="s">
        <v>2501</v>
      </c>
      <c r="D4" s="3023" t="s">
        <v>2502</v>
      </c>
      <c r="E4" s="3023" t="s">
        <v>2503</v>
      </c>
      <c r="F4" s="3019"/>
      <c r="I4" s="3439" t="s">
        <v>2578</v>
      </c>
      <c r="J4" s="3439">
        <v>80</v>
      </c>
      <c r="K4" s="3439">
        <v>70</v>
      </c>
      <c r="L4" s="3439">
        <v>20</v>
      </c>
      <c r="M4" s="3439">
        <v>30</v>
      </c>
      <c r="N4" s="3023">
        <v>45</v>
      </c>
      <c r="O4" s="3023">
        <v>60</v>
      </c>
      <c r="P4" s="3023">
        <v>50</v>
      </c>
      <c r="Q4" s="3023">
        <v>20</v>
      </c>
      <c r="R4" s="3023">
        <v>375</v>
      </c>
    </row>
    <row r="5" spans="1:18">
      <c r="A5" s="3024">
        <v>40</v>
      </c>
      <c r="B5" s="3021">
        <v>46375</v>
      </c>
      <c r="C5" s="3023">
        <f>ROUNDDOWN(MIN((B5-B3)/365,A5),2)</f>
        <v>1.35</v>
      </c>
      <c r="D5" s="3025">
        <f>IF(ISERROR(ROUND(POWER(1+E5,A5-C5)*(POWER(1+E5,C5)-1)/(POWER(1+E5,A5)-1),3)),0,ROUND(POWER(1+E5,A5-C5)*(POWER(1+E5,C5)-1)/(POWER(1+E5,A5)-1),4))</f>
        <v>6.5100000000000005E-2</v>
      </c>
      <c r="E5" s="3026">
        <v>0.04</v>
      </c>
      <c r="F5" s="3019"/>
      <c r="I5" s="3439" t="s">
        <v>2579</v>
      </c>
      <c r="J5" s="3439">
        <v>70</v>
      </c>
      <c r="K5" s="3439">
        <v>60</v>
      </c>
      <c r="L5" s="3439">
        <v>15</v>
      </c>
      <c r="M5" s="3439">
        <v>25</v>
      </c>
      <c r="N5" s="3023">
        <v>40</v>
      </c>
      <c r="O5" s="3023">
        <v>50</v>
      </c>
      <c r="P5" s="3023">
        <v>40</v>
      </c>
      <c r="Q5" s="3023">
        <v>15</v>
      </c>
      <c r="R5" s="3023">
        <v>315</v>
      </c>
    </row>
    <row r="6" spans="1:18">
      <c r="A6" s="3024">
        <v>50</v>
      </c>
      <c r="B6" s="3021">
        <v>50028</v>
      </c>
      <c r="C6" s="3023">
        <f>ROUNDDOWN(MIN((B6-B3)/365,A6),2)</f>
        <v>11.35</v>
      </c>
      <c r="D6" s="3025">
        <f>IF(ISERROR(ROUND(POWER(1+E6,A6-C6)*(POWER(1+E6,C6)-1)/(POWER(1+E6,A6)-1),3)),0,ROUND(POWER(1+E6,A6-C6)*(POWER(1+E6,C6)-1)/(POWER(1+E6,A6)-1),4))</f>
        <v>0.41810000000000003</v>
      </c>
      <c r="E6" s="3026">
        <v>0.04</v>
      </c>
      <c r="F6" s="3019"/>
      <c r="I6" s="3439" t="s">
        <v>2580</v>
      </c>
      <c r="J6" s="3439">
        <v>60</v>
      </c>
      <c r="K6" s="3439">
        <v>50</v>
      </c>
      <c r="L6" s="3439">
        <v>10</v>
      </c>
      <c r="M6" s="3439">
        <v>20</v>
      </c>
      <c r="N6" s="3023">
        <v>35</v>
      </c>
      <c r="O6" s="3023">
        <v>40</v>
      </c>
      <c r="P6" s="3023">
        <v>30</v>
      </c>
      <c r="Q6" s="3023">
        <v>10</v>
      </c>
      <c r="R6" s="3023">
        <v>255</v>
      </c>
    </row>
    <row r="7" spans="1:18">
      <c r="A7" s="3024">
        <v>70</v>
      </c>
      <c r="B7" s="3021">
        <v>57333</v>
      </c>
      <c r="C7" s="3023">
        <f>ROUNDDOWN(MIN((B7-B3)/365,A7),2)</f>
        <v>31.37</v>
      </c>
      <c r="D7" s="3025">
        <f>IF(ISERROR(ROUND(POWER(1+E7,A7-C7)*(POWER(1+E7,C7)-1)/(POWER(1+E7,A7)-1),3)),0,ROUND(POWER(1+E7,A7-C7)*(POWER(1+E7,C7)-1)/(POWER(1+E7,A7)-1),4))</f>
        <v>0.75639999999999996</v>
      </c>
      <c r="E7" s="3026">
        <v>0.04</v>
      </c>
      <c r="F7" s="3019"/>
    </row>
    <row r="8" spans="1:18">
      <c r="A8" s="3017"/>
      <c r="B8" s="3018"/>
      <c r="C8" s="3018"/>
      <c r="D8" s="3018"/>
      <c r="E8" s="3018"/>
      <c r="F8" s="3019"/>
    </row>
    <row r="9" spans="1:18">
      <c r="A9" s="3020" t="s">
        <v>2504</v>
      </c>
      <c r="B9" s="3023"/>
      <c r="C9" s="3023"/>
      <c r="D9" s="3023"/>
      <c r="E9" s="3023"/>
      <c r="F9" s="3027"/>
    </row>
    <row r="10" spans="1:18">
      <c r="A10" s="3020" t="s">
        <v>2505</v>
      </c>
      <c r="B10" s="3023"/>
      <c r="C10" s="3023"/>
      <c r="D10" s="3023" t="s">
        <v>2503</v>
      </c>
      <c r="E10" s="3023"/>
      <c r="F10" s="3027" t="s">
        <v>2502</v>
      </c>
    </row>
    <row r="11" spans="1:18">
      <c r="A11" s="3020" t="s">
        <v>2506</v>
      </c>
      <c r="B11" s="3028">
        <v>70</v>
      </c>
      <c r="C11" s="3023" t="s">
        <v>2507</v>
      </c>
      <c r="D11" s="3029">
        <v>4.4999999999999998E-2</v>
      </c>
      <c r="E11" s="3023" t="s">
        <v>2508</v>
      </c>
      <c r="F11" s="3030">
        <f>ROUND(1-(1/(POWER(1+D11,B11))),4)</f>
        <v>0.95409999999999995</v>
      </c>
    </row>
    <row r="12" spans="1:18">
      <c r="A12" s="3020" t="s">
        <v>2509</v>
      </c>
      <c r="B12" s="3028">
        <v>40</v>
      </c>
      <c r="C12" s="3023" t="s">
        <v>2510</v>
      </c>
      <c r="D12" s="3029">
        <v>4.4999999999999998E-2</v>
      </c>
      <c r="E12" s="3023" t="s">
        <v>2511</v>
      </c>
      <c r="F12" s="3030">
        <f>ROUND(1-(1/(POWER(1+D12,B12))),4)</f>
        <v>0.82809999999999995</v>
      </c>
    </row>
    <row r="13" spans="1:18">
      <c r="A13" s="3020" t="s">
        <v>2512</v>
      </c>
      <c r="B13" s="3023"/>
      <c r="C13" s="3023"/>
      <c r="D13" s="3018"/>
      <c r="E13" s="3018"/>
      <c r="F13" s="3019"/>
    </row>
    <row r="14" spans="1:18">
      <c r="A14" s="3020" t="s">
        <v>2513</v>
      </c>
      <c r="B14" s="3028">
        <v>5000</v>
      </c>
      <c r="C14" s="3022"/>
      <c r="D14" s="3018"/>
      <c r="E14" s="3018"/>
      <c r="F14" s="3019"/>
    </row>
    <row r="15" spans="1:18">
      <c r="A15" s="3020" t="s">
        <v>2514</v>
      </c>
      <c r="B15" s="3023">
        <f>ROUND(B14*F12/F11,2)</f>
        <v>4339.6899999999996</v>
      </c>
      <c r="C15" s="3023">
        <f>ROUND(F12/F11,4)</f>
        <v>0.8679</v>
      </c>
      <c r="D15" s="3018"/>
      <c r="E15" s="3018"/>
      <c r="F15" s="3019"/>
    </row>
    <row r="16" spans="1:18">
      <c r="A16" s="3020" t="s">
        <v>2515</v>
      </c>
      <c r="B16" s="3023"/>
      <c r="C16" s="3023"/>
      <c r="D16" s="3018"/>
      <c r="E16" s="3018"/>
      <c r="F16" s="3019"/>
    </row>
    <row r="17" spans="1:14">
      <c r="A17" s="3020" t="s">
        <v>2514</v>
      </c>
      <c r="B17" s="3029">
        <v>4810</v>
      </c>
      <c r="C17" s="3022"/>
      <c r="D17" s="3018"/>
      <c r="E17" s="3018"/>
      <c r="F17" s="3019"/>
    </row>
    <row r="18" spans="1:14" ht="15" thickBot="1">
      <c r="A18" s="3031" t="s">
        <v>2513</v>
      </c>
      <c r="B18" s="3032">
        <f>ROUND(B17*F11/F12,2)</f>
        <v>5541.87</v>
      </c>
      <c r="C18" s="3032">
        <f>ROUND(F11/F12,4)</f>
        <v>1.1521999999999999</v>
      </c>
      <c r="D18" s="3033"/>
      <c r="E18" s="3033"/>
      <c r="F18" s="3034"/>
    </row>
    <row r="19" spans="1:14" ht="15" thickBot="1"/>
    <row r="20" spans="1:14" s="3069" customFormat="1" ht="15" thickTop="1">
      <c r="A20" s="3066" t="s">
        <v>2516</v>
      </c>
      <c r="B20" s="3067"/>
      <c r="C20" s="3067"/>
      <c r="D20" s="3067"/>
      <c r="E20" s="3067"/>
      <c r="F20" s="3067"/>
      <c r="G20" s="3068"/>
      <c r="I20" s="3070" t="s">
        <v>2561</v>
      </c>
      <c r="J20" s="3070" t="s">
        <v>2566</v>
      </c>
      <c r="K20" s="3070"/>
      <c r="L20" s="3070"/>
      <c r="M20" s="3070"/>
    </row>
    <row r="21" spans="1:14">
      <c r="A21" s="3035"/>
      <c r="B21" s="3036" t="s">
        <v>2517</v>
      </c>
      <c r="C21" s="3036" t="s">
        <v>2518</v>
      </c>
      <c r="D21" s="3036" t="s">
        <v>2519</v>
      </c>
      <c r="E21" s="3036" t="s">
        <v>2520</v>
      </c>
      <c r="F21" s="3036" t="s">
        <v>2521</v>
      </c>
      <c r="G21" s="3037" t="s">
        <v>2522</v>
      </c>
      <c r="I21" s="3058">
        <v>5</v>
      </c>
      <c r="J21" s="3058">
        <v>54.2</v>
      </c>
    </row>
    <row r="22" spans="1:14">
      <c r="A22" s="3035" t="s">
        <v>2523</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2524</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2564</v>
      </c>
      <c r="N23" s="3457" t="s">
        <v>2565</v>
      </c>
    </row>
    <row r="24" spans="1:14">
      <c r="A24" s="3035" t="s">
        <v>2525</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2563</v>
      </c>
      <c r="N24" s="3457">
        <v>10</v>
      </c>
    </row>
    <row r="25" spans="1:14">
      <c r="A25" s="3035" t="s">
        <v>2526</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2567</v>
      </c>
      <c r="N25" s="3457">
        <v>8</v>
      </c>
    </row>
    <row r="26" spans="1:14">
      <c r="A26" s="3040"/>
      <c r="B26" s="3041"/>
      <c r="C26" s="3041"/>
      <c r="D26" s="3041"/>
      <c r="E26" s="3041"/>
      <c r="F26" s="3041"/>
      <c r="G26" s="3042"/>
      <c r="I26" s="3058">
        <v>30</v>
      </c>
      <c r="J26" s="3058">
        <v>90.5</v>
      </c>
      <c r="K26" s="3058">
        <f t="shared" si="2"/>
        <v>4.2000000000000028</v>
      </c>
      <c r="L26" s="3058" t="s">
        <v>2568</v>
      </c>
      <c r="N26" s="3457">
        <v>5</v>
      </c>
    </row>
    <row r="27" spans="1:14">
      <c r="A27" s="3040" t="s">
        <v>2527</v>
      </c>
      <c r="B27" s="3041"/>
      <c r="C27" s="3041"/>
      <c r="D27" s="3041"/>
      <c r="E27" s="3041"/>
      <c r="F27" s="3041"/>
      <c r="G27" s="3042"/>
      <c r="I27" s="3058">
        <v>35</v>
      </c>
      <c r="J27" s="3058">
        <v>93.8</v>
      </c>
      <c r="K27" s="3058">
        <f t="shared" si="2"/>
        <v>3.2999999999999972</v>
      </c>
      <c r="L27" s="3058" t="s">
        <v>2569</v>
      </c>
      <c r="N27" s="3457">
        <v>3</v>
      </c>
    </row>
    <row r="28" spans="1:14">
      <c r="A28" s="3040" t="s">
        <v>2528</v>
      </c>
      <c r="B28" s="3041"/>
      <c r="C28" s="3041"/>
      <c r="D28" s="3041"/>
      <c r="E28" s="3041"/>
      <c r="F28" s="3041"/>
      <c r="G28" s="3042"/>
      <c r="I28" s="3058">
        <v>40</v>
      </c>
      <c r="J28" s="3058">
        <v>96.4</v>
      </c>
      <c r="K28" s="3058">
        <f t="shared" si="2"/>
        <v>2.6000000000000085</v>
      </c>
      <c r="L28" s="3058" t="s">
        <v>2570</v>
      </c>
      <c r="N28" s="3457">
        <v>2</v>
      </c>
    </row>
    <row r="29" spans="1:14">
      <c r="A29" s="3040" t="s">
        <v>2529</v>
      </c>
      <c r="B29" s="3041"/>
      <c r="C29" s="3041"/>
      <c r="D29" s="3041"/>
      <c r="E29" s="3041"/>
      <c r="F29" s="3041"/>
      <c r="G29" s="3042"/>
      <c r="I29" s="3058">
        <v>45</v>
      </c>
      <c r="J29" s="3058">
        <v>98.4</v>
      </c>
      <c r="K29" s="3058">
        <f t="shared" si="2"/>
        <v>2</v>
      </c>
    </row>
    <row r="30" spans="1:14">
      <c r="A30" s="3040" t="s">
        <v>2530</v>
      </c>
      <c r="B30" s="3041"/>
      <c r="C30" s="3041"/>
      <c r="D30" s="3041"/>
      <c r="E30" s="3041"/>
      <c r="F30" s="3041"/>
      <c r="G30" s="3042"/>
      <c r="I30" s="3058">
        <v>50</v>
      </c>
      <c r="J30" s="3058">
        <v>100</v>
      </c>
      <c r="K30" s="3058">
        <f t="shared" si="2"/>
        <v>1.5999999999999943</v>
      </c>
    </row>
    <row r="31" spans="1:14">
      <c r="A31" s="3040" t="s">
        <v>2531</v>
      </c>
      <c r="B31" s="3041"/>
      <c r="C31" s="3041"/>
      <c r="D31" s="3041"/>
      <c r="E31" s="3041"/>
      <c r="F31" s="3041"/>
      <c r="G31" s="3042"/>
      <c r="I31" s="3058" t="s">
        <v>2562</v>
      </c>
    </row>
    <row r="32" spans="1:14">
      <c r="A32" s="3040" t="s">
        <v>2532</v>
      </c>
      <c r="B32" s="3041"/>
      <c r="C32" s="3041"/>
      <c r="D32" s="3041"/>
      <c r="E32" s="3041"/>
      <c r="F32" s="3041"/>
      <c r="G32" s="3042"/>
    </row>
    <row r="33" spans="1:14">
      <c r="A33" s="3040" t="s">
        <v>2533</v>
      </c>
      <c r="B33" s="3041"/>
      <c r="C33" s="3041"/>
      <c r="D33" s="3041"/>
      <c r="E33" s="3041"/>
      <c r="F33" s="3041"/>
      <c r="G33" s="3042"/>
      <c r="I33" s="3058" t="s">
        <v>2561</v>
      </c>
      <c r="J33" s="3058" t="s">
        <v>2571</v>
      </c>
    </row>
    <row r="34" spans="1:14">
      <c r="A34" s="3040" t="s">
        <v>2534</v>
      </c>
      <c r="B34" s="3041"/>
      <c r="C34" s="3041"/>
      <c r="D34" s="3041"/>
      <c r="E34" s="3041"/>
      <c r="F34" s="3041"/>
      <c r="G34" s="3042"/>
      <c r="I34" s="3058">
        <v>5</v>
      </c>
      <c r="J34" s="3058">
        <v>55.1</v>
      </c>
    </row>
    <row r="35" spans="1:14">
      <c r="A35" s="3040" t="s">
        <v>2535</v>
      </c>
      <c r="B35" s="3041"/>
      <c r="C35" s="3041"/>
      <c r="D35" s="3041"/>
      <c r="E35" s="3041"/>
      <c r="F35" s="3041"/>
      <c r="G35" s="3042"/>
      <c r="I35" s="3058">
        <v>10</v>
      </c>
      <c r="J35" s="3058">
        <v>67</v>
      </c>
      <c r="K35" s="3058">
        <f>J35-J34</f>
        <v>11.899999999999999</v>
      </c>
    </row>
    <row r="36" spans="1:14">
      <c r="A36" s="3040" t="s">
        <v>2536</v>
      </c>
      <c r="B36" s="3041"/>
      <c r="C36" s="3041"/>
      <c r="D36" s="3041"/>
      <c r="E36" s="3041"/>
      <c r="F36" s="3041"/>
      <c r="G36" s="3042"/>
      <c r="I36" s="3058">
        <v>15</v>
      </c>
      <c r="J36" s="3058">
        <v>76.3</v>
      </c>
      <c r="K36" s="3058">
        <f t="shared" ref="K36:K41" si="3">J36-J35</f>
        <v>9.2999999999999972</v>
      </c>
      <c r="L36" s="3058" t="s">
        <v>2564</v>
      </c>
      <c r="N36" s="3457" t="s">
        <v>2565</v>
      </c>
    </row>
    <row r="37" spans="1:14">
      <c r="A37" s="3040" t="s">
        <v>2537</v>
      </c>
      <c r="B37" s="3041"/>
      <c r="C37" s="3041"/>
      <c r="D37" s="3041"/>
      <c r="E37" s="3041"/>
      <c r="F37" s="3041"/>
      <c r="G37" s="3042"/>
      <c r="I37" s="3058">
        <v>20</v>
      </c>
      <c r="J37" s="3058">
        <v>83.6</v>
      </c>
      <c r="K37" s="3058">
        <f t="shared" si="3"/>
        <v>7.2999999999999972</v>
      </c>
      <c r="L37" s="3058" t="s">
        <v>2563</v>
      </c>
      <c r="N37" s="3457">
        <v>10</v>
      </c>
    </row>
    <row r="38" spans="1:14">
      <c r="A38" s="3040" t="s">
        <v>2538</v>
      </c>
      <c r="B38" s="3041"/>
      <c r="C38" s="3041"/>
      <c r="D38" s="3041"/>
      <c r="E38" s="3041"/>
      <c r="F38" s="3041"/>
      <c r="G38" s="3042"/>
      <c r="I38" s="3058">
        <v>25</v>
      </c>
      <c r="J38" s="3058">
        <v>89.3</v>
      </c>
      <c r="K38" s="3058">
        <f t="shared" si="3"/>
        <v>5.7000000000000028</v>
      </c>
      <c r="L38" s="3058" t="s">
        <v>2567</v>
      </c>
      <c r="N38" s="3457">
        <v>8</v>
      </c>
    </row>
    <row r="39" spans="1:14">
      <c r="A39" s="3040"/>
      <c r="B39" s="3041"/>
      <c r="C39" s="3041"/>
      <c r="D39" s="3041"/>
      <c r="E39" s="3041"/>
      <c r="F39" s="3041"/>
      <c r="G39" s="3042"/>
      <c r="I39" s="3058">
        <v>30</v>
      </c>
      <c r="J39" s="3058">
        <v>93.8</v>
      </c>
      <c r="K39" s="3058">
        <f t="shared" si="3"/>
        <v>4.5</v>
      </c>
      <c r="L39" s="3058" t="s">
        <v>2568</v>
      </c>
      <c r="N39" s="3457">
        <v>6</v>
      </c>
    </row>
    <row r="40" spans="1:14">
      <c r="A40" s="3043" t="s">
        <v>2539</v>
      </c>
      <c r="B40" s="3044"/>
      <c r="C40" s="3044"/>
      <c r="D40" s="3044"/>
      <c r="E40" s="3044"/>
      <c r="F40" s="3044"/>
      <c r="G40" s="3045"/>
      <c r="I40" s="3058">
        <v>35</v>
      </c>
      <c r="J40" s="3058">
        <v>97.2</v>
      </c>
      <c r="K40" s="3058">
        <f t="shared" si="3"/>
        <v>3.4000000000000057</v>
      </c>
      <c r="L40" s="3058" t="s">
        <v>2569</v>
      </c>
      <c r="N40" s="3457">
        <v>3</v>
      </c>
    </row>
    <row r="41" spans="1:14">
      <c r="A41" s="3046" t="s">
        <v>2540</v>
      </c>
      <c r="B41" s="3047" t="s">
        <v>2541</v>
      </c>
      <c r="C41" s="3048" t="s">
        <v>2542</v>
      </c>
      <c r="D41" s="3048" t="s">
        <v>2543</v>
      </c>
      <c r="E41" s="3049"/>
      <c r="F41" s="3050"/>
      <c r="G41" s="3051"/>
      <c r="I41" s="3058">
        <v>40</v>
      </c>
      <c r="J41" s="3058">
        <v>100</v>
      </c>
      <c r="K41" s="3058">
        <f t="shared" si="3"/>
        <v>2.7999999999999972</v>
      </c>
    </row>
    <row r="42" spans="1:14">
      <c r="A42" s="3046" t="s">
        <v>2544</v>
      </c>
      <c r="B42" s="3047" t="s">
        <v>2545</v>
      </c>
      <c r="C42" s="3048" t="s">
        <v>2546</v>
      </c>
      <c r="D42" s="3052" t="s">
        <v>2547</v>
      </c>
      <c r="E42" s="3044" t="s">
        <v>2548</v>
      </c>
      <c r="F42" s="3044"/>
      <c r="G42" s="3045"/>
    </row>
    <row r="43" spans="1:14">
      <c r="A43" s="3046" t="s">
        <v>2549</v>
      </c>
      <c r="B43" s="3047" t="s">
        <v>2550</v>
      </c>
      <c r="C43" s="3048" t="s">
        <v>2551</v>
      </c>
      <c r="D43" s="3048" t="s">
        <v>2552</v>
      </c>
      <c r="E43" s="3049" t="s">
        <v>2553</v>
      </c>
      <c r="F43" s="3050"/>
      <c r="G43" s="3051"/>
      <c r="I43" s="3058" t="s">
        <v>2561</v>
      </c>
      <c r="J43" s="3058" t="s">
        <v>2572</v>
      </c>
    </row>
    <row r="44" spans="1:14">
      <c r="A44" s="3046" t="s">
        <v>2554</v>
      </c>
      <c r="B44" s="3047" t="s">
        <v>2555</v>
      </c>
      <c r="C44" s="3048" t="s">
        <v>2556</v>
      </c>
      <c r="D44" s="3052">
        <v>0.5</v>
      </c>
      <c r="E44" s="3049" t="s">
        <v>2557</v>
      </c>
      <c r="F44" s="3050"/>
      <c r="G44" s="3051"/>
      <c r="I44" s="3058">
        <v>30</v>
      </c>
      <c r="J44" s="3058">
        <v>81.7</v>
      </c>
    </row>
    <row r="45" spans="1:14" ht="15" thickBot="1">
      <c r="A45" s="3053" t="s">
        <v>2558</v>
      </c>
      <c r="B45" s="3054" t="s">
        <v>2545</v>
      </c>
      <c r="C45" s="3055" t="s">
        <v>2545</v>
      </c>
      <c r="D45" s="3055" t="s">
        <v>2559</v>
      </c>
      <c r="E45" s="3056" t="s">
        <v>2560</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2165</v>
      </c>
      <c r="B1" s="3533" t="str">
        <f>IF(B10="北京市","北京市",C10)&amp;F10&amp;IF(结果表!G1="在建","出让国有建设用地使用权及在建建筑物",IF(结果表!G1="土地","出让国有建设用地使用权",))&amp;B9&amp;"预评估"</f>
        <v>北京市房地产市场价值预评估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2167</v>
      </c>
      <c r="B3" s="2373">
        <f>D3</f>
        <v>45882</v>
      </c>
      <c r="C3" s="2374" t="s">
        <v>2168</v>
      </c>
      <c r="D3" s="2373">
        <v>45882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3425</v>
      </c>
      <c r="C8" s="2390"/>
      <c r="D8" s="3536" t="s">
        <v>2174</v>
      </c>
      <c r="E8" s="2391"/>
      <c r="F8" s="2392"/>
      <c r="G8" s="2663"/>
      <c r="H8" s="2663"/>
      <c r="I8" s="2663"/>
      <c r="J8" s="2439"/>
      <c r="K8" s="2614"/>
      <c r="L8" s="2613"/>
      <c r="M8" s="2613"/>
      <c r="N8" s="2439"/>
      <c r="O8" s="2450"/>
      <c r="P8" s="2439"/>
      <c r="Q8" s="2439"/>
      <c r="R8" s="2439"/>
    </row>
    <row r="9" spans="1:30" ht="13.8" thickBot="1">
      <c r="A9" s="2393" t="s">
        <v>2175</v>
      </c>
      <c r="B9" s="2394" t="s">
        <v>3426</v>
      </c>
      <c r="C9" s="2395"/>
      <c r="D9" s="3537"/>
      <c r="E9" s="2394"/>
      <c r="F9" s="2396"/>
      <c r="G9" s="2665"/>
      <c r="H9" s="2665"/>
      <c r="I9" s="2665"/>
      <c r="J9" s="2439"/>
      <c r="K9" s="2616"/>
      <c r="L9" s="2613"/>
      <c r="M9" s="2613"/>
      <c r="N9" s="2439"/>
      <c r="O9" s="2450"/>
      <c r="P9" s="2439"/>
      <c r="Q9" s="2439"/>
      <c r="R9" s="2439"/>
    </row>
    <row r="10" spans="1:30" ht="13.8" thickTop="1">
      <c r="A10" s="2397" t="s">
        <v>2176</v>
      </c>
      <c r="B10" s="2398" t="s">
        <v>3423</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3424</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2573</v>
      </c>
      <c r="J12" s="3062"/>
      <c r="K12" s="2613"/>
      <c r="L12" s="2613"/>
      <c r="M12" s="2439"/>
      <c r="N12" s="2450"/>
      <c r="O12" s="2439"/>
      <c r="P12" s="2439"/>
      <c r="Q12" s="2439"/>
      <c r="AD12" s="1745"/>
    </row>
    <row r="13" spans="1:30">
      <c r="A13" s="3423" t="s">
        <v>3329</v>
      </c>
      <c r="B13" s="2407" t="s">
        <v>2187</v>
      </c>
      <c r="C13" s="856">
        <v>68749</v>
      </c>
      <c r="D13" s="856"/>
      <c r="E13" s="856"/>
      <c r="F13" s="856"/>
      <c r="G13" s="856">
        <v>61444</v>
      </c>
      <c r="H13" s="856"/>
      <c r="I13" s="856"/>
      <c r="J13" s="3062"/>
      <c r="K13" s="2613"/>
      <c r="L13" s="2613"/>
      <c r="M13" s="2439"/>
      <c r="N13" s="2450"/>
      <c r="O13" s="2439"/>
      <c r="P13" s="2439"/>
      <c r="Q13" s="2439"/>
      <c r="AD13" s="1745"/>
    </row>
    <row r="14" spans="1:30">
      <c r="A14" s="1081"/>
      <c r="B14" s="2407" t="s">
        <v>2188</v>
      </c>
      <c r="C14" s="2408">
        <v>70</v>
      </c>
      <c r="D14" s="2408"/>
      <c r="E14" s="2408"/>
      <c r="F14" s="2408"/>
      <c r="G14" s="2408">
        <v>50</v>
      </c>
      <c r="H14" s="2408"/>
      <c r="I14" s="2408"/>
      <c r="J14" s="3063"/>
      <c r="K14" s="2613"/>
      <c r="L14" s="2613"/>
      <c r="M14" s="2439"/>
      <c r="N14" s="2450"/>
      <c r="O14" s="2439"/>
      <c r="P14" s="2439"/>
      <c r="Q14" s="2439"/>
      <c r="AD14" s="1745"/>
    </row>
    <row r="15" spans="1:30">
      <c r="A15" s="320"/>
      <c r="B15" s="2409" t="s">
        <v>2189</v>
      </c>
      <c r="C15" s="2410">
        <f>IF(A13="出让",IF(C13="","",ROUNDDOWN(MIN((C13-$D$3)/365,C14),2)),C14)</f>
        <v>62.64</v>
      </c>
      <c r="D15" s="2410" t="str">
        <f>IF(A13="出让",IF(D13="","",ROUNDDOWN(MIN((D13-$D$3)/365,D14),2)),D14)</f>
        <v/>
      </c>
      <c r="E15" s="2410" t="str">
        <f>IF(A13="出让",IF(E13="","",ROUNDDOWN(MIN((E13-$D$3)/365,E14),2)),E14)</f>
        <v/>
      </c>
      <c r="F15" s="2410" t="str">
        <f>IF(A13="出让",IF(F13="","",ROUNDDOWN(MIN((F13-$D$3)/365,F14),2)),F14)</f>
        <v/>
      </c>
      <c r="G15" s="2410">
        <f>IF(A13="出让",IF(G13="","",ROUNDDOWN(MIN((G13-$D$3)/365,G14),2)),G14)</f>
        <v>42.63</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43"/>
      <c r="C16" s="3544"/>
      <c r="D16" s="3545"/>
      <c r="E16" s="2413" t="s">
        <v>2191</v>
      </c>
      <c r="F16" s="3546"/>
      <c r="G16" s="3547"/>
      <c r="H16" s="3547"/>
      <c r="I16" s="3548"/>
      <c r="J16" s="2439"/>
      <c r="K16" s="2617"/>
      <c r="L16" s="2451"/>
      <c r="M16" s="2451"/>
      <c r="N16" s="2509"/>
      <c r="O16" s="2451"/>
      <c r="P16" s="2509"/>
      <c r="Q16" s="2439"/>
      <c r="R16" s="2439"/>
    </row>
    <row r="17" spans="1:28">
      <c r="A17" s="313" t="s">
        <v>2192</v>
      </c>
      <c r="B17" s="302" t="s">
        <v>2193</v>
      </c>
      <c r="C17" s="8">
        <f>'数据-汇总表'!E3</f>
        <v>10.32</v>
      </c>
      <c r="D17" s="2322" t="s">
        <v>2194</v>
      </c>
      <c r="E17" s="3549" t="s">
        <v>2195</v>
      </c>
      <c r="F17" s="3550"/>
      <c r="G17" s="3550"/>
      <c r="H17" s="3550"/>
      <c r="I17" s="3551"/>
      <c r="J17" s="2439"/>
      <c r="K17" s="2618"/>
      <c r="L17" s="2451"/>
      <c r="M17" s="2451"/>
      <c r="N17" s="2509"/>
      <c r="O17" s="2451"/>
      <c r="P17" s="2509"/>
      <c r="Q17" s="2439"/>
      <c r="R17" s="2439"/>
      <c r="S17" s="2439"/>
      <c r="T17" s="2439"/>
      <c r="U17" s="2439"/>
      <c r="V17" s="2439"/>
    </row>
    <row r="18" spans="1:28" ht="24.6" thickBot="1">
      <c r="A18" s="2414" t="s">
        <v>2196</v>
      </c>
      <c r="B18" s="1090" t="s">
        <v>2197</v>
      </c>
      <c r="C18" s="2415" t="e">
        <f>'数据-汇总表'!D3</f>
        <v>#DIV/0!</v>
      </c>
      <c r="D18" s="1092" t="s">
        <v>2198</v>
      </c>
      <c r="E18" s="3552" t="s">
        <v>2199</v>
      </c>
      <c r="F18" s="3553"/>
      <c r="G18" s="3553"/>
      <c r="H18" s="3553"/>
      <c r="I18" s="3554"/>
      <c r="J18" s="2439"/>
      <c r="K18" s="2618"/>
      <c r="L18" s="2451"/>
      <c r="M18" s="2451"/>
      <c r="N18" s="2509"/>
      <c r="O18" s="2451"/>
      <c r="P18" s="2509"/>
      <c r="Q18" s="2439"/>
      <c r="R18" s="2439"/>
      <c r="S18" s="2439"/>
      <c r="T18" s="2439"/>
      <c r="U18" s="2439"/>
      <c r="V18" s="2439"/>
    </row>
    <row r="19" spans="1:28" ht="37.200000000000003" thickTop="1" thickBot="1">
      <c r="A19" s="327" t="s">
        <v>1055</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39" t="s">
        <v>2203</v>
      </c>
      <c r="C20" s="3540"/>
      <c r="D20" s="3541" t="s">
        <v>2204</v>
      </c>
      <c r="E20" s="3542"/>
      <c r="F20" s="2647" t="s">
        <v>1056</v>
      </c>
      <c r="G20" s="2664"/>
      <c r="H20" s="2664"/>
      <c r="I20" s="2664"/>
      <c r="J20" s="2439"/>
      <c r="K20" s="3538"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2206</v>
      </c>
      <c r="C21" s="2634" t="s">
        <v>1057</v>
      </c>
      <c r="D21" s="1568" t="s">
        <v>2207</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2208</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6"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2215</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25" t="s">
        <v>2225</v>
      </c>
      <c r="T34" s="2428" t="str">
        <f>NUMBERSTRING(7-K34,1)&amp;"通"</f>
        <v>七通</v>
      </c>
      <c r="U34" s="2439"/>
      <c r="V34" s="2439"/>
    </row>
    <row r="35" spans="1:30">
      <c r="A35" s="2429"/>
      <c r="B35" s="3532" t="s">
        <v>2226</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2576</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t="s">
        <v>307</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2228</v>
      </c>
      <c r="B38" s="2432"/>
      <c r="C38" s="2432"/>
      <c r="D38" s="2432" t="s">
        <v>3409</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10.32</v>
      </c>
      <c r="BA5" s="15">
        <f t="shared" si="1"/>
        <v>10.32</v>
      </c>
      <c r="BB5" s="15">
        <f t="shared" si="1"/>
        <v>10.32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43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3430</v>
      </c>
      <c r="E13" s="13" t="e">
        <f>IF($C$3="是",ROUND($A$3*G13/$B$3,2),ROUND($A$3*(G13-AT13)/$B$3,2))</f>
        <v>#DIV/0!</v>
      </c>
      <c r="F13" s="29"/>
      <c r="G13" s="30">
        <f>H13+AC13+AT13</f>
        <v>0</v>
      </c>
      <c r="H13" s="17">
        <f>SUMIF(I$12:AB$12,"总值",I13:AB13)</f>
        <v>0</v>
      </c>
      <c r="I13" s="1626" t="str">
        <f>估价对象汇总!E3</f>
        <v>10.32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10.32</v>
      </c>
      <c r="BA13" s="13">
        <f>SUM(BB13:BK13)</f>
        <v>10.32</v>
      </c>
      <c r="BB13" s="13">
        <f>IF($D13="是",I13-J13,0)</f>
        <v>10.32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t="e">
        <f>'数据-基础表'!AY6</f>
        <v>#DIV/0!</v>
      </c>
      <c r="E3" s="43">
        <f>'数据-基础表'!AZ5</f>
        <v>10.32</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t="e">
        <f>ROUND($D$3*E6/$E$3,2)</f>
        <v>#DIV/0!</v>
      </c>
      <c r="E6" s="46">
        <f>E3-E5</f>
        <v>10.32</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3427</v>
      </c>
      <c r="D19" s="45" t="e">
        <f>ROUND($D$3*E19/$E$3,2)</f>
        <v>#DIV/0!</v>
      </c>
      <c r="E19" s="53">
        <f t="shared" ref="E19:E26" si="1">SUM(F19:G19)</f>
        <v>10.32</v>
      </c>
      <c r="F19" s="2795"/>
      <c r="G19" s="2796">
        <v>10.32</v>
      </c>
      <c r="H19" s="670" t="e">
        <f>ROUND($D$3*I19/$E$3,2)</f>
        <v>#DIV/0!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t="e">
        <f t="shared" ref="R19:S26" si="5">D19+H19</f>
        <v>#DIV/0!</v>
      </c>
      <c r="S19" s="1027">
        <f t="shared" si="5"/>
        <v>10.32</v>
      </c>
    </row>
    <row r="20" spans="1:19" ht="14.4">
      <c r="A20" s="1670"/>
      <c r="B20" s="47" t="s">
        <v>1153</v>
      </c>
      <c r="C20" s="3417"/>
      <c r="D20" s="45" t="e">
        <f t="shared" ref="D20:D26" si="6">ROUND($D$3*E20/$E$3,2)</f>
        <v>#DIV/0!</v>
      </c>
      <c r="E20" s="53">
        <f t="shared" si="1"/>
        <v>0</v>
      </c>
      <c r="F20" s="2795"/>
      <c r="G20" s="2796"/>
      <c r="H20" s="670" t="e">
        <f t="shared" ref="H20:H26" si="7">ROUND($D$3*I20/$E$3,2)</f>
        <v>#DIV/0!</v>
      </c>
      <c r="I20" s="48">
        <f t="shared" si="2"/>
        <v>0</v>
      </c>
      <c r="J20" s="1139"/>
      <c r="K20" s="1138">
        <f t="shared" si="3"/>
        <v>0</v>
      </c>
      <c r="L20" s="1026">
        <f t="shared" si="4"/>
        <v>0</v>
      </c>
      <c r="M20" s="1150">
        <f t="shared" ref="M20:M26" si="8">K20+L20</f>
        <v>0</v>
      </c>
      <c r="N20" s="1668"/>
      <c r="O20" s="1669"/>
      <c r="P20" s="1150">
        <f t="shared" ref="P20:P26" si="9">N20+O20</f>
        <v>0</v>
      </c>
      <c r="R20" s="1026" t="e">
        <f t="shared" si="5"/>
        <v>#DIV/0!</v>
      </c>
      <c r="S20" s="1027">
        <f t="shared" si="5"/>
        <v>0</v>
      </c>
    </row>
    <row r="21" spans="1:19" ht="14.4">
      <c r="A21" s="1670"/>
      <c r="B21" s="47" t="s">
        <v>1153</v>
      </c>
      <c r="C21" s="3417"/>
      <c r="D21" s="45" t="e">
        <f t="shared" si="6"/>
        <v>#DIV/0!</v>
      </c>
      <c r="E21" s="53">
        <f t="shared" si="1"/>
        <v>0</v>
      </c>
      <c r="F21" s="2795"/>
      <c r="G21" s="2796"/>
      <c r="H21" s="670" t="e">
        <f t="shared" si="7"/>
        <v>#DIV/0!</v>
      </c>
      <c r="I21" s="48">
        <f t="shared" si="2"/>
        <v>0</v>
      </c>
      <c r="J21" s="1139"/>
      <c r="K21" s="1138">
        <f t="shared" si="3"/>
        <v>0</v>
      </c>
      <c r="L21" s="1026">
        <f t="shared" si="4"/>
        <v>0</v>
      </c>
      <c r="M21" s="1150">
        <f t="shared" si="8"/>
        <v>0</v>
      </c>
      <c r="N21" s="1668"/>
      <c r="O21" s="1669"/>
      <c r="P21" s="1150">
        <f t="shared" si="9"/>
        <v>0</v>
      </c>
      <c r="R21" s="1026" t="e">
        <f t="shared" si="5"/>
        <v>#DIV/0!</v>
      </c>
      <c r="S21" s="1027">
        <f t="shared" si="5"/>
        <v>0</v>
      </c>
    </row>
    <row r="22" spans="1:19" ht="14.4">
      <c r="A22" s="1670"/>
      <c r="B22" s="47" t="s">
        <v>1153</v>
      </c>
      <c r="C22" s="3418"/>
      <c r="D22" s="45" t="e">
        <f t="shared" si="6"/>
        <v>#DIV/0!</v>
      </c>
      <c r="E22" s="53">
        <f t="shared" si="1"/>
        <v>0</v>
      </c>
      <c r="F22" s="2797"/>
      <c r="G22" s="2798"/>
      <c r="H22" s="670" t="e">
        <f t="shared" si="7"/>
        <v>#DIV/0!</v>
      </c>
      <c r="I22" s="48">
        <f t="shared" si="2"/>
        <v>0</v>
      </c>
      <c r="J22" s="1139"/>
      <c r="K22" s="1138">
        <f t="shared" si="3"/>
        <v>0</v>
      </c>
      <c r="L22" s="1026">
        <f t="shared" si="4"/>
        <v>0</v>
      </c>
      <c r="M22" s="1150">
        <f t="shared" si="8"/>
        <v>0</v>
      </c>
      <c r="N22" s="1668"/>
      <c r="O22" s="1669"/>
      <c r="P22" s="1150">
        <f t="shared" si="9"/>
        <v>0</v>
      </c>
      <c r="R22" s="1026" t="e">
        <f t="shared" si="5"/>
        <v>#DIV/0!</v>
      </c>
      <c r="S22" s="1027">
        <f t="shared" si="5"/>
        <v>0</v>
      </c>
    </row>
    <row r="23" spans="1:19" ht="14.4">
      <c r="A23" s="1670"/>
      <c r="B23" s="47" t="s">
        <v>1153</v>
      </c>
      <c r="C23" s="3418"/>
      <c r="D23" s="45" t="e">
        <f>ROUND($D$3*E23/$E$3,2)</f>
        <v>#DIV/0!</v>
      </c>
      <c r="E23" s="53">
        <f>SUM(F23:G23)</f>
        <v>0</v>
      </c>
      <c r="F23" s="2797"/>
      <c r="G23" s="2798"/>
      <c r="H23" s="670" t="e">
        <f>ROUND($D$3*I23/$E$3,2)</f>
        <v>#DIV/0!</v>
      </c>
      <c r="I23" s="48">
        <f t="shared" si="2"/>
        <v>0</v>
      </c>
      <c r="J23" s="1139"/>
      <c r="K23" s="1138">
        <f t="shared" si="3"/>
        <v>0</v>
      </c>
      <c r="L23" s="1026">
        <f t="shared" si="4"/>
        <v>0</v>
      </c>
      <c r="M23" s="1150">
        <f t="shared" si="8"/>
        <v>0</v>
      </c>
      <c r="N23" s="1668"/>
      <c r="O23" s="1669"/>
      <c r="P23" s="1150">
        <f t="shared" si="9"/>
        <v>0</v>
      </c>
      <c r="R23" s="1026" t="e">
        <f t="shared" si="5"/>
        <v>#DIV/0!</v>
      </c>
      <c r="S23" s="1027">
        <f t="shared" si="5"/>
        <v>0</v>
      </c>
    </row>
    <row r="24" spans="1:19" ht="14.4">
      <c r="A24" s="1670"/>
      <c r="B24" s="47" t="s">
        <v>1153</v>
      </c>
      <c r="C24" s="3418"/>
      <c r="D24" s="45" t="e">
        <f>ROUND($D$3*E24/$E$3,2)</f>
        <v>#DIV/0!</v>
      </c>
      <c r="E24" s="53">
        <f>SUM(F24:G24)</f>
        <v>0</v>
      </c>
      <c r="F24" s="2797"/>
      <c r="G24" s="2798"/>
      <c r="H24" s="670" t="e">
        <f>ROUND($D$3*I24/$E$3,2)</f>
        <v>#DIV/0!</v>
      </c>
      <c r="I24" s="48">
        <f t="shared" si="2"/>
        <v>0</v>
      </c>
      <c r="J24" s="1139"/>
      <c r="K24" s="1138">
        <f t="shared" si="3"/>
        <v>0</v>
      </c>
      <c r="L24" s="1026">
        <f t="shared" si="4"/>
        <v>0</v>
      </c>
      <c r="M24" s="1150">
        <f t="shared" si="8"/>
        <v>0</v>
      </c>
      <c r="N24" s="1668"/>
      <c r="O24" s="1669"/>
      <c r="P24" s="1150">
        <f t="shared" si="9"/>
        <v>0</v>
      </c>
      <c r="R24" s="1026" t="e">
        <f t="shared" si="5"/>
        <v>#DIV/0!</v>
      </c>
      <c r="S24" s="1027">
        <f t="shared" si="5"/>
        <v>0</v>
      </c>
    </row>
    <row r="25" spans="1:19" ht="14.4">
      <c r="A25" s="1670"/>
      <c r="B25" s="47" t="s">
        <v>1153</v>
      </c>
      <c r="C25" s="3418"/>
      <c r="D25" s="45" t="e">
        <f t="shared" si="6"/>
        <v>#DIV/0!</v>
      </c>
      <c r="E25" s="53">
        <f t="shared" si="1"/>
        <v>0</v>
      </c>
      <c r="F25" s="2797"/>
      <c r="G25" s="2798"/>
      <c r="H25" s="44" t="e">
        <f t="shared" si="7"/>
        <v>#DIV/0!</v>
      </c>
      <c r="I25" s="48">
        <f t="shared" si="2"/>
        <v>0</v>
      </c>
      <c r="J25" s="1139"/>
      <c r="K25" s="1138">
        <f t="shared" si="3"/>
        <v>0</v>
      </c>
      <c r="L25" s="1026">
        <f t="shared" si="4"/>
        <v>0</v>
      </c>
      <c r="M25" s="1150">
        <f t="shared" si="8"/>
        <v>0</v>
      </c>
      <c r="N25" s="1668"/>
      <c r="O25" s="1669"/>
      <c r="P25" s="1150">
        <f t="shared" si="9"/>
        <v>0</v>
      </c>
      <c r="R25" s="1026" t="e">
        <f t="shared" si="5"/>
        <v>#DIV/0!</v>
      </c>
      <c r="S25" s="1027">
        <f t="shared" si="5"/>
        <v>0</v>
      </c>
    </row>
    <row r="26" spans="1:19" ht="14.4">
      <c r="A26" s="1670"/>
      <c r="B26" s="47" t="s">
        <v>1153</v>
      </c>
      <c r="C26" s="55"/>
      <c r="D26" s="45" t="e">
        <f t="shared" si="6"/>
        <v>#DIV/0!</v>
      </c>
      <c r="E26" s="53">
        <f t="shared" si="1"/>
        <v>0</v>
      </c>
      <c r="F26" s="2797"/>
      <c r="G26" s="2798"/>
      <c r="H26" s="44" t="e">
        <f t="shared" si="7"/>
        <v>#DIV/0!</v>
      </c>
      <c r="I26" s="48">
        <f t="shared" si="2"/>
        <v>0</v>
      </c>
      <c r="J26" s="1139"/>
      <c r="K26" s="1145">
        <f t="shared" si="3"/>
        <v>0</v>
      </c>
      <c r="L26" s="1146">
        <f t="shared" si="4"/>
        <v>0</v>
      </c>
      <c r="M26" s="59">
        <f t="shared" si="8"/>
        <v>0</v>
      </c>
      <c r="N26" s="1671"/>
      <c r="O26" s="1672"/>
      <c r="P26" s="59">
        <f t="shared" si="9"/>
        <v>0</v>
      </c>
      <c r="R26" s="1026" t="e">
        <f t="shared" si="5"/>
        <v>#DIV/0!</v>
      </c>
      <c r="S26" s="1027">
        <f t="shared" si="5"/>
        <v>0</v>
      </c>
    </row>
    <row r="27" spans="1:19" ht="15" thickBot="1">
      <c r="A27" s="1670"/>
      <c r="B27" s="45"/>
      <c r="C27" s="1673" t="s">
        <v>1154</v>
      </c>
      <c r="D27" s="1140" t="e">
        <f>SUM(D19:D26)</f>
        <v>#DIV/0!</v>
      </c>
      <c r="E27" s="1141">
        <f>IF(SUM(E19:E26)='数据-基础表'!BA5,SUM(E19:E26),IF(F27="地上面积有误","面积有误","地下面积有误"))</f>
        <v>10.32</v>
      </c>
      <c r="F27" s="1140">
        <f>IF(SUM(F19:F26)=E8,SUM(F19:F26),"地上面积有误")</f>
        <v>0</v>
      </c>
      <c r="G27" s="1142">
        <f>SUM(G19:G26)</f>
        <v>10.32</v>
      </c>
      <c r="H27" s="1143" t="e">
        <f>SUM(H19:H26)</f>
        <v>#DIV/0!</v>
      </c>
      <c r="I27" s="1144">
        <f>SUM(I19:I26)</f>
        <v>0</v>
      </c>
      <c r="J27" s="1139"/>
      <c r="K27" s="1147">
        <f>SUM(K19:K26)</f>
        <v>0</v>
      </c>
      <c r="L27" s="1148">
        <f>SUM(L19:L26)</f>
        <v>0</v>
      </c>
      <c r="M27" s="1151">
        <f>SUM(M19:M26)</f>
        <v>0</v>
      </c>
      <c r="N27" s="1147">
        <f t="shared" ref="N27:O27" si="10">SUM(N19:N26)</f>
        <v>0</v>
      </c>
      <c r="O27" s="1148">
        <f t="shared" si="10"/>
        <v>0</v>
      </c>
      <c r="P27" s="1149">
        <f>SUM(P19:P26)</f>
        <v>0</v>
      </c>
      <c r="R27" s="1028" t="e">
        <f>IF(SUM(R19:R26)=$D$3,SUM(R19:R26),SUM(R19:R26)&amp;"误差"&amp;ROUND(SUM(R19:R26)-$D$3,2))</f>
        <v>#DIV/0!</v>
      </c>
      <c r="S27" s="1026">
        <f>IF(SUM(S19:S26)=$E$3,SUM(S19:S26),SUM(S19:S26)&amp;"误差"&amp;ROUND(SUM(S19:S26)-E3,2))</f>
        <v>10.32</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10.32</v>
      </c>
      <c r="F31" s="677">
        <f>F27+F30</f>
        <v>0</v>
      </c>
      <c r="G31" s="678">
        <f>G27+G30</f>
        <v>10.32</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3403</v>
      </c>
      <c r="D6" s="858">
        <f>SUMIF(项目基本情况!C$12:I$12,C6,项目基本情况!C$14:I$14)</f>
        <v>70</v>
      </c>
      <c r="E6" s="857">
        <f>IF(B6="","",SUMIF(项目基本情况!C$12:I$12,C6,项目基本情况!C$13:I$13))</f>
        <v>68749</v>
      </c>
      <c r="F6" s="64">
        <f>SUMIF(项目基本情况!C$12:I$12,C6,项目基本情况!C$15:I$15)</f>
        <v>62.64</v>
      </c>
      <c r="G6" s="65">
        <f>IF(ISERROR(ROUND(POWER(1+H6,D6-F6)*(POWER(1+H6,F6)-1)/(POWER(1+H6,D6)-1),3)),0,ROUND(POWER(1+H6,D6-F6)*(POWER(1+H6,F6)-1)/(POWER(1+H6,D6)-1),3))</f>
        <v>0</v>
      </c>
      <c r="H6" s="732"/>
      <c r="I6" s="732">
        <v>0.05</v>
      </c>
      <c r="J6" s="66"/>
      <c r="K6" s="1030">
        <f>SUMIF('数据-汇总表'!C$19:C$33,A6,'数据-汇总表'!E$19:E$33)</f>
        <v>10.32</v>
      </c>
      <c r="L6" s="733">
        <v>3300</v>
      </c>
      <c r="M6" s="67">
        <f t="shared" ref="M6:M14" si="0">ROUND(K6*L6/10000,0)</f>
        <v>3</v>
      </c>
      <c r="N6" s="731">
        <v>0.9</v>
      </c>
      <c r="O6" s="67" t="str">
        <f>IF($N$5="成新度","——",ROUND(M6*N6,0))</f>
        <v>——</v>
      </c>
      <c r="P6" s="68" t="str">
        <f>IF($N$5="成新度","——",M6-O6)</f>
        <v>——</v>
      </c>
      <c r="Q6" s="734">
        <v>0.08</v>
      </c>
      <c r="R6" s="69" t="e">
        <f ca="1">SUMIF('数据-汇总表'!C$19:C$33,A6,'数据-汇总表'!R$19:R$27)</f>
        <v>#DIV/0!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c r="AO6" s="52" t="e">
        <f ca="1">SUMIF(INDIRECT("'"&amp;AN6&amp;"'"&amp;"!A:A"),"总价",INDIRECT("'"&amp;AN6&amp;"'"&amp;"!B:B"))</f>
        <v>#REF!</v>
      </c>
      <c r="AP6" s="1716">
        <f>IF(C6="住宅",K6*L6,0)</f>
        <v>34056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t="s">
        <v>3331</v>
      </c>
      <c r="D7" s="858">
        <f>SUMIF(项目基本情况!C$12:I$12,C7,项目基本情况!C$14:I$14)</f>
        <v>50</v>
      </c>
      <c r="E7" s="857" t="str">
        <f>IF(B7="","",SUMIF(项目基本情况!C$12:I$12,C7,项目基本情况!C$13:I$13))</f>
        <v/>
      </c>
      <c r="F7" s="64">
        <f>SUMIF(项目基本情况!C$12:I$12,C7,项目基本情况!C$15:I$15)</f>
        <v>42.63</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10.32</v>
      </c>
      <c r="L16" s="93">
        <f>ROUND(M16*10000/SUM(K6:K14),0)</f>
        <v>2907</v>
      </c>
      <c r="M16" s="93">
        <f>SUM(M6:M14)</f>
        <v>3</v>
      </c>
      <c r="N16" s="94">
        <f>ROUND(SUMPRODUCT(M6:M14,N6:N14)/M16,3)</f>
        <v>0.9</v>
      </c>
      <c r="O16" s="93">
        <f>SUM(O6:O14)</f>
        <v>0</v>
      </c>
      <c r="P16" s="93">
        <f>SUM(P6:P14)</f>
        <v>0</v>
      </c>
      <c r="Q16" s="95">
        <f>ROUND(SUMPRODUCT(Q6:Q13,K6:K13)/SUMPRODUCT((Q6:Q13&gt;0)*(K6:K13)),2)</f>
        <v>0.08</v>
      </c>
      <c r="R16" s="1034" t="e">
        <f ca="1">SUM(R6:R13)</f>
        <v>#DIV/0!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2299</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2297</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2301</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2292</v>
      </c>
      <c r="D34" s="2684" t="s">
        <v>2298</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2307</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2294</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2295</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2302</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2294</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2296</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2300</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2283</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7.200000000000003">
      <c r="A4" s="2442"/>
      <c r="B4" s="323" t="s">
        <v>2251</v>
      </c>
      <c r="C4" s="2468" t="s">
        <v>2252</v>
      </c>
      <c r="D4" s="2465"/>
      <c r="E4" s="2469"/>
      <c r="F4" s="1373" t="s">
        <v>2253</v>
      </c>
      <c r="G4" s="2470" t="s">
        <v>2254</v>
      </c>
      <c r="H4" s="799"/>
      <c r="I4" s="799"/>
      <c r="J4" s="799"/>
      <c r="K4" s="799"/>
      <c r="L4" s="799"/>
      <c r="M4" s="799"/>
      <c r="N4" s="799"/>
      <c r="O4" s="799"/>
      <c r="P4" s="799"/>
      <c r="Q4" s="799"/>
      <c r="R4" s="799"/>
    </row>
    <row r="5" spans="1:29" ht="37.200000000000003">
      <c r="A5" s="2442"/>
      <c r="B5" s="323" t="s">
        <v>2255</v>
      </c>
      <c r="C5" s="2468" t="s">
        <v>2256</v>
      </c>
      <c r="D5" s="2465"/>
      <c r="E5" s="2469"/>
      <c r="F5" s="323" t="s">
        <v>2257</v>
      </c>
      <c r="G5" s="2470" t="s">
        <v>2258</v>
      </c>
      <c r="H5" s="799"/>
      <c r="I5" s="799"/>
      <c r="J5" s="799"/>
      <c r="K5" s="799"/>
      <c r="L5" s="799"/>
      <c r="M5" s="799"/>
      <c r="N5" s="799"/>
      <c r="O5" s="799"/>
      <c r="P5" s="799"/>
      <c r="Q5" s="799"/>
      <c r="R5" s="799"/>
    </row>
    <row r="6" spans="1:29" ht="48">
      <c r="A6" s="2442"/>
      <c r="B6" s="323" t="s">
        <v>2259</v>
      </c>
      <c r="C6" s="2470" t="s">
        <v>2254</v>
      </c>
      <c r="D6" s="2465"/>
      <c r="E6" s="2469"/>
      <c r="F6" s="323" t="s">
        <v>2260</v>
      </c>
      <c r="G6" s="2470" t="s">
        <v>2261</v>
      </c>
      <c r="H6" s="799"/>
      <c r="I6" s="799"/>
      <c r="J6" s="799"/>
      <c r="K6" s="799"/>
      <c r="L6" s="799"/>
      <c r="M6" s="799"/>
      <c r="N6" s="799"/>
      <c r="O6" s="799"/>
      <c r="P6" s="799"/>
      <c r="Q6" s="799"/>
      <c r="R6" s="799"/>
    </row>
    <row r="7" spans="1:29" ht="36.6"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ht="24">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4.4"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2284</v>
      </c>
      <c r="B13" s="2484"/>
      <c r="C13" s="2484"/>
      <c r="D13" s="2482"/>
      <c r="E13" s="2484"/>
      <c r="F13" s="2484"/>
      <c r="G13" s="2484"/>
    </row>
    <row r="14" spans="1:29" ht="14.4" thickBot="1">
      <c r="A14" s="2494"/>
      <c r="B14" s="2494"/>
      <c r="C14" s="2495" t="s">
        <v>2267</v>
      </c>
      <c r="D14" s="2465"/>
      <c r="E14" s="2496"/>
      <c r="F14" s="2496"/>
      <c r="G14" s="2460" t="s">
        <v>2268</v>
      </c>
    </row>
    <row r="15" spans="1:29" ht="52.8">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9.6">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9.6">
      <c r="A17" s="2446"/>
      <c r="B17" s="2500" t="s">
        <v>2255</v>
      </c>
      <c r="C17" s="2501" t="str">
        <f>C5</f>
        <v>估价对象位于XX商圈，周边办公楼项目较多，入驻率高，办公集聚程度较好</v>
      </c>
      <c r="D17" s="2471"/>
      <c r="E17" s="2447"/>
      <c r="F17" s="2502" t="s">
        <v>2272</v>
      </c>
      <c r="G17" s="2504"/>
    </row>
    <row r="18" spans="1:18" ht="52.8">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6.4">
      <c r="A19" s="2446"/>
      <c r="B19" s="2502" t="s">
        <v>2273</v>
      </c>
      <c r="C19" s="2504"/>
      <c r="D19" s="2465"/>
      <c r="E19" s="2447"/>
      <c r="F19" s="323" t="s">
        <v>2257</v>
      </c>
      <c r="G19" s="2503" t="str">
        <f>G5</f>
        <v>估价对象所在区域公共配套设施齐备情况</v>
      </c>
    </row>
    <row r="20" spans="1:18" ht="26.4">
      <c r="A20" s="2446"/>
      <c r="B20" s="2502" t="s">
        <v>2274</v>
      </c>
      <c r="C20" s="2501" t="str">
        <f>C9</f>
        <v>区域自然环境：；人文环境；综合评价环境状况一般</v>
      </c>
      <c r="D20" s="2471"/>
      <c r="E20" s="2447"/>
      <c r="F20" s="323" t="s">
        <v>2260</v>
      </c>
      <c r="G20" s="2503" t="str">
        <f>G6</f>
        <v>估价对象所在区域基础设施水平</v>
      </c>
    </row>
    <row r="21" spans="1:18" ht="26.4">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4.4"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4.4"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2310.5099999999975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45882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1253</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3353</v>
      </c>
      <c r="D10" s="2512" t="s">
        <v>3354</v>
      </c>
      <c r="E10" s="3441"/>
      <c r="F10" s="3445" t="s">
        <v>3355</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典型户型修正!B22</f>
        <v>2310.5099999999975</v>
      </c>
      <c r="C14" s="2518"/>
      <c r="D14" s="2518">
        <f ca="1">典型户型修正!B20</f>
        <v>1253</v>
      </c>
      <c r="E14" s="2518">
        <f ca="1">ROUND(D14*10000/B14,0)</f>
        <v>5423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8" sqref="L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3331</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4" t="s">
        <v>1265</v>
      </c>
      <c r="B4" s="1755" t="s">
        <v>1266</v>
      </c>
      <c r="C4" s="1756" t="s">
        <v>4392</v>
      </c>
      <c r="D4" s="1756" t="s">
        <v>4382</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86" t="s">
        <v>1268</v>
      </c>
      <c r="B5" s="3573">
        <v>25</v>
      </c>
      <c r="C5" s="3589">
        <v>5</v>
      </c>
      <c r="D5" s="3609">
        <f>10-C5</f>
        <v>5</v>
      </c>
      <c r="E5" s="131" t="s">
        <v>1269</v>
      </c>
      <c r="F5" s="1757"/>
      <c r="G5" s="1757"/>
      <c r="H5" s="1757"/>
      <c r="I5" s="1373"/>
    </row>
    <row r="6" spans="1:12" ht="13.2">
      <c r="A6" s="3586"/>
      <c r="B6" s="3573"/>
      <c r="C6" s="3590"/>
      <c r="D6" s="3609"/>
      <c r="E6" s="131" t="s">
        <v>1270</v>
      </c>
      <c r="F6" s="1757"/>
      <c r="G6" s="1757"/>
      <c r="H6" s="1757"/>
      <c r="I6" s="1373"/>
    </row>
    <row r="7" spans="1:12" ht="13.2">
      <c r="A7" s="3586"/>
      <c r="B7" s="3573"/>
      <c r="C7" s="3591"/>
      <c r="D7" s="3609"/>
      <c r="E7" s="131" t="s">
        <v>1271</v>
      </c>
      <c r="F7" s="1757"/>
      <c r="G7" s="1757"/>
      <c r="H7" s="1757"/>
      <c r="I7" s="1373"/>
    </row>
    <row r="8" spans="1:12" ht="13.2">
      <c r="A8" s="3586" t="s">
        <v>1272</v>
      </c>
      <c r="B8" s="3573">
        <v>15</v>
      </c>
      <c r="C8" s="3589"/>
      <c r="D8" s="3609"/>
      <c r="E8" s="131" t="s">
        <v>1273</v>
      </c>
      <c r="F8" s="1757"/>
      <c r="G8" s="1757"/>
      <c r="H8" s="1757"/>
      <c r="I8" s="1373"/>
    </row>
    <row r="9" spans="1:12" ht="13.2">
      <c r="A9" s="3586"/>
      <c r="B9" s="3573"/>
      <c r="C9" s="3591"/>
      <c r="D9" s="3609"/>
      <c r="E9" s="131" t="s">
        <v>1274</v>
      </c>
      <c r="F9" s="1757"/>
      <c r="G9" s="1757"/>
      <c r="H9" s="1757"/>
      <c r="I9" s="1373"/>
    </row>
    <row r="10" spans="1:12" ht="13.2">
      <c r="A10" s="3586" t="s">
        <v>1275</v>
      </c>
      <c r="B10" s="3573">
        <v>15</v>
      </c>
      <c r="C10" s="3589"/>
      <c r="D10" s="3609"/>
      <c r="E10" s="131" t="s">
        <v>1276</v>
      </c>
      <c r="F10" s="1757"/>
      <c r="G10" s="1757"/>
      <c r="H10" s="1757"/>
      <c r="I10" s="1373"/>
    </row>
    <row r="11" spans="1:12" ht="13.2">
      <c r="A11" s="3586"/>
      <c r="B11" s="3573"/>
      <c r="C11" s="3591"/>
      <c r="D11" s="3609"/>
      <c r="E11" s="131" t="s">
        <v>1277</v>
      </c>
      <c r="F11" s="1757"/>
      <c r="G11" s="1757"/>
      <c r="H11" s="1757"/>
      <c r="I11" s="1373"/>
    </row>
    <row r="12" spans="1:12" ht="13.2">
      <c r="A12" s="3586" t="s">
        <v>1278</v>
      </c>
      <c r="B12" s="3573">
        <v>15</v>
      </c>
      <c r="C12" s="3589"/>
      <c r="D12" s="3609"/>
      <c r="E12" s="131" t="s">
        <v>1279</v>
      </c>
      <c r="F12" s="1757"/>
      <c r="G12" s="1757"/>
      <c r="H12" s="1757"/>
      <c r="I12" s="1373"/>
    </row>
    <row r="13" spans="1:12" ht="13.2">
      <c r="A13" s="3586"/>
      <c r="B13" s="3573"/>
      <c r="C13" s="3591"/>
      <c r="D13" s="3609"/>
      <c r="E13" s="131" t="s">
        <v>1280</v>
      </c>
      <c r="F13" s="1757"/>
      <c r="G13" s="1757"/>
      <c r="H13" s="1757"/>
      <c r="I13" s="1373"/>
    </row>
    <row r="14" spans="1:12" ht="13.2">
      <c r="A14" s="3586" t="s">
        <v>1281</v>
      </c>
      <c r="B14" s="3573">
        <v>30</v>
      </c>
      <c r="C14" s="3589"/>
      <c r="D14" s="3609"/>
      <c r="E14" s="131" t="s">
        <v>1282</v>
      </c>
      <c r="F14" s="1757"/>
      <c r="G14" s="1757"/>
      <c r="H14" s="1757"/>
      <c r="I14" s="1373"/>
    </row>
    <row r="15" spans="1:12" ht="13.2">
      <c r="A15" s="3586"/>
      <c r="B15" s="3573"/>
      <c r="C15" s="3590"/>
      <c r="D15" s="3609"/>
      <c r="E15" s="131" t="s">
        <v>1283</v>
      </c>
      <c r="F15" s="1757"/>
      <c r="G15" s="1757"/>
      <c r="H15" s="1757"/>
      <c r="I15" s="1373"/>
    </row>
    <row r="16" spans="1:12" ht="13.2">
      <c r="A16" s="3586"/>
      <c r="B16" s="3573"/>
      <c r="C16" s="3591"/>
      <c r="D16" s="3609"/>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596" t="s">
        <v>2128</v>
      </c>
      <c r="F18" s="3597"/>
      <c r="G18" s="3597"/>
      <c r="H18" s="3597"/>
      <c r="I18" s="3597"/>
      <c r="K18" s="302" t="s">
        <v>1289</v>
      </c>
      <c r="L18" s="302">
        <f>IF(C1="",'数据-汇总表'!E3,SUMIF(项目类型,C1,'数据-汇总表'!E17:E26)+SUMIF(项目类型,C1,'数据-汇总表'!I17:I26))</f>
        <v>10.32</v>
      </c>
      <c r="M18" s="302">
        <f>IF(C1="",'数据-汇总表'!E3,SUMIF(项目类型,C1,'数据-汇总表'!E17:E26))</f>
        <v>10.32</v>
      </c>
    </row>
    <row r="19" spans="1:36" ht="14.4">
      <c r="A19" s="1761" t="s">
        <v>1290</v>
      </c>
      <c r="B19" s="1762" t="s">
        <v>1291</v>
      </c>
      <c r="C19" s="134">
        <f ca="1">SUMIF(INDIRECT("'"&amp;C4&amp;"'"&amp;"!A:A"),结果表!B19,INDIRECT("'"&amp;C4&amp;"'"&amp;"!B:B"))</f>
        <v>5.5431999999999997</v>
      </c>
      <c r="D19" s="135">
        <f ca="1">SUMIF(INDIRECT("'"&amp;D4&amp;"'"&amp;"!A:A"),结果表!B19,INDIRECT("'"&amp;D4&amp;"'"&amp;"!B:B"))</f>
        <v>5.7306999999999997</v>
      </c>
      <c r="E19" s="1761" t="s">
        <v>1292</v>
      </c>
      <c r="F19" s="1762" t="s">
        <v>1291</v>
      </c>
      <c r="G19" s="136">
        <f ca="1">ROUND(C19*$C$18+D19*$D$18,0)</f>
        <v>6</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f ca="1">SUMIF(INDIRECT("'"&amp;C4&amp;"'"&amp;"!A:A"),结果表!B20,INDIRECT("'"&amp;C4&amp;"'"&amp;"!B:B"))</f>
        <v>5371</v>
      </c>
      <c r="D20" s="138">
        <f ca="1">SUMIF(INDIRECT("'"&amp;D4&amp;"'"&amp;"!A:A"),结果表!B20,INDIRECT("'"&amp;D4&amp;"'"&amp;"!B:B"))</f>
        <v>5553</v>
      </c>
      <c r="E20" s="1764"/>
      <c r="F20" s="1026" t="s">
        <v>1295</v>
      </c>
      <c r="G20" s="139">
        <f ca="1">ROUND(C20*$C$18+D20*$D$18,0)</f>
        <v>5462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3.3825227305527505E-2</v>
      </c>
      <c r="E22" s="129"/>
      <c r="F22" s="129"/>
      <c r="G22" s="129"/>
      <c r="H22" s="129"/>
      <c r="I22" s="129"/>
    </row>
    <row r="23" spans="1:36" ht="13.8" thickBot="1">
      <c r="A23" s="1747"/>
      <c r="B23" s="1747"/>
      <c r="C23" s="1747"/>
      <c r="D23" s="1747"/>
      <c r="E23" s="129"/>
      <c r="F23" s="129"/>
      <c r="G23" s="129"/>
      <c r="H23" s="129"/>
      <c r="I23" s="129"/>
    </row>
    <row r="24" spans="1:36" ht="14.4">
      <c r="A24" s="3580" t="s">
        <v>1299</v>
      </c>
      <c r="B24" s="1762" t="s">
        <v>1291</v>
      </c>
      <c r="C24" s="136">
        <f>IF(B30=0,0,D30)</f>
        <v>0</v>
      </c>
      <c r="D24" s="1769"/>
      <c r="E24" s="129"/>
      <c r="F24" s="129"/>
      <c r="G24" s="129"/>
      <c r="H24" s="129"/>
      <c r="I24" s="129"/>
    </row>
    <row r="25" spans="1:36" ht="14.4">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5462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t="e">
        <f ca="1">ROUND(H101*F45,0)</f>
        <v>#REF!</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45882</v>
      </c>
      <c r="N47" s="3657"/>
      <c r="O47" s="3657"/>
    </row>
    <row r="48" spans="1:15" ht="26.4">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6" t="s">
        <v>1340</v>
      </c>
      <c r="L48" s="3636"/>
      <c r="M48" s="3658" t="e">
        <f ca="1">H101</f>
        <v>#REF!</v>
      </c>
      <c r="N48" s="3658"/>
      <c r="O48" s="3658"/>
    </row>
    <row r="49" spans="1:35" ht="25.5" customHeight="1">
      <c r="A49" s="2333" t="s">
        <v>1341</v>
      </c>
      <c r="B49" s="3572" t="s">
        <v>1342</v>
      </c>
      <c r="C49" s="3572"/>
      <c r="D49" s="1590">
        <v>0</v>
      </c>
      <c r="E49" s="324" t="s">
        <v>1343</v>
      </c>
      <c r="F49" s="2424" t="s">
        <v>28</v>
      </c>
      <c r="G49" s="3642"/>
      <c r="H49" s="2310" t="s">
        <v>2131</v>
      </c>
      <c r="I49" s="2311"/>
      <c r="J49" s="2523">
        <v>4</v>
      </c>
      <c r="K49" s="3636" t="str">
        <f>IF(项目基本情况!E8="房地产抵押价值","房地产抵押价值","抵押担保权已注销时的房地产抵押价值")</f>
        <v>抵押担保权已注销时的房地产抵押价值</v>
      </c>
      <c r="L49" s="3636"/>
      <c r="M49" s="3658" t="str">
        <f>IF(项目基本情况!E8="房地产抵押价值",H107,H109)</f>
        <v>——</v>
      </c>
      <c r="N49" s="3658"/>
      <c r="O49" s="3658"/>
    </row>
    <row r="50" spans="1:35" ht="25.5" customHeight="1">
      <c r="A50" s="2551"/>
      <c r="B50" s="3572" t="s">
        <v>1344</v>
      </c>
      <c r="C50" s="3572"/>
      <c r="D50" s="2552"/>
      <c r="E50" s="332"/>
      <c r="F50" s="2424"/>
      <c r="G50" s="3643"/>
      <c r="H50" s="2312" t="s">
        <v>2132</v>
      </c>
      <c r="I50" s="2311"/>
      <c r="J50" s="3655" t="s">
        <v>1345</v>
      </c>
      <c r="K50" s="3655"/>
      <c r="L50" s="3655"/>
      <c r="M50" s="3655"/>
      <c r="N50" s="3655"/>
      <c r="O50" s="3655"/>
    </row>
    <row r="51" spans="1:35" ht="20.399999999999999" customHeight="1">
      <c r="A51" s="2553"/>
      <c r="B51" s="3572" t="s">
        <v>1346</v>
      </c>
      <c r="C51" s="3572"/>
      <c r="D51" s="1087"/>
      <c r="E51" s="327"/>
      <c r="F51" s="2424"/>
      <c r="G51" s="3644"/>
      <c r="H51" s="2312" t="s">
        <v>2133</v>
      </c>
      <c r="I51" s="2311"/>
      <c r="J51" s="2524" t="s">
        <v>1347</v>
      </c>
      <c r="K51" s="3636" t="s">
        <v>1348</v>
      </c>
      <c r="L51" s="3636"/>
      <c r="M51" s="2524" t="s">
        <v>1349</v>
      </c>
      <c r="N51" s="2524" t="s">
        <v>1350</v>
      </c>
      <c r="O51" s="2524" t="s">
        <v>1351</v>
      </c>
    </row>
    <row r="52" spans="1:35" ht="24" customHeight="1">
      <c r="A52" s="2335" t="s">
        <v>1352</v>
      </c>
      <c r="B52" s="3572" t="s">
        <v>1353</v>
      </c>
      <c r="C52" s="3572"/>
      <c r="D52" s="1087" t="e">
        <f ca="1">ROUND(D45*'数据-取费表'!B41/(1+'数据-取费表'!C42),0)</f>
        <v>#REF!</v>
      </c>
      <c r="E52" s="2334" t="s">
        <v>1354</v>
      </c>
      <c r="F52" s="2554">
        <f>'数据-取费表'!B41</f>
        <v>5.6000000000000001E-2</v>
      </c>
      <c r="G52" s="2555"/>
      <c r="H52" s="2544"/>
      <c r="I52" s="1807"/>
      <c r="J52" s="2523">
        <v>1</v>
      </c>
      <c r="K52" s="3637" t="s">
        <v>1355</v>
      </c>
      <c r="L52" s="3637"/>
      <c r="M52" s="2525" t="b">
        <f>D48</f>
        <v>0</v>
      </c>
      <c r="N52" s="2523" t="str">
        <f>E48</f>
        <v>销售额×税（费）率</v>
      </c>
      <c r="O52" s="2526">
        <f>F48</f>
        <v>5.6000000000000001E-2</v>
      </c>
    </row>
    <row r="53" spans="1:35" ht="12" customHeight="1">
      <c r="A53" s="2335" t="s">
        <v>1356</v>
      </c>
      <c r="B53" s="3598" t="s">
        <v>2288</v>
      </c>
      <c r="C53" s="3599"/>
      <c r="D53" s="1087" t="e">
        <f ca="1">ROUND(D45*'数据-取费表'!B41/(1+'数据-取费表'!C42),0)</f>
        <v>#REF!</v>
      </c>
      <c r="E53" s="2334" t="s">
        <v>1354</v>
      </c>
      <c r="F53" s="2554">
        <f>'数据-取费表'!B41</f>
        <v>5.6000000000000001E-2</v>
      </c>
      <c r="G53" s="2555"/>
      <c r="H53" s="2544"/>
      <c r="I53" s="1807"/>
      <c r="J53" s="2523">
        <v>2</v>
      </c>
      <c r="K53" s="3637" t="s">
        <v>1357</v>
      </c>
      <c r="L53" s="3637"/>
      <c r="M53" s="2525" t="e">
        <f t="shared" ref="M53:O54" ca="1" si="0">D55</f>
        <v>#REF!</v>
      </c>
      <c r="N53" s="2523" t="str">
        <f t="shared" si="0"/>
        <v>销售额×税（费）率</v>
      </c>
      <c r="O53" s="2526" t="str">
        <f t="shared" si="0"/>
        <v>免征</v>
      </c>
    </row>
    <row r="54" spans="1:35" ht="12" customHeight="1">
      <c r="A54" s="2335" t="s">
        <v>1358</v>
      </c>
      <c r="B54" s="3598" t="s">
        <v>2289</v>
      </c>
      <c r="C54" s="3599"/>
      <c r="D54" s="1087" t="e">
        <f ca="1">C68</f>
        <v>#REF!</v>
      </c>
      <c r="E54" s="327" t="s">
        <v>1359</v>
      </c>
      <c r="F54" s="2554">
        <f>'数据-取费表'!B41</f>
        <v>5.6000000000000001E-2</v>
      </c>
      <c r="G54" s="2555"/>
      <c r="H54" s="2556"/>
      <c r="I54" s="1807"/>
      <c r="J54" s="2523">
        <v>3</v>
      </c>
      <c r="K54" s="3637" t="s">
        <v>1360</v>
      </c>
      <c r="L54" s="3637"/>
      <c r="M54" s="2525" t="e">
        <f t="shared" ca="1" si="0"/>
        <v>#REF!</v>
      </c>
      <c r="N54" s="2523" t="str">
        <f t="shared" si="0"/>
        <v>增值额×税（费）率</v>
      </c>
      <c r="O54" s="2527" t="str">
        <f t="shared" si="0"/>
        <v>免征</v>
      </c>
    </row>
    <row r="55" spans="1:35" ht="24" customHeight="1">
      <c r="A55" s="3587" t="s">
        <v>1361</v>
      </c>
      <c r="B55" s="3588"/>
      <c r="C55" s="3588"/>
      <c r="D55" s="2324" t="e">
        <f ca="1">IF(H55="个人住宅",0,ROUND(D45*I55,0))</f>
        <v>#REF!</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t="e">
        <f ca="1">D59</f>
        <v>#REF!</v>
      </c>
      <c r="N55" s="2040" t="str">
        <f>E59</f>
        <v>差额计税</v>
      </c>
      <c r="O55" s="2529">
        <f>F59</f>
        <v>0.01</v>
      </c>
    </row>
    <row r="56" spans="1:35" ht="25.2">
      <c r="A56" s="3587" t="s">
        <v>1363</v>
      </c>
      <c r="B56" s="3588"/>
      <c r="C56" s="3588"/>
      <c r="D56" s="2324" t="e">
        <f ca="1">IF(H56="个人住宅",D57,D58)</f>
        <v>#REF!</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3.2">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0</v>
      </c>
      <c r="O57" s="2533"/>
      <c r="P57" s="2690" t="e">
        <f ca="1">N57/M49</f>
        <v>#VALUE!</v>
      </c>
    </row>
    <row r="58" spans="1:35" ht="25.2">
      <c r="A58" s="2335" t="s">
        <v>1352</v>
      </c>
      <c r="B58" s="3598" t="s">
        <v>1369</v>
      </c>
      <c r="C58" s="3572"/>
      <c r="D58" s="2324" t="e">
        <f ca="1">IF(H58="转让取得",C81,C97)</f>
        <v>#REF!</v>
      </c>
      <c r="E58" s="2334" t="s">
        <v>1364</v>
      </c>
      <c r="F58" s="302" t="s">
        <v>28</v>
      </c>
      <c r="G58" s="2555"/>
      <c r="H58" s="2558"/>
      <c r="I58" s="1808"/>
      <c r="J58" s="3637"/>
      <c r="K58" s="3637"/>
      <c r="L58" s="2530" t="s">
        <v>1370</v>
      </c>
      <c r="M58" s="2534"/>
      <c r="N58" s="2535" t="str">
        <f ca="1">NUMBERSTRING(INT(N57*10000),2)&amp;"元整"</f>
        <v>零元整</v>
      </c>
      <c r="O58" s="2536"/>
    </row>
    <row r="59" spans="1:35" ht="24.6" thickBot="1">
      <c r="A59" s="3640" t="s">
        <v>1371</v>
      </c>
      <c r="B59" s="3641"/>
      <c r="C59" s="364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2134</v>
      </c>
      <c r="J59" s="3638">
        <f>J57+1</f>
        <v>6</v>
      </c>
      <c r="K59" s="3637" t="s">
        <v>1372</v>
      </c>
      <c r="L59" s="2523" t="s">
        <v>1368</v>
      </c>
      <c r="M59" s="2537"/>
      <c r="N59" s="2538" t="e">
        <f ca="1">M49-N57</f>
        <v>#VALUE!</v>
      </c>
      <c r="O59" s="2539"/>
    </row>
    <row r="60" spans="1:35" ht="12" customHeight="1">
      <c r="A60" s="1809"/>
      <c r="B60" s="1747"/>
      <c r="C60" s="1747"/>
      <c r="D60" s="1747"/>
      <c r="E60" s="1578"/>
      <c r="F60" s="1808"/>
      <c r="G60" s="1808"/>
      <c r="H60" s="1810"/>
      <c r="I60" s="129"/>
      <c r="J60" s="3639"/>
      <c r="K60" s="3637"/>
      <c r="L60" s="2530" t="s">
        <v>1370</v>
      </c>
      <c r="M60" s="2534"/>
      <c r="N60" s="2535" t="e">
        <f ca="1">NUMBERSTRING(INT(N59*10000),2)&amp;"元整"</f>
        <v>#VALUE!</v>
      </c>
      <c r="O60" s="2536"/>
    </row>
    <row r="61" spans="1:35" ht="13.8" thickBot="1">
      <c r="A61" s="3585" t="s">
        <v>1373</v>
      </c>
      <c r="B61" s="3585"/>
      <c r="C61" s="3585"/>
      <c r="D61" s="3585"/>
      <c r="E61" s="3585"/>
      <c r="F61" s="1808"/>
      <c r="G61" s="1808"/>
      <c r="H61" s="1810"/>
      <c r="I61" s="129"/>
      <c r="J61" s="2523">
        <f>J59+1</f>
        <v>7</v>
      </c>
      <c r="K61" s="3637" t="s">
        <v>1374</v>
      </c>
      <c r="L61" s="3637"/>
      <c r="M61" s="2540"/>
      <c r="N61" s="2541" t="e">
        <f ca="1">ROUND(N59*10000/'数据-汇总表'!E3,0)</f>
        <v>#VALUE!</v>
      </c>
      <c r="O61" s="2542"/>
    </row>
    <row r="62" spans="1:35" ht="13.2">
      <c r="A62" s="3603" t="s">
        <v>1375</v>
      </c>
      <c r="B62" s="360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4" t="s">
        <v>2126</v>
      </c>
      <c r="H90" s="3665"/>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 (元)</v>
      </c>
      <c r="D101" s="2586" t="str">
        <f>D4</f>
        <v>比较法-仓储</v>
      </c>
      <c r="E101" s="3659" t="s">
        <v>1431</v>
      </c>
      <c r="F101" s="3616"/>
      <c r="G101" s="1827" t="s">
        <v>1432</v>
      </c>
      <c r="H101" s="2595" t="e">
        <f ca="1">H118</f>
        <v>#REF!</v>
      </c>
      <c r="I101" s="129"/>
    </row>
    <row r="102" spans="1:35" ht="18.75" customHeight="1">
      <c r="A102" s="3618" t="s">
        <v>1433</v>
      </c>
      <c r="B102" s="2584" t="s">
        <v>1432</v>
      </c>
      <c r="C102" s="2585">
        <f ca="1">IF(D32="楼面单价",ROUND(C19,0),C19)</f>
        <v>5.5431999999999997</v>
      </c>
      <c r="D102" s="2586">
        <f ca="1">IF(D32="楼面单价",ROUND(D19,0),D19)</f>
        <v>5.7306999999999997</v>
      </c>
      <c r="E102" s="3659"/>
      <c r="F102" s="3616"/>
      <c r="G102" s="1827" t="s">
        <v>1434</v>
      </c>
      <c r="H102" s="2555" t="e">
        <f ca="1">I118</f>
        <v>#REF!</v>
      </c>
      <c r="I102" s="129"/>
    </row>
    <row r="103" spans="1:35" ht="42.75" customHeight="1">
      <c r="A103" s="3618"/>
      <c r="B103" s="2584" t="s">
        <v>1434</v>
      </c>
      <c r="C103" s="2587">
        <f ca="1">C20</f>
        <v>5371</v>
      </c>
      <c r="D103" s="2588">
        <f ca="1">D20</f>
        <v>5553</v>
      </c>
      <c r="E103" s="3653" t="s">
        <v>1435</v>
      </c>
      <c r="F103" s="3654"/>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t="e">
        <f ca="1">IF(E107="——","——",H101-H103)</f>
        <v>#REF!</v>
      </c>
      <c r="I107" s="129"/>
    </row>
    <row r="108" spans="1:35" ht="18.75" customHeight="1">
      <c r="A108" s="129"/>
      <c r="B108" s="129"/>
      <c r="C108" s="129"/>
      <c r="D108" s="129"/>
      <c r="E108" s="3615"/>
      <c r="F108" s="3616"/>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10.32</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626" t="e">
        <f ca="1">NUMBERSTRING(INT(D118*10000),2)&amp;"元整"</f>
        <v>#REF!</v>
      </c>
      <c r="E119" s="3628"/>
      <c r="F119" s="3626" t="e">
        <f ca="1">NUMBERSTRING(INT(F118*10000),2)&amp;"元整"</f>
        <v>#REF!</v>
      </c>
      <c r="G119" s="3628"/>
      <c r="H119" s="3626" t="e">
        <f ca="1">NUMBERSTRING(INT(H118*10000),2)&amp;"元整"</f>
        <v>#REF!</v>
      </c>
      <c r="I119" s="3628"/>
    </row>
    <row r="120" spans="1:27" ht="18.75" customHeight="1">
      <c r="A120" s="3650" t="str">
        <f>IF(项目基本情况!B9="房地产市场价值","",MID(E103,3,LEN(E103)-2))</f>
        <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
      </c>
      <c r="B122" s="3617"/>
      <c r="C122" s="3617"/>
      <c r="D122" s="3650" t="e">
        <f ca="1">H107</f>
        <v>#REF!</v>
      </c>
      <c r="E122" s="3651"/>
      <c r="F122" s="3651"/>
      <c r="G122" s="3651"/>
      <c r="H122" s="3651"/>
      <c r="I122" s="3652"/>
      <c r="AA122" s="725"/>
    </row>
    <row r="123" spans="1:27" ht="18.75" customHeight="1">
      <c r="A123" s="3586" t="s">
        <v>1452</v>
      </c>
      <c r="B123" s="3586"/>
      <c r="C123" s="3586"/>
      <c r="D123" s="3626" t="e">
        <f ca="1">NUMBERSTRING(INT(D122*10000),2)&amp;"元整"</f>
        <v>#REF!</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10.32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10.32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10.32</v>
      </c>
      <c r="E37" s="249">
        <f>'数据-取费表'!B35</f>
        <v>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8.9999999999999998E-4</v>
      </c>
      <c r="D44" s="238"/>
      <c r="E44" s="238"/>
      <c r="F44" s="239"/>
      <c r="G44" s="3668"/>
    </row>
    <row r="45" spans="1:7" s="214" customFormat="1" ht="13.5" customHeight="1">
      <c r="A45" s="255" t="s">
        <v>1547</v>
      </c>
      <c r="B45" s="244" t="s">
        <v>1513</v>
      </c>
      <c r="C45" s="245">
        <f ca="1">C46</f>
        <v>0</v>
      </c>
      <c r="D45" s="235">
        <f ca="1">C47</f>
        <v>2.3999999999999998E-3</v>
      </c>
      <c r="E45" s="236" t="s">
        <v>1539</v>
      </c>
      <c r="F45" s="246">
        <f ca="1">F27</f>
        <v>0.08</v>
      </c>
      <c r="G45" s="247" t="s">
        <v>1548</v>
      </c>
    </row>
    <row r="46" spans="1:7" s="214" customFormat="1" ht="13.5" customHeight="1">
      <c r="A46" s="780" t="s">
        <v>346</v>
      </c>
      <c r="B46" s="248" t="s">
        <v>1549</v>
      </c>
      <c r="C46" s="249">
        <f ca="1">ROUND((C33+C39)*F27,0)</f>
        <v>0</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3</v>
      </c>
      <c r="D51" s="232"/>
      <c r="E51" s="232"/>
      <c r="F51" s="264"/>
      <c r="G51" s="234" t="s">
        <v>1560</v>
      </c>
    </row>
    <row r="52" spans="1:7" s="208" customFormat="1" ht="16.8" thickBot="1">
      <c r="A52" s="265" t="s">
        <v>1561</v>
      </c>
      <c r="B52" s="266"/>
      <c r="C52" s="267">
        <f ca="1">C31+C51</f>
        <v>3</v>
      </c>
      <c r="D52" s="266"/>
      <c r="E52" s="266"/>
      <c r="F52" s="266"/>
      <c r="G52" s="268"/>
    </row>
    <row r="55" spans="1:7" ht="15">
      <c r="B55" s="270" t="s">
        <v>1562</v>
      </c>
      <c r="C55" s="271"/>
    </row>
    <row r="56" spans="1:7">
      <c r="B56" s="273" t="s">
        <v>802</v>
      </c>
      <c r="C56" s="275">
        <f ca="1">1-C57</f>
        <v>0</v>
      </c>
    </row>
    <row r="57" spans="1:7">
      <c r="B57" s="273" t="s">
        <v>803</v>
      </c>
      <c r="C57" s="274">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72" sqref="D7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v>
      </c>
      <c r="C2" s="1999" t="s">
        <v>1935</v>
      </c>
      <c r="D2" s="2000" t="s">
        <v>1936</v>
      </c>
      <c r="E2" s="3422" t="s">
        <v>3403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6308</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3410</v>
      </c>
      <c r="F3" s="2004" t="s">
        <v>3411</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4862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6"/>
      <c r="B4" s="3677"/>
      <c r="C4" s="3677"/>
      <c r="D4" s="3678"/>
      <c r="E4" s="3678"/>
      <c r="F4" s="3678"/>
      <c r="G4" s="3678"/>
      <c r="H4" s="3678"/>
      <c r="I4" s="3678"/>
      <c r="J4" s="367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3966</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3987</v>
      </c>
      <c r="D5" s="1339">
        <f>ROUND(C6*C17+C20,0)</f>
        <v>3987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3367</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3940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3067</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1.5</v>
      </c>
      <c r="AA7" s="1216"/>
      <c r="AB7" s="1216"/>
      <c r="AC7" s="1217"/>
      <c r="AD7" s="1218"/>
      <c r="AE7" s="1218"/>
      <c r="AF7" s="1218"/>
      <c r="AG7" s="1218"/>
      <c r="AH7" s="1218"/>
      <c r="AI7" s="1218"/>
      <c r="AJ7" s="1219"/>
    </row>
    <row r="8" spans="1:36" ht="26.4">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3" t="s">
        <v>1960</v>
      </c>
      <c r="X8" s="36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5"/>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3940</v>
      </c>
      <c r="N10" s="866">
        <f>SUMPRODUCT((因素修正幅度!B327:B357=I2)*(因素修正幅度!C3:G3=E2)*(因素修正幅度!C327:G357))</f>
        <v>0.15</v>
      </c>
      <c r="O10" s="1119"/>
      <c r="P10" s="1119"/>
      <c r="Q10" s="1119"/>
      <c r="R10" s="1212">
        <v>9</v>
      </c>
      <c r="S10" s="1213"/>
      <c r="T10" s="3361">
        <f t="shared" si="0"/>
        <v>0</v>
      </c>
      <c r="U10" s="1213"/>
      <c r="V10" s="3361">
        <f t="shared" si="1"/>
        <v>0</v>
      </c>
      <c r="W10" s="367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3235</v>
      </c>
      <c r="B12" s="3305" t="s">
        <v>3236</v>
      </c>
      <c r="C12" s="3306">
        <v>1</v>
      </c>
      <c r="D12" s="3307" t="s">
        <v>3237</v>
      </c>
      <c r="E12" s="3308" t="s">
        <v>3238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3239</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3421</v>
      </c>
      <c r="D15" s="2044" t="s">
        <v>3421</v>
      </c>
      <c r="E15" s="2045" t="s">
        <v>3422</v>
      </c>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3245</v>
      </c>
      <c r="E18" s="3329"/>
      <c r="F18" s="3324" t="s">
        <v>3248</v>
      </c>
      <c r="G18" s="3328">
        <f>ROUND(1-(1/(POWER(1+G24,E18))),4)</f>
        <v>0</v>
      </c>
      <c r="H18" s="3324" t="s">
        <v>3250</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0" t="s">
        <v>3251</v>
      </c>
      <c r="B20" s="167" t="s">
        <v>1994</v>
      </c>
      <c r="C20" s="3325">
        <f>ROUND(IF(F21="与级别开发程度一致",0,(G21-E21)/C21),0)</f>
        <v>47</v>
      </c>
      <c r="D20" s="3341" t="s">
        <v>1998</v>
      </c>
      <c r="E20" s="3342"/>
      <c r="F20" s="3686" t="s">
        <v>1995</v>
      </c>
      <c r="G20" s="3687"/>
      <c r="H20" s="3326" t="s">
        <v>3412</v>
      </c>
      <c r="I20" s="3326" t="s">
        <v>3413</v>
      </c>
      <c r="J20" s="3327" t="s">
        <v>3414</v>
      </c>
      <c r="K20" s="2047" t="s">
        <v>3415</v>
      </c>
      <c r="L20" s="2047" t="s">
        <v>3416</v>
      </c>
      <c r="M20" s="2047" t="s">
        <v>3417</v>
      </c>
      <c r="N20" s="2047" t="s">
        <v>3418</v>
      </c>
      <c r="O20" s="2048" t="s">
        <v>3419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1"/>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4381</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45882</v>
      </c>
      <c r="H23" s="3343" t="s">
        <v>3253</v>
      </c>
      <c r="I23" s="3344" t="str">
        <f>IF(H23="季度增幅（自定义）",SUMIF(N25:N28,E2,O25:O28),"")</f>
        <v/>
      </c>
      <c r="J23" s="3446" t="s">
        <v>3252</v>
      </c>
      <c r="K23" s="1125"/>
      <c r="L23" s="2055" t="s">
        <v>2004</v>
      </c>
      <c r="M23" s="1328">
        <f>ROUND(SUMIF(地价!B2:G2,E2,地价!B16:G16),0)</f>
        <v>687</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0.98529999999999995</v>
      </c>
      <c r="D24" s="2060" t="s">
        <v>2007</v>
      </c>
      <c r="E24" s="1335">
        <f>存贷款利率!E28/100</f>
        <v>4.3499999999999997E-2</v>
      </c>
      <c r="F24" s="2060" t="s">
        <v>1999</v>
      </c>
      <c r="G24" s="768">
        <f>SUMIF(M30:Q30,E2,M33:Q33)</f>
        <v>0.05</v>
      </c>
      <c r="H24" s="2060" t="s">
        <v>2008</v>
      </c>
      <c r="I24" s="769">
        <f>SUMIF('数据-取费表'!C6:C15,E2,'数据-取费表'!F6:F15)/COUNTIF('数据-取费表'!C6:C15,E2)</f>
        <v>62.64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3254</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0.97519999999999996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4091</v>
      </c>
      <c r="D33" s="2098"/>
      <c r="E33" s="773">
        <f>ROUND(C33*D33/10000,0)</f>
        <v>0</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1023</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4"/>
      <c r="B37" s="2113" t="s">
        <v>2036</v>
      </c>
      <c r="C37" s="175">
        <f>ROUND(D5*C22*C23*C24*C28*F37,0)</f>
        <v>2046</v>
      </c>
      <c r="D37" s="2098"/>
      <c r="E37" s="171">
        <f>ROUND(C37*D37/10000,0)</f>
        <v>0</v>
      </c>
      <c r="F37" s="171">
        <f>SUMIF(修正!A57:A68,G2,修正!B57:B68)</f>
        <v>0.5</v>
      </c>
      <c r="G37" s="171">
        <f>ROUND(IF(E2="工业",C37*$M$42,C37*$M$41),0)</f>
        <v>512</v>
      </c>
      <c r="H37" s="171">
        <f>D37</f>
        <v>0</v>
      </c>
      <c r="I37" s="171">
        <f>ROUND(G37*H37/10000,0)</f>
        <v>0</v>
      </c>
      <c r="J37" s="3012"/>
      <c r="K37" s="3359" t="s">
        <v>3263</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5"/>
      <c r="B38" s="2041" t="s">
        <v>2037</v>
      </c>
      <c r="C38" s="175">
        <f>ROUND(D5*C22*C23*C24*C28*F38,0)</f>
        <v>818</v>
      </c>
      <c r="D38" s="2098"/>
      <c r="E38" s="171">
        <f t="shared" ref="E38:E42" si="4">ROUND(C38*D38/10000,0)</f>
        <v>0</v>
      </c>
      <c r="F38" s="171">
        <f>SUMIF(修正!A57:A68,G2,修正!C57:C68)</f>
        <v>0.2</v>
      </c>
      <c r="G38" s="171">
        <f>ROUND(IF(E2="工业",C38*$M$42,C38*$M$41),0)</f>
        <v>205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5"/>
      <c r="B39" s="2041" t="s">
        <v>3256</v>
      </c>
      <c r="C39" s="175">
        <f>ROUND(D5*C22*C23*C24*C28*F39,0)</f>
        <v>818</v>
      </c>
      <c r="D39" s="2098"/>
      <c r="E39" s="171">
        <f t="shared" si="4"/>
        <v>0</v>
      </c>
      <c r="F39" s="171">
        <f>SUMIF(修正!A57:A68,G2,修正!D57:D68)</f>
        <v>0.2</v>
      </c>
      <c r="G39" s="171">
        <f>ROUND(IF(E2="工业",C39*$M$42,C39*$M$41),0)</f>
        <v>205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818</v>
      </c>
      <c r="D40" s="2098"/>
      <c r="E40" s="171">
        <f t="shared" si="4"/>
        <v>0</v>
      </c>
      <c r="F40" s="175">
        <f>SUMIF(修正!A57:A68,G2,修正!E57:E68)</f>
        <v>0.2</v>
      </c>
      <c r="G40" s="171">
        <f>ROUND(IF(E2="工业",C40*$M$42,C40*$M$41),0)</f>
        <v>205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796</v>
      </c>
      <c r="D41" s="2098" t="str">
        <f>'数据-基础表'!I13</f>
        <v>10.32</v>
      </c>
      <c r="E41" s="171">
        <f t="shared" si="4"/>
        <v>1</v>
      </c>
      <c r="F41" s="175">
        <f>SUMIF(修正!A57:A68,G2,修正!F57:F68)</f>
        <v>0.2</v>
      </c>
      <c r="G41" s="171">
        <f>ROUND(IF(E2="工业",C41*$M$42,C41*$M$41),0)</f>
        <v>199</v>
      </c>
      <c r="H41" s="171" t="str">
        <f t="shared" si="5"/>
        <v>10.32</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398</v>
      </c>
      <c r="D42" s="2103"/>
      <c r="E42" s="187">
        <f t="shared" si="4"/>
        <v>0</v>
      </c>
      <c r="F42" s="767">
        <f>SUMIF(修正!A57:A68,G2,修正!G57:G68)</f>
        <v>0.1</v>
      </c>
      <c r="G42" s="187">
        <f>ROUND(IF(E2="工业",C42*$M$42,C42*$M$41),0)</f>
        <v>100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2119</v>
      </c>
      <c r="C44" s="342">
        <f>ROUND(POWER(1+E44,H44-G44)*(POWER(1+E44,G44)-1)/(POWER(1+E44,H44)-1),4)</f>
        <v>0.9587</v>
      </c>
      <c r="D44" s="171" t="s">
        <v>1999</v>
      </c>
      <c r="E44" s="2153">
        <f>G24</f>
        <v>0.05</v>
      </c>
      <c r="F44" s="171" t="s">
        <v>2008</v>
      </c>
      <c r="G44" s="183">
        <f>项目基本情况!G15</f>
        <v>42.63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0.97519999999999996</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4391</v>
      </c>
      <c r="D72" s="1065">
        <f t="shared" ref="D72:D80" si="17">SUMIF($J$71:$N$71,C72,J72:N72)</f>
        <v>-1.4999999999999999E-2</v>
      </c>
      <c r="E72" s="744">
        <f>ROUND(SUM(D72:D80),4)</f>
        <v>-2.4799999999999999E-2</v>
      </c>
      <c r="F72" s="1814">
        <f>IF(E2="住宅",SUMIF(L1:L12,G2,N1:N12),"——")</f>
        <v>0.15</v>
      </c>
      <c r="G72" s="3827">
        <v>1.4999999999999999E-2</v>
      </c>
      <c r="H72" s="1066">
        <f t="shared" ref="G72:H80" si="18">IFERROR(ROUNDDOWN($F$72*I72/2,4),"——")</f>
        <v>1.4999999999999999E-2</v>
      </c>
      <c r="I72" s="3367">
        <v>0.2</v>
      </c>
      <c r="J72" s="1064">
        <f t="shared" ref="J72:J80" si="19">K72+$G72</f>
        <v>0.03</v>
      </c>
      <c r="K72" s="1064">
        <f t="shared" ref="K72:K80" si="20">$L72+$G72</f>
        <v>1.4999999999999999E-2</v>
      </c>
      <c r="L72" s="1064">
        <v>0</v>
      </c>
      <c r="M72" s="1064">
        <f t="shared" ref="M72:N80" si="21">L72-$G72</f>
        <v>-1.4999999999999999E-2</v>
      </c>
      <c r="N72" s="1064">
        <f t="shared" si="21"/>
        <v>-0.03</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4391</v>
      </c>
      <c r="D73" s="1065">
        <f t="shared" si="17"/>
        <v>-1.95E-2</v>
      </c>
      <c r="E73" s="747"/>
      <c r="F73" s="1814"/>
      <c r="G73" s="3827">
        <v>1.95E-2</v>
      </c>
      <c r="H73" s="1066">
        <f t="shared" si="18"/>
        <v>1.95E-2</v>
      </c>
      <c r="I73" s="3367">
        <v>0.26</v>
      </c>
      <c r="J73" s="1064">
        <f t="shared" si="19"/>
        <v>3.9E-2</v>
      </c>
      <c r="K73" s="1064">
        <f t="shared" si="20"/>
        <v>1.95E-2</v>
      </c>
      <c r="L73" s="1064">
        <v>0</v>
      </c>
      <c r="M73" s="1064">
        <f t="shared" si="21"/>
        <v>-1.95E-2</v>
      </c>
      <c r="N73" s="1064">
        <f t="shared" si="21"/>
        <v>-3.9E-2</v>
      </c>
      <c r="AA73" s="1120"/>
      <c r="AB73" s="1120"/>
      <c r="AC73" s="1120"/>
      <c r="AD73" s="1120"/>
      <c r="AE73" s="1120"/>
      <c r="AF73" s="1120"/>
      <c r="AG73" s="1120"/>
      <c r="AH73" s="1120"/>
      <c r="AI73" s="1120"/>
      <c r="AJ73" s="1120"/>
      <c r="AK73" s="1120"/>
    </row>
    <row r="74" spans="1:37" s="1997" customFormat="1" ht="48">
      <c r="A74" s="3369" t="s">
        <v>3266</v>
      </c>
      <c r="B74" s="2134">
        <f>估价对象房地状况!C19</f>
        <v>0</v>
      </c>
      <c r="C74" s="2044" t="s">
        <v>4389</v>
      </c>
      <c r="D74" s="1065">
        <f t="shared" si="17"/>
        <v>0</v>
      </c>
      <c r="E74" s="747"/>
      <c r="F74" s="1814"/>
      <c r="G74" s="3827">
        <v>7.4999999999999997E-3</v>
      </c>
      <c r="H74" s="1066">
        <f t="shared" si="18"/>
        <v>7.4999999999999997E-3</v>
      </c>
      <c r="I74" s="3367">
        <v>0.1</v>
      </c>
      <c r="J74" s="1064">
        <f t="shared" si="19"/>
        <v>1.4999999999999999E-2</v>
      </c>
      <c r="K74" s="1064">
        <f t="shared" si="20"/>
        <v>7.4999999999999997E-3</v>
      </c>
      <c r="L74" s="1064">
        <v>0</v>
      </c>
      <c r="M74" s="1064">
        <f t="shared" si="21"/>
        <v>-7.4999999999999997E-3</v>
      </c>
      <c r="N74" s="1064">
        <f t="shared" si="21"/>
        <v>-1.4999999999999999E-2</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4391</v>
      </c>
      <c r="D75" s="1065">
        <f t="shared" si="17"/>
        <v>-3.7000000000000002E-3</v>
      </c>
      <c r="E75" s="747"/>
      <c r="F75" s="1814"/>
      <c r="G75" s="3827">
        <v>3.7000000000000002E-3</v>
      </c>
      <c r="H75" s="1066">
        <f t="shared" si="18"/>
        <v>3.7000000000000002E-3</v>
      </c>
      <c r="I75" s="3367">
        <v>0.05</v>
      </c>
      <c r="J75" s="1064">
        <f t="shared" si="19"/>
        <v>7.4000000000000003E-3</v>
      </c>
      <c r="K75" s="1064">
        <f t="shared" si="20"/>
        <v>3.7000000000000002E-3</v>
      </c>
      <c r="L75" s="1064">
        <v>0</v>
      </c>
      <c r="M75" s="1064">
        <f t="shared" si="21"/>
        <v>-3.7000000000000002E-3</v>
      </c>
      <c r="N75" s="1064">
        <f t="shared" si="21"/>
        <v>-7.4000000000000003E-3</v>
      </c>
      <c r="O75" s="1119"/>
      <c r="P75" s="1119"/>
      <c r="Q75" s="1997"/>
      <c r="Z75" s="1998"/>
      <c r="AA75" s="2053"/>
      <c r="AG75" s="1121"/>
      <c r="AK75" s="2053"/>
    </row>
    <row r="76" spans="1:37" ht="26.4">
      <c r="A76" s="2130" t="s">
        <v>2059</v>
      </c>
      <c r="B76" s="1326" t="str">
        <f>估价对象房地状况!C21</f>
        <v>估价对象所在区域公共配套设施齐备情况</v>
      </c>
      <c r="C76" s="2044" t="s">
        <v>4389</v>
      </c>
      <c r="D76" s="1065">
        <f t="shared" si="17"/>
        <v>0</v>
      </c>
      <c r="E76" s="747"/>
      <c r="F76" s="1814"/>
      <c r="G76" s="3827">
        <v>6.0000000000000001E-3</v>
      </c>
      <c r="H76" s="1066">
        <f t="shared" si="18"/>
        <v>6.0000000000000001E-3</v>
      </c>
      <c r="I76" s="3367">
        <v>0.08</v>
      </c>
      <c r="J76" s="1064">
        <f t="shared" si="19"/>
        <v>1.2E-2</v>
      </c>
      <c r="K76" s="1064">
        <f t="shared" si="20"/>
        <v>6.0000000000000001E-3</v>
      </c>
      <c r="L76" s="1064">
        <v>0</v>
      </c>
      <c r="M76" s="1064">
        <f t="shared" si="21"/>
        <v>-6.0000000000000001E-3</v>
      </c>
      <c r="N76" s="1064">
        <f t="shared" si="21"/>
        <v>-1.2E-2</v>
      </c>
      <c r="O76" s="1119"/>
      <c r="P76" s="1119"/>
      <c r="Z76" s="1998"/>
      <c r="AA76" s="2053"/>
      <c r="AG76" s="1121"/>
      <c r="AK76" s="2053"/>
    </row>
    <row r="77" spans="1:37" ht="26.4">
      <c r="A77" s="2130" t="s">
        <v>2060</v>
      </c>
      <c r="B77" s="1326" t="str">
        <f>估价对象房地状况!C22</f>
        <v>估价对象所在区域基础设施水平</v>
      </c>
      <c r="C77" s="2044" t="s">
        <v>4400</v>
      </c>
      <c r="D77" s="1065">
        <f t="shared" si="17"/>
        <v>1.34E-2</v>
      </c>
      <c r="E77" s="747"/>
      <c r="F77" s="1814"/>
      <c r="G77" s="3827">
        <v>6.7000000000000002E-3</v>
      </c>
      <c r="H77" s="1066">
        <f t="shared" si="18"/>
        <v>6.7000000000000002E-3</v>
      </c>
      <c r="I77" s="3367">
        <v>0.09</v>
      </c>
      <c r="J77" s="1064">
        <f t="shared" si="19"/>
        <v>1.34E-2</v>
      </c>
      <c r="K77" s="1064">
        <f t="shared" si="20"/>
        <v>6.7000000000000002E-3</v>
      </c>
      <c r="L77" s="1064">
        <v>0</v>
      </c>
      <c r="M77" s="1064">
        <f t="shared" si="21"/>
        <v>-6.7000000000000002E-3</v>
      </c>
      <c r="N77" s="1064">
        <f t="shared" si="21"/>
        <v>-1.34E-2</v>
      </c>
      <c r="O77" s="1119"/>
      <c r="P77" s="1119"/>
      <c r="Z77" s="1998"/>
      <c r="AA77" s="2053"/>
      <c r="AG77" s="1121"/>
      <c r="AK77" s="2053"/>
    </row>
    <row r="78" spans="1:37" ht="36">
      <c r="A78" s="2130" t="s">
        <v>2057</v>
      </c>
      <c r="B78" s="2136" t="s">
        <v>2058</v>
      </c>
      <c r="C78" s="2044" t="s">
        <v>4390</v>
      </c>
      <c r="D78" s="1065">
        <f t="shared" si="17"/>
        <v>3.7000000000000002E-3</v>
      </c>
      <c r="E78" s="747"/>
      <c r="F78" s="1814"/>
      <c r="G78" s="3827">
        <v>3.7000000000000002E-3</v>
      </c>
      <c r="H78" s="1066">
        <f t="shared" si="18"/>
        <v>3.7000000000000002E-3</v>
      </c>
      <c r="I78" s="3367">
        <v>0.05</v>
      </c>
      <c r="J78" s="1064">
        <f t="shared" si="19"/>
        <v>7.4000000000000003E-3</v>
      </c>
      <c r="K78" s="1064">
        <f t="shared" si="20"/>
        <v>3.7000000000000002E-3</v>
      </c>
      <c r="L78" s="1064">
        <v>0</v>
      </c>
      <c r="M78" s="1064">
        <f t="shared" si="21"/>
        <v>-3.7000000000000002E-3</v>
      </c>
      <c r="N78" s="1064">
        <f t="shared" si="21"/>
        <v>-7.4000000000000003E-3</v>
      </c>
      <c r="O78" s="1997"/>
      <c r="P78" s="1997"/>
      <c r="Z78" s="1998"/>
      <c r="AA78" s="2053"/>
      <c r="AG78" s="1121"/>
      <c r="AK78" s="2053"/>
    </row>
    <row r="79" spans="1:37" ht="39.6">
      <c r="A79" s="2130" t="s">
        <v>2061</v>
      </c>
      <c r="B79" s="2133" t="str">
        <f>估价对象房地状况!C20</f>
        <v>区域自然环境：；人文环境；综合评价环境状况一般</v>
      </c>
      <c r="C79" s="2044" t="s">
        <v>4389</v>
      </c>
      <c r="D79" s="1065">
        <f t="shared" si="17"/>
        <v>0</v>
      </c>
      <c r="E79" s="747"/>
      <c r="F79" s="1814"/>
      <c r="G79" s="3827">
        <v>8.9999999999999993E-3</v>
      </c>
      <c r="H79" s="1066">
        <f t="shared" si="18"/>
        <v>8.9999999999999993E-3</v>
      </c>
      <c r="I79" s="3367">
        <v>0.12</v>
      </c>
      <c r="J79" s="1064">
        <f t="shared" si="19"/>
        <v>1.7999999999999999E-2</v>
      </c>
      <c r="K79" s="1064">
        <f t="shared" si="20"/>
        <v>8.9999999999999993E-3</v>
      </c>
      <c r="L79" s="1064">
        <v>0</v>
      </c>
      <c r="M79" s="1064">
        <f t="shared" si="21"/>
        <v>-8.9999999999999993E-3</v>
      </c>
      <c r="N79" s="1064">
        <f t="shared" si="21"/>
        <v>-1.7999999999999999E-2</v>
      </c>
      <c r="Z79" s="1998"/>
      <c r="AA79" s="2053"/>
      <c r="AG79" s="1121"/>
      <c r="AK79" s="2053"/>
    </row>
    <row r="80" spans="1:37" ht="36.6" thickBot="1">
      <c r="A80" s="2138" t="s">
        <v>2068</v>
      </c>
      <c r="B80" s="2142"/>
      <c r="C80" s="2044" t="s">
        <v>4391</v>
      </c>
      <c r="D80" s="1065">
        <f t="shared" si="17"/>
        <v>-3.7000000000000002E-3</v>
      </c>
      <c r="E80" s="748"/>
      <c r="F80" s="1814"/>
      <c r="G80" s="3827">
        <v>3.7000000000000002E-3</v>
      </c>
      <c r="H80" s="1066">
        <f t="shared" si="18"/>
        <v>3.7000000000000002E-3</v>
      </c>
      <c r="I80" s="3368">
        <v>0.05</v>
      </c>
      <c r="J80" s="1064">
        <f t="shared" si="19"/>
        <v>7.4000000000000003E-3</v>
      </c>
      <c r="K80" s="1064">
        <f t="shared" si="20"/>
        <v>3.7000000000000002E-3</v>
      </c>
      <c r="L80" s="1064">
        <v>0</v>
      </c>
      <c r="M80" s="1064">
        <f t="shared" si="21"/>
        <v>-3.7000000000000002E-3</v>
      </c>
      <c r="N80" s="1064">
        <f t="shared" si="21"/>
        <v>-7.4000000000000003E-3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2609</v>
      </c>
      <c r="B91" s="3378">
        <f>1+E93</f>
        <v>1</v>
      </c>
      <c r="C91" s="3371"/>
      <c r="D91" s="3372"/>
      <c r="E91" s="1814"/>
      <c r="F91" s="1814"/>
      <c r="G91" s="3373"/>
      <c r="H91" s="3374"/>
      <c r="I91" s="3375"/>
      <c r="J91" s="3376"/>
      <c r="K91" s="3376"/>
      <c r="L91" s="3376"/>
      <c r="M91" s="3376"/>
      <c r="N91" s="3376"/>
    </row>
    <row r="92" spans="1:37" ht="25.2">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3271</v>
      </c>
      <c r="B96" s="3385" t="s">
        <v>3282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3273</v>
      </c>
      <c r="B98" s="3386" t="s">
        <v>3283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2" t="s">
        <v>3291</v>
      </c>
      <c r="B103" s="3682"/>
      <c r="C103" s="3682"/>
      <c r="D103" s="3682"/>
      <c r="E103" s="3682"/>
      <c r="F103" s="3682"/>
      <c r="G103" s="3682"/>
      <c r="H103" s="3682"/>
      <c r="I103" s="3682"/>
      <c r="J103" s="3682"/>
      <c r="K103" s="3390"/>
      <c r="L103" s="3390"/>
      <c r="M103" s="3390"/>
      <c r="N103" s="3390"/>
    </row>
    <row r="104" spans="1:14">
      <c r="A104" s="3683" t="s">
        <v>3292</v>
      </c>
      <c r="B104" s="3683" t="s">
        <v>3293</v>
      </c>
      <c r="C104" s="3391" t="s">
        <v>3294</v>
      </c>
      <c r="D104" s="3392"/>
      <c r="E104" s="3392"/>
      <c r="F104" s="3392"/>
      <c r="G104" s="3392"/>
      <c r="H104" s="3392"/>
      <c r="I104" s="3392"/>
      <c r="J104" s="3393"/>
      <c r="K104" s="3394"/>
      <c r="L104" s="3394"/>
      <c r="M104" s="3394"/>
      <c r="N104" s="3394"/>
    </row>
    <row r="105" spans="1:14">
      <c r="A105" s="3683"/>
      <c r="B105" s="3683"/>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669"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0"/>
      <c r="B111" s="3395" t="s">
        <v>3265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2" t="s">
        <v>3308</v>
      </c>
      <c r="B113" s="3672"/>
      <c r="C113" s="3672"/>
      <c r="D113" s="3672"/>
      <c r="E113" s="3672"/>
      <c r="F113" s="3672"/>
      <c r="G113" s="3672"/>
      <c r="H113" s="3672"/>
      <c r="I113" s="3672"/>
      <c r="J113" s="367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3309</v>
      </c>
      <c r="B116" s="3416">
        <f>G3</f>
        <v>1.5</v>
      </c>
      <c r="C116" s="3400" t="s">
        <v>3310</v>
      </c>
      <c r="D116" s="3401">
        <f>SUMPRODUCT((A118:A122=F116)*(B117:M117=H116)*B118:M122)</f>
        <v>0.76880000000000004</v>
      </c>
      <c r="E116" s="2000" t="s">
        <v>3311</v>
      </c>
      <c r="F116" s="3402" t="str">
        <f>E2</f>
        <v>住宅</v>
      </c>
      <c r="G116" s="2000" t="s">
        <v>3312</v>
      </c>
      <c r="H116" s="3402" t="str">
        <f>G2</f>
        <v>十级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3326</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3327</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3328</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2609</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61:H69 H72:H80 H83:H91">
    <cfRule type="cellIs" dxfId="164" priority="3" operator="notEqual">
      <formula>"——"</formula>
    </cfRule>
  </conditionalFormatting>
  <conditionalFormatting sqref="H93:H101">
    <cfRule type="cellIs" dxfId="163" priority="2" operator="notEqual">
      <formula>"——"</formula>
    </cfRule>
  </conditionalFormatting>
  <conditionalFormatting sqref="G72:G80">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42" sqref="G42:G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5.5431999999999997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5371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10116.719999999999</v>
      </c>
      <c r="D5" s="211" t="s">
        <v>1469</v>
      </c>
      <c r="E5" s="212" t="s">
        <v>1470</v>
      </c>
      <c r="F5" s="212" t="s">
        <v>1471</v>
      </c>
      <c r="G5" s="213"/>
    </row>
    <row r="6" spans="1:8" s="214" customFormat="1" ht="13.5" customHeight="1">
      <c r="A6" s="778" t="s">
        <v>1472</v>
      </c>
      <c r="B6" s="215" t="s">
        <v>1473</v>
      </c>
      <c r="C6" s="216">
        <f>基准地价修正!C41*基准地价修正!D41</f>
        <v>8214.7199999999993</v>
      </c>
      <c r="D6" s="217"/>
      <c r="E6" s="218"/>
      <c r="F6" s="218"/>
      <c r="G6" s="219"/>
    </row>
    <row r="7" spans="1:8" s="214" customFormat="1" ht="13.5" customHeight="1">
      <c r="A7" s="778" t="s">
        <v>1474</v>
      </c>
      <c r="B7" s="215" t="s">
        <v>1475</v>
      </c>
      <c r="C7" s="220">
        <f>ROUND(C6*F7,0)</f>
        <v>251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1651</v>
      </c>
      <c r="D8" s="222"/>
      <c r="E8" s="220"/>
      <c r="F8" s="221"/>
      <c r="G8" s="1856" t="s">
        <v>3428</v>
      </c>
    </row>
    <row r="9" spans="1:8" s="214" customFormat="1" ht="13.5" customHeight="1">
      <c r="A9" s="779" t="s">
        <v>355</v>
      </c>
      <c r="B9" s="224" t="s">
        <v>1478</v>
      </c>
      <c r="C9" s="225">
        <f ca="1">ROUND(D9*E9,0)</f>
        <v>1651</v>
      </c>
      <c r="D9" s="845">
        <f ca="1">IF(B1="",'数据-汇总表'!E5,IF(INDIRECT("'数据-取费表'!c"&amp;$G$1)="住宅",INDIRECT("'数据-取费表'!k"&amp;$G$1),0))</f>
        <v>10.32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10.32</v>
      </c>
      <c r="E19" s="211">
        <f>'数据-取费表'!B31</f>
        <v>200</v>
      </c>
      <c r="F19" s="231"/>
      <c r="G19" s="1856" t="s">
        <v>3429</v>
      </c>
    </row>
    <row r="20" spans="1:7" s="214" customFormat="1" ht="13.5" customHeight="1">
      <c r="A20" s="255" t="s">
        <v>1574</v>
      </c>
      <c r="B20" s="210" t="s">
        <v>1575</v>
      </c>
      <c r="C20" s="232">
        <f ca="1">ROUND((C5+C19)*F20,0)</f>
        <v>202</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622</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825</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825</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12881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38143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34056</v>
      </c>
      <c r="D34" s="217"/>
      <c r="E34" s="220"/>
      <c r="F34" s="257"/>
      <c r="G34" s="219"/>
    </row>
    <row r="35" spans="1:7" ht="13.5" customHeight="1">
      <c r="A35" s="780" t="s">
        <v>351</v>
      </c>
      <c r="B35" s="215" t="s">
        <v>1527</v>
      </c>
      <c r="C35" s="220">
        <f ca="1">ROUND(C34*F35,0)</f>
        <v>1703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1703</v>
      </c>
      <c r="D36" s="220"/>
      <c r="E36" s="220"/>
      <c r="F36" s="259">
        <f>'数据-取费表'!B34</f>
        <v>0.05</v>
      </c>
      <c r="G36" s="260" t="s">
        <v>1530</v>
      </c>
    </row>
    <row r="37" spans="1:7" s="258" customFormat="1" ht="13.5" customHeight="1">
      <c r="A37" s="780" t="s">
        <v>353</v>
      </c>
      <c r="B37" s="215" t="s">
        <v>1531</v>
      </c>
      <c r="C37" s="249">
        <f ca="1">ROUND(E37*D37,0)</f>
        <v>0</v>
      </c>
      <c r="D37" s="217">
        <f ca="1">D19</f>
        <v>10.32</v>
      </c>
      <c r="E37" s="249">
        <f>'数据-取费表'!B35</f>
        <v>0</v>
      </c>
      <c r="F37" s="259"/>
      <c r="G37" s="261"/>
    </row>
    <row r="38" spans="1:7" ht="13.5" customHeight="1">
      <c r="A38" s="780" t="s">
        <v>354</v>
      </c>
      <c r="B38" s="215" t="s">
        <v>1533</v>
      </c>
      <c r="C38" s="220">
        <f ca="1">ROUND(C34*F38,0)</f>
        <v>681</v>
      </c>
      <c r="D38" s="220"/>
      <c r="E38" s="220"/>
      <c r="F38" s="259">
        <f>'数据-取费表'!B36</f>
        <v>0.02</v>
      </c>
      <c r="G38" s="219" t="s">
        <v>1528</v>
      </c>
    </row>
    <row r="39" spans="1:7" s="214" customFormat="1" ht="13.5" customHeight="1">
      <c r="A39" s="255" t="s">
        <v>1534</v>
      </c>
      <c r="B39" s="210" t="s">
        <v>1535</v>
      </c>
      <c r="C39" s="232">
        <f ca="1">ROUND(C33*F20,0)</f>
        <v>763</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1167</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1144</v>
      </c>
      <c r="D42" s="238"/>
      <c r="E42" s="238"/>
      <c r="F42" s="239"/>
      <c r="G42" s="3666" t="s">
        <v>1591</v>
      </c>
    </row>
    <row r="43" spans="1:7" ht="13.5" customHeight="1">
      <c r="A43" s="780" t="s">
        <v>347</v>
      </c>
      <c r="B43" s="215" t="s">
        <v>1545</v>
      </c>
      <c r="C43" s="238">
        <f ca="1">ROUND(IF('数据-取费表'!B22&lt;=1,C39*F22*'数据-取费表'!B20/2,C39*(POWER((1+F22),'数据-取费表'!B20/2)-1)),0)</f>
        <v>23</v>
      </c>
      <c r="D43" s="238"/>
      <c r="E43" s="238"/>
      <c r="F43" s="239"/>
      <c r="G43" s="3667"/>
    </row>
    <row r="44" spans="1:7" ht="13.5" customHeight="1">
      <c r="A44" s="780" t="s">
        <v>348</v>
      </c>
      <c r="B44" s="215" t="s">
        <v>1546</v>
      </c>
      <c r="C44" s="238">
        <f ca="1">ROUND(IF('数据-取费表'!B22&lt;=1,C40*F22*'数据-取费表'!B20/2,C40*(POWER((1+F22),'数据-取费表'!B20/2)-1)),4)</f>
        <v>8.9999999999999998E-4</v>
      </c>
      <c r="D44" s="238"/>
      <c r="E44" s="238"/>
      <c r="F44" s="239"/>
      <c r="G44" s="3668"/>
    </row>
    <row r="45" spans="1:7" s="214" customFormat="1" ht="13.5" customHeight="1">
      <c r="A45" s="255" t="s">
        <v>1547</v>
      </c>
      <c r="B45" s="244" t="s">
        <v>1513</v>
      </c>
      <c r="C45" s="245">
        <f ca="1">C46</f>
        <v>3112</v>
      </c>
      <c r="D45" s="235">
        <f ca="1">C47</f>
        <v>2.3999999999999998E-3</v>
      </c>
      <c r="E45" s="236" t="s">
        <v>1539</v>
      </c>
      <c r="F45" s="246">
        <f ca="1">F27</f>
        <v>0.08</v>
      </c>
      <c r="G45" s="247" t="s">
        <v>1548</v>
      </c>
    </row>
    <row r="46" spans="1:7" s="214" customFormat="1" ht="13.5" customHeight="1">
      <c r="A46" s="780" t="s">
        <v>346</v>
      </c>
      <c r="B46" s="248" t="s">
        <v>1549</v>
      </c>
      <c r="C46" s="249">
        <f ca="1">ROUND((C33+C39)*F27,0)</f>
        <v>3112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47279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42551</v>
      </c>
      <c r="D51" s="232"/>
      <c r="E51" s="232"/>
      <c r="F51" s="264"/>
      <c r="G51" s="234" t="s">
        <v>1560</v>
      </c>
    </row>
    <row r="52" spans="1:7" s="208" customFormat="1" ht="16.8" thickBot="1">
      <c r="A52" s="265" t="s">
        <v>1561</v>
      </c>
      <c r="B52" s="266"/>
      <c r="C52" s="267">
        <f ca="1">C31+C51</f>
        <v>55432</v>
      </c>
      <c r="D52" s="266"/>
      <c r="E52" s="266"/>
      <c r="F52" s="266"/>
      <c r="G52" s="268"/>
    </row>
    <row r="55" spans="1:7" ht="15">
      <c r="B55" s="270" t="s">
        <v>1562</v>
      </c>
      <c r="C55" s="271"/>
    </row>
    <row r="56" spans="1:7">
      <c r="B56" s="273" t="s">
        <v>802</v>
      </c>
      <c r="C56" s="275">
        <f ca="1">1-C57</f>
        <v>0.23199999999999998</v>
      </c>
    </row>
    <row r="57" spans="1:7">
      <c r="B57" s="273" t="s">
        <v>803</v>
      </c>
      <c r="C57" s="274">
        <f ca="1">ROUND(C51/C52,3)</f>
        <v>0.76800000000000002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10.32</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10.32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10.32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0</v>
      </c>
      <c r="D6" s="155" t="s">
        <v>2106</v>
      </c>
      <c r="E6" s="302" t="s">
        <v>696</v>
      </c>
      <c r="F6" s="303">
        <f ca="1">INDIRECT("'数据-取费表'!u"&amp;$G$1)</f>
        <v>0</v>
      </c>
      <c r="G6" s="1384"/>
      <c r="H6" s="1069" t="s">
        <v>398</v>
      </c>
      <c r="I6" s="3690" t="s">
        <v>694</v>
      </c>
      <c r="J6" s="301">
        <f ca="1">ROUND(M6*M8*M7*(1-M9)/10000,0)</f>
        <v>0</v>
      </c>
      <c r="K6" s="155" t="s">
        <v>2105</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42.63</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688" t="s">
        <v>837</v>
      </c>
      <c r="L53" s="368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42.63</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0</v>
      </c>
      <c r="D6" s="155" t="s">
        <v>2103</v>
      </c>
      <c r="E6" s="302" t="s">
        <v>696</v>
      </c>
      <c r="F6" s="303">
        <f ca="1">INDIRECT("'数据-取费表'!u"&amp;$G$1)</f>
        <v>0</v>
      </c>
      <c r="G6" s="1384"/>
      <c r="H6" s="1069" t="s">
        <v>398</v>
      </c>
      <c r="I6" s="3690" t="s">
        <v>694</v>
      </c>
      <c r="J6" s="301">
        <f ca="1">ROUND(M6*M8*M7*(1-M9),0)</f>
        <v>0</v>
      </c>
      <c r="K6" s="1376" t="s">
        <v>2104</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42.63</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8" t="s">
        <v>837</v>
      </c>
      <c r="L53" s="368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42.63</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2432</v>
      </c>
      <c r="B1" s="2832"/>
      <c r="C1" s="2844"/>
      <c r="D1" s="2844"/>
      <c r="E1" s="2833"/>
      <c r="F1" s="2834"/>
      <c r="G1" s="2835"/>
      <c r="J1" s="2838" t="s">
        <v>2311</v>
      </c>
      <c r="K1" s="2839"/>
      <c r="L1" s="2839"/>
      <c r="M1" s="2839"/>
      <c r="N1" s="2839"/>
      <c r="O1" s="2839"/>
      <c r="P1" s="2839"/>
      <c r="Q1" s="2839"/>
      <c r="R1" s="2840"/>
      <c r="S1" s="2841"/>
      <c r="T1" s="2841"/>
      <c r="U1" s="2841"/>
    </row>
    <row r="2" spans="1:22" s="2853" customFormat="1" ht="13.2" customHeight="1">
      <c r="A2" s="1385" t="s">
        <v>2312</v>
      </c>
      <c r="B2" s="2843" t="e">
        <f>IF(D2="——",C40,C40+E2)</f>
        <v>#DIV/0!</v>
      </c>
      <c r="C2" s="2844" t="s">
        <v>2313</v>
      </c>
      <c r="D2" s="3443" t="s">
        <v>3356</v>
      </c>
      <c r="E2" s="3444"/>
      <c r="F2" s="2846"/>
      <c r="G2" s="2847"/>
      <c r="H2" s="2848"/>
      <c r="I2" s="2849"/>
      <c r="J2" s="3699" t="s">
        <v>2314</v>
      </c>
      <c r="K2" s="3700"/>
      <c r="L2" s="2850" t="s">
        <v>2315</v>
      </c>
      <c r="M2" s="2850" t="s">
        <v>2316</v>
      </c>
      <c r="N2" s="2850" t="s">
        <v>2317</v>
      </c>
      <c r="O2" s="2850" t="s">
        <v>2318</v>
      </c>
      <c r="P2" s="2850" t="s">
        <v>2319</v>
      </c>
      <c r="Q2" s="2851" t="s">
        <v>2320</v>
      </c>
      <c r="R2" s="2852" t="s">
        <v>2321</v>
      </c>
      <c r="S2" s="2841"/>
      <c r="T2" s="2841"/>
      <c r="U2" s="2841"/>
      <c r="V2" s="2849"/>
    </row>
    <row r="3" spans="1:22" s="2853" customFormat="1" ht="13.2" customHeight="1">
      <c r="A3" s="2854" t="s">
        <v>2322</v>
      </c>
      <c r="B3" s="2855" t="e">
        <f>ROUND(B2*10000/B4,0)</f>
        <v>#DIV/0!</v>
      </c>
      <c r="C3" s="2844" t="s">
        <v>2323</v>
      </c>
      <c r="D3" s="2844"/>
      <c r="E3" s="2845"/>
      <c r="F3" s="2846"/>
      <c r="G3" s="2847"/>
      <c r="H3" s="2848"/>
      <c r="I3" s="2849"/>
      <c r="J3" s="3701" t="s">
        <v>2324</v>
      </c>
      <c r="K3" s="3702"/>
      <c r="L3" s="2856"/>
      <c r="M3" s="2856"/>
      <c r="N3" s="2856"/>
      <c r="O3" s="2856"/>
      <c r="P3" s="2856"/>
      <c r="Q3" s="2857"/>
      <c r="R3" s="2858">
        <f>SUM(L3:Q3)</f>
        <v>0</v>
      </c>
      <c r="S3" s="2841"/>
      <c r="T3" s="2841"/>
      <c r="U3" s="2841"/>
      <c r="V3" s="2849"/>
    </row>
    <row r="4" spans="1:22" s="2853" customFormat="1" ht="13.2" customHeight="1">
      <c r="A4" s="2859" t="s">
        <v>2325</v>
      </c>
      <c r="B4" s="2860"/>
      <c r="C4" s="2844"/>
      <c r="D4" s="2844"/>
      <c r="E4" s="2845"/>
      <c r="F4" s="2846"/>
      <c r="G4" s="2847"/>
      <c r="H4" s="2848"/>
      <c r="I4" s="2849"/>
      <c r="J4" s="3701" t="s">
        <v>2326</v>
      </c>
      <c r="K4" s="3702"/>
      <c r="L4" s="2861"/>
      <c r="M4" s="2861"/>
      <c r="N4" s="2861"/>
      <c r="O4" s="2861"/>
      <c r="P4" s="2861"/>
      <c r="Q4" s="2862"/>
      <c r="R4" s="2863">
        <f>SUM(L4:Q4)</f>
        <v>0</v>
      </c>
      <c r="S4" s="2841"/>
      <c r="T4" s="2841"/>
      <c r="U4" s="2841"/>
      <c r="V4" s="2849"/>
    </row>
    <row r="5" spans="1:22" s="2853" customFormat="1" ht="13.2" customHeight="1" thickBot="1">
      <c r="A5" s="2864" t="s">
        <v>2327</v>
      </c>
      <c r="B5" s="2865"/>
      <c r="C5" s="2844"/>
      <c r="D5" s="2866"/>
      <c r="E5" s="2846"/>
      <c r="F5" s="2846"/>
      <c r="G5" s="2847"/>
      <c r="H5" s="2848"/>
      <c r="I5" s="2849"/>
      <c r="J5" s="2867" t="s">
        <v>2328</v>
      </c>
      <c r="K5" s="2868"/>
      <c r="L5" s="2868"/>
      <c r="M5" s="2869"/>
      <c r="N5" s="2869"/>
      <c r="O5" s="2869"/>
      <c r="P5" s="2869"/>
      <c r="Q5" s="2869"/>
      <c r="R5" s="2852">
        <f>SUM(R14,R19,R24,R25,R27,R28)</f>
        <v>0</v>
      </c>
      <c r="S5" s="2841"/>
      <c r="T5" s="2841" t="s">
        <v>2329</v>
      </c>
      <c r="U5" s="2841" t="e">
        <f>ROUND(R5*10000/365/R3,1)</f>
        <v>#DIV/0!</v>
      </c>
      <c r="V5" s="2849"/>
    </row>
    <row r="6" spans="1:22" s="2853" customFormat="1" ht="13.2" customHeight="1" thickBot="1">
      <c r="A6" s="3707" t="s">
        <v>2330</v>
      </c>
      <c r="B6" s="3708"/>
      <c r="C6" s="3709"/>
      <c r="D6" s="2870"/>
      <c r="E6" s="2871"/>
      <c r="F6" s="2872"/>
      <c r="G6" s="2873"/>
      <c r="H6" s="2848"/>
      <c r="I6" s="2849"/>
      <c r="J6" s="3693">
        <v>1</v>
      </c>
      <c r="K6" s="3694" t="s">
        <v>2331</v>
      </c>
      <c r="L6" s="2874" t="s">
        <v>2332</v>
      </c>
      <c r="M6" s="2875" t="s">
        <v>2333</v>
      </c>
      <c r="N6" s="2875" t="s">
        <v>2334</v>
      </c>
      <c r="O6" s="2875" t="s">
        <v>2335</v>
      </c>
      <c r="P6" s="2875" t="s">
        <v>2336</v>
      </c>
      <c r="Q6" s="2875" t="s">
        <v>2337</v>
      </c>
      <c r="R6" s="2858" t="s">
        <v>2338</v>
      </c>
      <c r="S6" s="2841"/>
      <c r="T6" s="2841" t="s">
        <v>2339</v>
      </c>
      <c r="U6" s="2841"/>
      <c r="V6" s="2849"/>
    </row>
    <row r="7" spans="1:22" s="2853" customFormat="1" ht="13.2" customHeight="1">
      <c r="A7" s="2876" t="s">
        <v>2340</v>
      </c>
      <c r="B7" s="2877"/>
      <c r="C7" s="2878"/>
      <c r="D7" s="2879">
        <f>SUM(D9,D10,D11,D17,0)</f>
        <v>0</v>
      </c>
      <c r="E7" s="2880" t="e">
        <f>E9+E10+E11+E17</f>
        <v>#DIV/0!</v>
      </c>
      <c r="F7" s="2881"/>
      <c r="G7" s="2882"/>
      <c r="H7" s="2848"/>
      <c r="I7" s="2849"/>
      <c r="J7" s="3693"/>
      <c r="K7" s="3695"/>
      <c r="L7" s="2883" t="s">
        <v>2341</v>
      </c>
      <c r="M7" s="2884"/>
      <c r="N7" s="2860"/>
      <c r="O7" s="2885"/>
      <c r="P7" s="2885"/>
      <c r="Q7" s="2886">
        <v>365</v>
      </c>
      <c r="R7" s="2887">
        <f>ROUND(M7*N7*O7*P7*Q7/10000,0)</f>
        <v>0</v>
      </c>
      <c r="S7" s="2841"/>
      <c r="T7" s="2841" t="s">
        <v>2342</v>
      </c>
      <c r="U7" s="2841"/>
      <c r="V7" s="2849"/>
    </row>
    <row r="8" spans="1:22" s="2853" customFormat="1" ht="13.2" customHeight="1">
      <c r="A8" s="2888" t="s">
        <v>2343</v>
      </c>
      <c r="B8" s="3710" t="s">
        <v>2344</v>
      </c>
      <c r="C8" s="3711"/>
      <c r="D8" s="2889" t="s">
        <v>2345</v>
      </c>
      <c r="E8" s="2890" t="s">
        <v>2346</v>
      </c>
      <c r="F8" s="2891" t="s">
        <v>2347</v>
      </c>
      <c r="G8" s="2892"/>
      <c r="H8" s="2848"/>
      <c r="I8" s="2849"/>
      <c r="J8" s="3693"/>
      <c r="K8" s="3695"/>
      <c r="L8" s="2883" t="s">
        <v>2348</v>
      </c>
      <c r="M8" s="2884"/>
      <c r="N8" s="2860"/>
      <c r="O8" s="2885"/>
      <c r="P8" s="2885"/>
      <c r="Q8" s="2886">
        <v>365</v>
      </c>
      <c r="R8" s="2887">
        <f t="shared" ref="R8:R13" si="0">ROUND(M8*N8*O8*P8*Q8/10000,0)</f>
        <v>0</v>
      </c>
      <c r="S8" s="2841"/>
      <c r="T8" s="2841" t="s">
        <v>2349</v>
      </c>
      <c r="U8" s="2841"/>
      <c r="V8" s="2849"/>
    </row>
    <row r="9" spans="1:22" s="2853" customFormat="1" ht="13.2" customHeight="1">
      <c r="A9" s="2888">
        <v>1</v>
      </c>
      <c r="B9" s="3710" t="s">
        <v>2350</v>
      </c>
      <c r="C9" s="3711"/>
      <c r="D9" s="2889">
        <f>ROUND(D6*E9,0)</f>
        <v>0</v>
      </c>
      <c r="E9" s="2893"/>
      <c r="F9" s="2894" t="s">
        <v>2351</v>
      </c>
      <c r="G9" s="2873"/>
      <c r="H9" s="2848"/>
      <c r="I9" s="2849"/>
      <c r="J9" s="3693"/>
      <c r="K9" s="3695"/>
      <c r="L9" s="2883" t="s">
        <v>2352</v>
      </c>
      <c r="M9" s="2884"/>
      <c r="N9" s="2860"/>
      <c r="O9" s="2885"/>
      <c r="P9" s="2885"/>
      <c r="Q9" s="2886">
        <v>365</v>
      </c>
      <c r="R9" s="2887">
        <f t="shared" si="0"/>
        <v>0</v>
      </c>
      <c r="S9" s="2841"/>
      <c r="T9" s="2841"/>
      <c r="U9" s="2841"/>
      <c r="V9" s="2849"/>
    </row>
    <row r="10" spans="1:22" s="2853" customFormat="1" ht="13.2" customHeight="1">
      <c r="A10" s="2888">
        <v>2</v>
      </c>
      <c r="B10" s="3710" t="s">
        <v>2353</v>
      </c>
      <c r="C10" s="3711"/>
      <c r="D10" s="2889">
        <f>ROUND(D6*E10,0)</f>
        <v>0</v>
      </c>
      <c r="E10" s="2893"/>
      <c r="F10" s="2894" t="s">
        <v>2354</v>
      </c>
      <c r="G10" s="2873"/>
      <c r="H10" s="2848"/>
      <c r="I10" s="2849"/>
      <c r="J10" s="3693"/>
      <c r="K10" s="3695"/>
      <c r="L10" s="2883" t="s">
        <v>2355</v>
      </c>
      <c r="M10" s="2884"/>
      <c r="N10" s="2860"/>
      <c r="O10" s="2885"/>
      <c r="P10" s="2885"/>
      <c r="Q10" s="2886">
        <v>365</v>
      </c>
      <c r="R10" s="2887">
        <f t="shared" si="0"/>
        <v>0</v>
      </c>
      <c r="S10" s="2841"/>
      <c r="T10" s="2841"/>
      <c r="U10" s="2841"/>
      <c r="V10" s="2849"/>
    </row>
    <row r="11" spans="1:22" s="2853" customFormat="1" ht="13.2" customHeight="1">
      <c r="A11" s="2888">
        <v>3</v>
      </c>
      <c r="B11" s="3710" t="s">
        <v>2356</v>
      </c>
      <c r="C11" s="3711"/>
      <c r="D11" s="2889">
        <f>D12+D14+D15+D16</f>
        <v>0</v>
      </c>
      <c r="E11" s="2895" t="e">
        <f>D11/D6</f>
        <v>#DIV/0!</v>
      </c>
      <c r="F11" s="2891"/>
      <c r="G11" s="2892"/>
      <c r="H11" s="2848"/>
      <c r="I11" s="2849"/>
      <c r="J11" s="3693"/>
      <c r="K11" s="3695"/>
      <c r="L11" s="2883" t="s">
        <v>2357</v>
      </c>
      <c r="M11" s="2884"/>
      <c r="N11" s="2860"/>
      <c r="O11" s="2885"/>
      <c r="P11" s="2885"/>
      <c r="Q11" s="2886">
        <v>365</v>
      </c>
      <c r="R11" s="2887">
        <f t="shared" si="0"/>
        <v>0</v>
      </c>
      <c r="S11" s="2841"/>
      <c r="T11" s="2841"/>
      <c r="U11" s="2841"/>
      <c r="V11" s="2849"/>
    </row>
    <row r="12" spans="1:22" s="2853" customFormat="1" ht="13.2" customHeight="1">
      <c r="A12" s="2896" t="s">
        <v>2358</v>
      </c>
      <c r="B12" s="3703" t="s">
        <v>2359</v>
      </c>
      <c r="C12" s="3704"/>
      <c r="D12" s="2897">
        <f>ROUND(D13*1.2%*(1-30%),0)</f>
        <v>0</v>
      </c>
      <c r="E12" s="2898">
        <v>1.2E-2</v>
      </c>
      <c r="F12" s="2891" t="s">
        <v>2360</v>
      </c>
      <c r="G12" s="2892"/>
      <c r="H12" s="2848"/>
      <c r="I12" s="2849"/>
      <c r="J12" s="3693"/>
      <c r="K12" s="3695"/>
      <c r="L12" s="2883" t="s">
        <v>2361</v>
      </c>
      <c r="M12" s="2884"/>
      <c r="N12" s="2860"/>
      <c r="O12" s="2885"/>
      <c r="P12" s="2885"/>
      <c r="Q12" s="2886">
        <v>365</v>
      </c>
      <c r="R12" s="2887">
        <f t="shared" si="0"/>
        <v>0</v>
      </c>
      <c r="S12" s="2841"/>
      <c r="T12" s="2841"/>
      <c r="U12" s="2841"/>
      <c r="V12" s="2849"/>
    </row>
    <row r="13" spans="1:22" s="2853" customFormat="1" ht="13.2" customHeight="1">
      <c r="A13" s="2896"/>
      <c r="B13" s="2899"/>
      <c r="C13" s="2900" t="s">
        <v>2362</v>
      </c>
      <c r="D13" s="2901"/>
      <c r="E13" s="2902"/>
      <c r="F13" s="2891"/>
      <c r="G13" s="2892"/>
      <c r="H13" s="2848"/>
      <c r="I13" s="2849"/>
      <c r="J13" s="3693"/>
      <c r="K13" s="3695"/>
      <c r="L13" s="2883" t="s">
        <v>2363</v>
      </c>
      <c r="M13" s="2884"/>
      <c r="N13" s="2860"/>
      <c r="O13" s="2885"/>
      <c r="P13" s="2885"/>
      <c r="Q13" s="2886">
        <v>365</v>
      </c>
      <c r="R13" s="2887">
        <f t="shared" si="0"/>
        <v>0</v>
      </c>
      <c r="S13" s="2841"/>
      <c r="T13" s="2841"/>
      <c r="U13" s="2841"/>
      <c r="V13" s="2849"/>
    </row>
    <row r="14" spans="1:22" s="2853" customFormat="1" ht="13.2" customHeight="1">
      <c r="A14" s="2896" t="s">
        <v>2364</v>
      </c>
      <c r="B14" s="3703" t="s">
        <v>2365</v>
      </c>
      <c r="C14" s="3704"/>
      <c r="D14" s="2897">
        <f>ROUND(E14*B5/10000,0)</f>
        <v>0</v>
      </c>
      <c r="E14" s="2886"/>
      <c r="F14" s="2891" t="s">
        <v>2366</v>
      </c>
      <c r="G14" s="2892"/>
      <c r="H14" s="2848"/>
      <c r="I14" s="2849"/>
      <c r="J14" s="3693"/>
      <c r="K14" s="3696"/>
      <c r="L14" s="2903" t="s">
        <v>2367</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2368</v>
      </c>
      <c r="B15" s="3703" t="s">
        <v>2369</v>
      </c>
      <c r="C15" s="3704"/>
      <c r="D15" s="2897">
        <f>ROUND(D6*E15,0)</f>
        <v>0</v>
      </c>
      <c r="E15" s="2898">
        <v>5.5E-2</v>
      </c>
      <c r="F15" s="2891" t="s">
        <v>2370</v>
      </c>
      <c r="G15" s="2873"/>
      <c r="H15" s="2848"/>
      <c r="I15" s="2849"/>
      <c r="J15" s="3693">
        <v>2</v>
      </c>
      <c r="K15" s="3694" t="s">
        <v>2371</v>
      </c>
      <c r="L15" s="2883" t="s">
        <v>2372</v>
      </c>
      <c r="M15" s="2884" t="s">
        <v>2373</v>
      </c>
      <c r="N15" s="2884" t="s">
        <v>2374</v>
      </c>
      <c r="O15" s="2885" t="s">
        <v>2375</v>
      </c>
      <c r="P15" s="2885" t="s">
        <v>2337</v>
      </c>
      <c r="Q15" s="2860" t="s">
        <v>2376</v>
      </c>
      <c r="R15" s="2907" t="s">
        <v>2338</v>
      </c>
      <c r="S15" s="2841"/>
      <c r="T15" s="2841"/>
      <c r="U15" s="2841"/>
      <c r="V15" s="2849"/>
    </row>
    <row r="16" spans="1:22" s="2853" customFormat="1" ht="13.2" customHeight="1">
      <c r="A16" s="2896" t="s">
        <v>2377</v>
      </c>
      <c r="B16" s="3703" t="s">
        <v>2378</v>
      </c>
      <c r="C16" s="3704"/>
      <c r="D16" s="2908">
        <f>D6*E16</f>
        <v>0</v>
      </c>
      <c r="E16" s="2909"/>
      <c r="F16" s="2894" t="s">
        <v>2379</v>
      </c>
      <c r="G16" s="2873"/>
      <c r="H16" s="2848"/>
      <c r="I16" s="2849"/>
      <c r="J16" s="3693"/>
      <c r="K16" s="3695"/>
      <c r="L16" s="2883" t="s">
        <v>2380</v>
      </c>
      <c r="M16" s="2884"/>
      <c r="N16" s="2884"/>
      <c r="O16" s="2885"/>
      <c r="P16" s="2886">
        <v>365</v>
      </c>
      <c r="Q16" s="2860"/>
      <c r="R16" s="2907">
        <f>ROUND(M16*N16*O16*P16/10000,0)</f>
        <v>0</v>
      </c>
      <c r="S16" s="2841"/>
      <c r="T16" s="2841"/>
      <c r="U16" s="2841"/>
      <c r="V16" s="2849"/>
    </row>
    <row r="17" spans="1:22" s="2853" customFormat="1" ht="13.2" customHeight="1" thickBot="1">
      <c r="A17" s="2910">
        <v>4</v>
      </c>
      <c r="B17" s="3705" t="s">
        <v>2381</v>
      </c>
      <c r="C17" s="3706"/>
      <c r="D17" s="2911">
        <f>ROUND(D6*E17,0)</f>
        <v>0</v>
      </c>
      <c r="E17" s="2912"/>
      <c r="F17" s="2913" t="s">
        <v>2382</v>
      </c>
      <c r="G17" s="2873"/>
      <c r="H17" s="2848"/>
      <c r="I17" s="2849"/>
      <c r="J17" s="3693"/>
      <c r="K17" s="3695"/>
      <c r="L17" s="2883" t="s">
        <v>2383</v>
      </c>
      <c r="M17" s="2884"/>
      <c r="N17" s="2884"/>
      <c r="O17" s="2885"/>
      <c r="P17" s="2886">
        <v>365</v>
      </c>
      <c r="Q17" s="2860"/>
      <c r="R17" s="2907">
        <f>ROUND(M17*N17*O17*P17/10000,0)</f>
        <v>0</v>
      </c>
      <c r="S17" s="2841"/>
      <c r="T17" s="2841"/>
      <c r="U17" s="2841"/>
      <c r="V17" s="2849"/>
    </row>
    <row r="18" spans="1:22" s="2853" customFormat="1" ht="13.2" customHeight="1" thickBot="1">
      <c r="A18" s="2876" t="s">
        <v>2384</v>
      </c>
      <c r="B18" s="2877"/>
      <c r="C18" s="2877"/>
      <c r="D18" s="2914">
        <f>ROUND(D6*E18,0)</f>
        <v>0</v>
      </c>
      <c r="E18" s="2915"/>
      <c r="F18" s="2916" t="s">
        <v>2385</v>
      </c>
      <c r="G18" s="2873"/>
      <c r="H18" s="2848"/>
      <c r="I18" s="2849"/>
      <c r="J18" s="3693"/>
      <c r="K18" s="3695"/>
      <c r="L18" s="2883" t="s">
        <v>2386</v>
      </c>
      <c r="M18" s="2884"/>
      <c r="N18" s="2884"/>
      <c r="O18" s="2885"/>
      <c r="P18" s="2886">
        <v>365</v>
      </c>
      <c r="Q18" s="2860"/>
      <c r="R18" s="2907">
        <f>ROUND(M18*N18*O18*P18/10000,0)</f>
        <v>0</v>
      </c>
      <c r="S18" s="2841"/>
      <c r="T18" s="2841"/>
      <c r="U18" s="2841"/>
      <c r="V18" s="2849"/>
    </row>
    <row r="19" spans="1:22" s="2853" customFormat="1" ht="13.2" customHeight="1" thickBot="1">
      <c r="A19" s="2917" t="s">
        <v>2387</v>
      </c>
      <c r="B19" s="2871"/>
      <c r="C19" s="2871"/>
      <c r="D19" s="2871"/>
      <c r="E19" s="2871"/>
      <c r="F19" s="2872"/>
      <c r="G19" s="2892"/>
      <c r="H19" s="2848"/>
      <c r="I19" s="2849"/>
      <c r="J19" s="3693"/>
      <c r="K19" s="3696"/>
      <c r="L19" s="2903" t="s">
        <v>2367</v>
      </c>
      <c r="M19" s="2904"/>
      <c r="N19" s="2904">
        <f>SUM(N16:N18)</f>
        <v>0</v>
      </c>
      <c r="O19" s="2905"/>
      <c r="P19" s="2918" t="s">
        <v>2431</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3">
        <v>3</v>
      </c>
      <c r="K20" s="3694" t="s">
        <v>2388</v>
      </c>
      <c r="L20" s="2883" t="s">
        <v>2389</v>
      </c>
      <c r="M20" s="2884" t="s">
        <v>2390</v>
      </c>
      <c r="N20" s="2921" t="s">
        <v>2391</v>
      </c>
      <c r="O20" s="2885" t="s">
        <v>2392</v>
      </c>
      <c r="P20" s="2886" t="s">
        <v>2393</v>
      </c>
      <c r="Q20" s="2860" t="s">
        <v>2394</v>
      </c>
      <c r="R20" s="2907" t="s">
        <v>2395</v>
      </c>
      <c r="S20" s="2922"/>
      <c r="T20" s="2922"/>
      <c r="U20" s="2922"/>
      <c r="V20" s="2849"/>
    </row>
    <row r="21" spans="1:22" s="2853" customFormat="1" ht="13.2" customHeight="1">
      <c r="A21" s="2876"/>
      <c r="B21" s="2877"/>
      <c r="C21" s="2923" t="s">
        <v>2396</v>
      </c>
      <c r="D21" s="2924" t="s">
        <v>2397</v>
      </c>
      <c r="E21" s="2925" t="s">
        <v>2398</v>
      </c>
      <c r="F21" s="2920"/>
      <c r="G21" s="2892"/>
      <c r="H21" s="2848"/>
      <c r="I21" s="2849"/>
      <c r="J21" s="3693"/>
      <c r="K21" s="3695"/>
      <c r="L21" s="2883" t="s">
        <v>2399</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2400</v>
      </c>
      <c r="D22" s="2928" t="s">
        <v>2401</v>
      </c>
      <c r="E22" s="2929" t="s">
        <v>2402</v>
      </c>
      <c r="F22" s="2920"/>
      <c r="G22" s="2930"/>
      <c r="H22" s="2848"/>
      <c r="I22" s="2849"/>
      <c r="J22" s="3693"/>
      <c r="K22" s="3695"/>
      <c r="L22" s="2883" t="s">
        <v>2403</v>
      </c>
      <c r="M22" s="2884"/>
      <c r="N22" s="2884"/>
      <c r="O22" s="2885"/>
      <c r="P22" s="2886">
        <v>365</v>
      </c>
      <c r="Q22" s="2860"/>
      <c r="R22" s="2926">
        <f>ROUND(M22*N22*O22*P22/10000,0)</f>
        <v>0</v>
      </c>
      <c r="S22" s="2922"/>
      <c r="T22" s="2922"/>
      <c r="U22" s="2922"/>
      <c r="V22" s="2849"/>
    </row>
    <row r="23" spans="1:22" s="2853" customFormat="1" ht="13.2" customHeight="1">
      <c r="A23" s="2931">
        <v>1</v>
      </c>
      <c r="B23" s="2932" t="s">
        <v>2404</v>
      </c>
      <c r="C23" s="2933">
        <f>D6</f>
        <v>0</v>
      </c>
      <c r="D23" s="2934">
        <f>C23*(1+D24)</f>
        <v>0</v>
      </c>
      <c r="E23" s="2935">
        <f>D23*(1+E24)</f>
        <v>0</v>
      </c>
      <c r="F23" s="2936"/>
      <c r="G23" s="2937"/>
      <c r="H23" s="2848"/>
      <c r="I23" s="2849"/>
      <c r="J23" s="3693"/>
      <c r="K23" s="3695"/>
      <c r="L23" s="2883" t="s">
        <v>2405</v>
      </c>
      <c r="M23" s="2884"/>
      <c r="N23" s="2884"/>
      <c r="O23" s="2885"/>
      <c r="P23" s="2886">
        <v>365</v>
      </c>
      <c r="Q23" s="2860"/>
      <c r="R23" s="2926">
        <f>ROUND(M23*N23*O23*P23/10000,0)</f>
        <v>0</v>
      </c>
      <c r="S23" s="2841"/>
      <c r="T23" s="2841"/>
      <c r="U23" s="2841"/>
      <c r="V23" s="2849"/>
    </row>
    <row r="24" spans="1:22" s="2853" customFormat="1" ht="13.2" customHeight="1">
      <c r="A24" s="2938"/>
      <c r="B24" s="2939" t="s">
        <v>2406</v>
      </c>
      <c r="C24" s="2940"/>
      <c r="D24" s="2941"/>
      <c r="E24" s="2942"/>
      <c r="F24" s="2943"/>
      <c r="G24" s="2937"/>
      <c r="H24" s="2848"/>
      <c r="I24" s="2849"/>
      <c r="J24" s="3693"/>
      <c r="K24" s="3696"/>
      <c r="L24" s="2903" t="s">
        <v>2367</v>
      </c>
      <c r="M24" s="2904">
        <f>SUM(M21:M23)</f>
        <v>0</v>
      </c>
      <c r="N24" s="2904"/>
      <c r="O24" s="2905"/>
      <c r="P24" s="2918" t="s">
        <v>2431</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2407</v>
      </c>
      <c r="L25" s="2946"/>
      <c r="M25" s="2946"/>
      <c r="N25" s="2946"/>
      <c r="O25" s="2946"/>
      <c r="P25" s="2947"/>
      <c r="Q25" s="2948">
        <v>0</v>
      </c>
      <c r="R25" s="2919">
        <f>ROUND(R14*Q25,0)</f>
        <v>0</v>
      </c>
      <c r="S25" s="2841"/>
      <c r="T25" s="2841"/>
      <c r="U25" s="2841"/>
      <c r="V25" s="2949"/>
    </row>
    <row r="26" spans="1:22" s="2950" customFormat="1" ht="13.2" customHeight="1">
      <c r="A26" s="2931">
        <v>2</v>
      </c>
      <c r="B26" s="2932" t="s">
        <v>2408</v>
      </c>
      <c r="C26" s="2933">
        <f>D7</f>
        <v>0</v>
      </c>
      <c r="D26" s="2934">
        <f>D23*D27</f>
        <v>0</v>
      </c>
      <c r="E26" s="2935">
        <f>E23*E27</f>
        <v>0</v>
      </c>
      <c r="F26" s="2936"/>
      <c r="G26" s="2937"/>
      <c r="H26" s="2848"/>
      <c r="I26" s="2849"/>
      <c r="J26" s="3697">
        <v>5</v>
      </c>
      <c r="K26" s="2951" t="s">
        <v>2409</v>
      </c>
      <c r="L26" s="2952"/>
      <c r="M26" s="2953"/>
      <c r="N26" s="2954" t="s">
        <v>2410</v>
      </c>
      <c r="O26" s="2954" t="s">
        <v>2411</v>
      </c>
      <c r="P26" s="2955" t="s">
        <v>2412</v>
      </c>
      <c r="Q26" s="2955" t="s">
        <v>2413</v>
      </c>
      <c r="R26" s="2858" t="s">
        <v>2338</v>
      </c>
      <c r="S26" s="2956"/>
      <c r="T26" s="2956"/>
      <c r="U26" s="2956"/>
      <c r="V26" s="2949"/>
    </row>
    <row r="27" spans="1:22" s="2853" customFormat="1" ht="13.2" customHeight="1">
      <c r="A27" s="2938"/>
      <c r="B27" s="2939" t="s">
        <v>2414</v>
      </c>
      <c r="C27" s="2957" t="e">
        <f>E7</f>
        <v>#DIV/0!</v>
      </c>
      <c r="D27" s="2941"/>
      <c r="E27" s="2942"/>
      <c r="F27" s="2943"/>
      <c r="G27" s="2937"/>
      <c r="H27" s="2958"/>
      <c r="I27" s="2949"/>
      <c r="J27" s="369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2415</v>
      </c>
      <c r="F28" s="2943"/>
      <c r="G28" s="2930"/>
      <c r="H28" s="2958"/>
      <c r="I28" s="2949"/>
      <c r="J28" s="2964">
        <v>6</v>
      </c>
      <c r="K28" s="2965" t="s">
        <v>2416</v>
      </c>
      <c r="L28" s="2966" t="s">
        <v>2417</v>
      </c>
      <c r="M28" s="2967"/>
      <c r="N28" s="2966" t="s">
        <v>2418</v>
      </c>
      <c r="O28" s="2968"/>
      <c r="P28" s="2966" t="s">
        <v>2419</v>
      </c>
      <c r="Q28" s="2969">
        <v>1.4999999999999999E-2</v>
      </c>
      <c r="R28" s="2970"/>
      <c r="S28" s="2922"/>
      <c r="T28" s="2922"/>
      <c r="U28" s="2922"/>
      <c r="V28" s="2949"/>
    </row>
    <row r="29" spans="1:22" s="2950" customFormat="1" ht="13.2" customHeight="1">
      <c r="A29" s="2931">
        <v>3</v>
      </c>
      <c r="B29" s="2932" t="s">
        <v>2420</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2414</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2421</v>
      </c>
      <c r="K31" s="2839"/>
      <c r="L31" s="2839"/>
      <c r="M31" s="2839"/>
      <c r="N31" s="2839"/>
      <c r="O31" s="2839"/>
      <c r="P31" s="2839"/>
      <c r="Q31" s="2839"/>
      <c r="R31" s="2840"/>
      <c r="S31" s="2922"/>
      <c r="T31" s="2841"/>
      <c r="U31" s="2841"/>
      <c r="V31" s="2949"/>
    </row>
    <row r="32" spans="1:22" s="2950" customFormat="1" ht="13.2" customHeight="1">
      <c r="A32" s="2931">
        <v>4</v>
      </c>
      <c r="B32" s="2932" t="s">
        <v>2422</v>
      </c>
      <c r="C32" s="2933">
        <f>C23-C26-C29</f>
        <v>0</v>
      </c>
      <c r="D32" s="2934">
        <f>D23-D26-D29</f>
        <v>0</v>
      </c>
      <c r="E32" s="2935">
        <f>E23-E26-E29</f>
        <v>0</v>
      </c>
      <c r="F32" s="2936"/>
      <c r="G32" s="2930"/>
      <c r="H32" s="2848"/>
      <c r="I32" s="2849"/>
      <c r="J32" s="3699" t="s">
        <v>2314</v>
      </c>
      <c r="K32" s="3700"/>
      <c r="L32" s="2850" t="s">
        <v>2315</v>
      </c>
      <c r="M32" s="2850" t="s">
        <v>2316</v>
      </c>
      <c r="N32" s="2850" t="s">
        <v>2317</v>
      </c>
      <c r="O32" s="2850" t="s">
        <v>2318</v>
      </c>
      <c r="P32" s="2850" t="s">
        <v>2319</v>
      </c>
      <c r="Q32" s="2851" t="s">
        <v>2320</v>
      </c>
      <c r="R32" s="2973" t="s">
        <v>2321</v>
      </c>
      <c r="S32" s="2922"/>
      <c r="T32" s="2841"/>
      <c r="U32" s="2841"/>
      <c r="V32" s="2949"/>
    </row>
    <row r="33" spans="1:23" s="2853" customFormat="1" ht="13.2" customHeight="1">
      <c r="A33" s="2931"/>
      <c r="B33" s="2932"/>
      <c r="C33" s="2933"/>
      <c r="D33" s="2974"/>
      <c r="E33" s="2975"/>
      <c r="F33" s="2936"/>
      <c r="G33" s="2930"/>
      <c r="H33" s="2958"/>
      <c r="I33" s="2949"/>
      <c r="J33" s="3701" t="s">
        <v>2324</v>
      </c>
      <c r="K33" s="3702"/>
      <c r="L33" s="2856"/>
      <c r="M33" s="2856"/>
      <c r="N33" s="2856"/>
      <c r="O33" s="2856"/>
      <c r="P33" s="2856"/>
      <c r="Q33" s="2857"/>
      <c r="R33" s="2976">
        <f>SUM(L33:Q33)</f>
        <v>0</v>
      </c>
      <c r="S33" s="2922"/>
      <c r="T33" s="2841"/>
      <c r="U33" s="2841"/>
      <c r="V33" s="2849"/>
    </row>
    <row r="34" spans="1:23" s="2853" customFormat="1" ht="13.2" customHeight="1">
      <c r="A34" s="2931">
        <v>5</v>
      </c>
      <c r="B34" s="2932" t="s">
        <v>2423</v>
      </c>
      <c r="C34" s="2977"/>
      <c r="D34" s="2978"/>
      <c r="E34" s="2979"/>
      <c r="F34" s="2936"/>
      <c r="G34" s="2930"/>
      <c r="H34" s="2958"/>
      <c r="I34" s="2949"/>
      <c r="J34" s="3701" t="s">
        <v>2326</v>
      </c>
      <c r="K34" s="370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2424</v>
      </c>
      <c r="C35" s="2981"/>
      <c r="D35" s="2982"/>
      <c r="E35" s="2983"/>
      <c r="F35" s="2936"/>
      <c r="G35" s="2984"/>
      <c r="H35" s="2848"/>
      <c r="I35" s="2949"/>
      <c r="J35" s="2867" t="s">
        <v>2328</v>
      </c>
      <c r="K35" s="2868"/>
      <c r="L35" s="2868"/>
      <c r="M35" s="2869"/>
      <c r="N35" s="2869"/>
      <c r="O35" s="2869"/>
      <c r="P35" s="2869"/>
      <c r="Q35" s="2869"/>
      <c r="R35" s="2985">
        <f>R40+R41+R43</f>
        <v>0</v>
      </c>
      <c r="S35" s="2922"/>
      <c r="T35" s="2841" t="s">
        <v>2329</v>
      </c>
      <c r="U35" s="2841"/>
      <c r="V35" s="2849"/>
    </row>
    <row r="36" spans="1:23" s="2853" customFormat="1" ht="13.2" customHeight="1" thickBot="1">
      <c r="A36" s="2931">
        <v>7</v>
      </c>
      <c r="B36" s="2986" t="s">
        <v>2425</v>
      </c>
      <c r="C36" s="2987"/>
      <c r="D36" s="2988"/>
      <c r="E36" s="2989"/>
      <c r="F36" s="2990">
        <f>C36+D36+E36</f>
        <v>0</v>
      </c>
      <c r="G36" s="2930"/>
      <c r="H36" s="2848"/>
      <c r="I36" s="2849"/>
      <c r="J36" s="3693">
        <v>1</v>
      </c>
      <c r="K36" s="3694" t="s">
        <v>2426</v>
      </c>
      <c r="L36" s="2874"/>
      <c r="M36" s="2875"/>
      <c r="N36" s="2875"/>
      <c r="O36" s="2875"/>
      <c r="P36" s="2875"/>
      <c r="Q36" s="2875"/>
      <c r="R36" s="2858" t="s">
        <v>2338</v>
      </c>
      <c r="S36" s="2922"/>
      <c r="T36" s="2841" t="s">
        <v>2339</v>
      </c>
      <c r="U36" s="2841"/>
      <c r="V36" s="2849"/>
    </row>
    <row r="37" spans="1:23" s="2853" customFormat="1" ht="13.2" customHeight="1">
      <c r="A37" s="2931"/>
      <c r="B37" s="2932"/>
      <c r="C37" s="2932"/>
      <c r="D37" s="2932"/>
      <c r="E37" s="2932"/>
      <c r="F37" s="2936"/>
      <c r="G37" s="2930"/>
      <c r="H37" s="2848"/>
      <c r="I37" s="2849"/>
      <c r="J37" s="3693"/>
      <c r="K37" s="3695"/>
      <c r="L37" s="2883"/>
      <c r="M37" s="2884"/>
      <c r="N37" s="2860"/>
      <c r="O37" s="2885"/>
      <c r="P37" s="2885"/>
      <c r="Q37" s="2886"/>
      <c r="R37" s="2887"/>
      <c r="S37" s="2922"/>
      <c r="T37" s="2841" t="s">
        <v>2342</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3"/>
      <c r="K38" s="3695"/>
      <c r="L38" s="2883"/>
      <c r="M38" s="2884"/>
      <c r="N38" s="2860"/>
      <c r="O38" s="2885"/>
      <c r="P38" s="2885"/>
      <c r="Q38" s="2886"/>
      <c r="R38" s="2887"/>
      <c r="S38" s="2922"/>
      <c r="T38" s="2841" t="s">
        <v>2349</v>
      </c>
      <c r="U38" s="2841"/>
      <c r="V38" s="2849"/>
    </row>
    <row r="39" spans="1:23" s="2853" customFormat="1" ht="13.2" customHeight="1">
      <c r="A39" s="2931">
        <v>9</v>
      </c>
      <c r="B39" s="2932" t="s">
        <v>2427</v>
      </c>
      <c r="C39" s="2897" t="e">
        <f>C38</f>
        <v>#DIV/0!</v>
      </c>
      <c r="D39" s="2932">
        <f>D38/(1+D34)^C36</f>
        <v>0</v>
      </c>
      <c r="E39" s="2932">
        <f>E38/(1+E34)^(C36+D36)</f>
        <v>0</v>
      </c>
      <c r="F39" s="2936"/>
      <c r="G39" s="2991"/>
      <c r="H39" s="2848"/>
      <c r="I39" s="2849"/>
      <c r="J39" s="3693"/>
      <c r="K39" s="3695"/>
      <c r="L39" s="2883"/>
      <c r="M39" s="2884"/>
      <c r="N39" s="2860"/>
      <c r="O39" s="2885"/>
      <c r="P39" s="2885"/>
      <c r="Q39" s="2886"/>
      <c r="R39" s="2887"/>
      <c r="S39" s="2922"/>
      <c r="T39" s="2841"/>
      <c r="U39" s="2841"/>
      <c r="V39" s="2849"/>
    </row>
    <row r="40" spans="1:23" s="2853" customFormat="1" ht="13.2" customHeight="1">
      <c r="A40" s="2992">
        <v>10</v>
      </c>
      <c r="B40" s="2932" t="s">
        <v>2428</v>
      </c>
      <c r="C40" s="2993" t="e">
        <f>C39+D39+E39</f>
        <v>#DIV/0!</v>
      </c>
      <c r="D40" s="2994"/>
      <c r="E40" s="2994"/>
      <c r="F40" s="2995"/>
      <c r="G40" s="2930"/>
      <c r="H40" s="2848"/>
      <c r="I40" s="2849"/>
      <c r="J40" s="3693"/>
      <c r="K40" s="3696"/>
      <c r="L40" s="2903" t="s">
        <v>2367</v>
      </c>
      <c r="M40" s="2904"/>
      <c r="N40" s="2904"/>
      <c r="O40" s="2905"/>
      <c r="P40" s="2905"/>
      <c r="Q40" s="2906"/>
      <c r="R40" s="2852">
        <f>SUM(R37:R39)</f>
        <v>0</v>
      </c>
      <c r="S40" s="2922"/>
      <c r="T40" s="2841"/>
      <c r="U40" s="2841"/>
      <c r="V40" s="2849"/>
    </row>
    <row r="41" spans="1:23" s="2853" customFormat="1" ht="13.2" customHeight="1" thickBot="1">
      <c r="A41" s="2996">
        <v>11</v>
      </c>
      <c r="B41" s="2997" t="s">
        <v>2429</v>
      </c>
      <c r="C41" s="2997" t="e">
        <f>ROUND(C40*10000/B4,0)</f>
        <v>#DIV/0!</v>
      </c>
      <c r="D41" s="2998"/>
      <c r="E41" s="2998"/>
      <c r="F41" s="2999"/>
      <c r="G41" s="3000"/>
      <c r="H41" s="2848"/>
      <c r="I41" s="2849"/>
      <c r="J41" s="2944">
        <v>2</v>
      </c>
      <c r="K41" s="2945" t="s">
        <v>2407</v>
      </c>
      <c r="L41" s="2946"/>
      <c r="M41" s="2946"/>
      <c r="N41" s="2946"/>
      <c r="O41" s="2946"/>
      <c r="P41" s="2947"/>
      <c r="Q41" s="2948"/>
      <c r="R41" s="2919">
        <f>ROUND(R40*Q41,0)</f>
        <v>0</v>
      </c>
      <c r="S41" s="2922"/>
      <c r="T41" s="2841"/>
      <c r="U41" s="2956"/>
      <c r="V41" s="2849"/>
    </row>
    <row r="42" spans="1:23" s="2853" customFormat="1" ht="13.2" customHeight="1">
      <c r="G42" s="3000"/>
      <c r="H42" s="2848"/>
      <c r="I42" s="2849"/>
      <c r="J42" s="3697">
        <v>3</v>
      </c>
      <c r="K42" s="2951" t="s">
        <v>2409</v>
      </c>
      <c r="L42" s="2952"/>
      <c r="M42" s="2953"/>
      <c r="N42" s="2954" t="s">
        <v>2410</v>
      </c>
      <c r="O42" s="2954" t="s">
        <v>2411</v>
      </c>
      <c r="P42" s="2955" t="s">
        <v>2412</v>
      </c>
      <c r="Q42" s="2955" t="s">
        <v>2413</v>
      </c>
      <c r="R42" s="2858" t="s">
        <v>2338</v>
      </c>
      <c r="S42" s="2956"/>
      <c r="T42" s="2956"/>
      <c r="U42" s="2841"/>
      <c r="V42" s="2849"/>
    </row>
    <row r="43" spans="1:23" ht="13.2" customHeight="1">
      <c r="A43" s="2853"/>
      <c r="B43" s="2853"/>
      <c r="C43" s="2853"/>
      <c r="D43" s="2853"/>
      <c r="E43" s="2853"/>
      <c r="F43" s="2853"/>
      <c r="I43" s="2836"/>
      <c r="J43" s="369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2416</v>
      </c>
      <c r="L44" s="3004" t="s">
        <v>2417</v>
      </c>
      <c r="M44" s="2967"/>
      <c r="N44" s="3004" t="s">
        <v>2418</v>
      </c>
      <c r="O44" s="2967"/>
      <c r="P44" s="3004" t="s">
        <v>2419</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2" t="s">
        <v>1654</v>
      </c>
      <c r="C5" s="3713"/>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10.32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2" t="s">
        <v>1667</v>
      </c>
      <c r="D4" s="3733"/>
      <c r="E4" s="3734" t="s">
        <v>1668</v>
      </c>
      <c r="F4" s="3735"/>
      <c r="G4" s="3732" t="s">
        <v>1669</v>
      </c>
      <c r="H4" s="3733"/>
      <c r="I4" s="3732" t="s">
        <v>1670</v>
      </c>
      <c r="J4" s="3733"/>
      <c r="K4" s="1889" t="s">
        <v>1671</v>
      </c>
      <c r="L4" s="2715"/>
      <c r="M4" s="2716"/>
      <c r="N4" s="2716"/>
      <c r="O4" s="2716"/>
      <c r="P4" s="3736" t="s">
        <v>1672</v>
      </c>
      <c r="Q4" s="3737"/>
      <c r="R4" s="3742" t="s">
        <v>1668</v>
      </c>
      <c r="S4" s="3743"/>
      <c r="T4" s="3742" t="s">
        <v>1669</v>
      </c>
      <c r="U4" s="3743"/>
      <c r="V4" s="3748" t="s">
        <v>1670</v>
      </c>
      <c r="W4" s="3748"/>
      <c r="X4" s="1355"/>
      <c r="Y4" s="3742" t="s">
        <v>1672</v>
      </c>
      <c r="Z4" s="3743"/>
      <c r="AA4" s="3729" t="s">
        <v>1668</v>
      </c>
      <c r="AB4" s="3729" t="s">
        <v>1669</v>
      </c>
      <c r="AC4" s="3729" t="s">
        <v>1670</v>
      </c>
    </row>
    <row r="5" spans="1:29">
      <c r="A5" s="358"/>
      <c r="B5" s="359"/>
      <c r="C5" s="3751" t="s">
        <v>1673</v>
      </c>
      <c r="D5" s="3752"/>
      <c r="E5" s="3758" t="s">
        <v>1674</v>
      </c>
      <c r="F5" s="3759"/>
      <c r="G5" s="3751" t="s">
        <v>1675</v>
      </c>
      <c r="H5" s="3752"/>
      <c r="I5" s="3751" t="s">
        <v>1676</v>
      </c>
      <c r="J5" s="3752"/>
      <c r="K5" s="1890"/>
      <c r="L5" s="2715"/>
      <c r="M5" s="2716"/>
      <c r="N5" s="2716"/>
      <c r="O5" s="2716"/>
      <c r="P5" s="3738"/>
      <c r="Q5" s="3739"/>
      <c r="R5" s="3744"/>
      <c r="S5" s="3745"/>
      <c r="T5" s="3744"/>
      <c r="U5" s="3745"/>
      <c r="V5" s="3748"/>
      <c r="W5" s="3748"/>
      <c r="X5" s="1355"/>
      <c r="Y5" s="3744"/>
      <c r="Z5" s="3745"/>
      <c r="AA5" s="3730"/>
      <c r="AB5" s="3730"/>
      <c r="AC5" s="3730"/>
    </row>
    <row r="6" spans="1:29" ht="15" thickBot="1">
      <c r="A6" s="360"/>
      <c r="B6" s="361"/>
      <c r="C6" s="3749" t="s">
        <v>1677</v>
      </c>
      <c r="D6" s="3750"/>
      <c r="E6" s="3756" t="s">
        <v>1677</v>
      </c>
      <c r="F6" s="3757"/>
      <c r="G6" s="3749" t="s">
        <v>1677</v>
      </c>
      <c r="H6" s="3750"/>
      <c r="I6" s="3749" t="s">
        <v>1677</v>
      </c>
      <c r="J6" s="3750"/>
      <c r="K6" s="1890" t="s">
        <v>1678</v>
      </c>
      <c r="L6" s="2715"/>
      <c r="M6" s="2716"/>
      <c r="N6" s="2716"/>
      <c r="O6" s="2716"/>
      <c r="P6" s="3740"/>
      <c r="Q6" s="3741"/>
      <c r="R6" s="3744"/>
      <c r="S6" s="3745"/>
      <c r="T6" s="3746"/>
      <c r="U6" s="3747"/>
      <c r="V6" s="3748"/>
      <c r="W6" s="3748"/>
      <c r="X6" s="1355"/>
      <c r="Y6" s="3746"/>
      <c r="Z6" s="3747"/>
      <c r="AA6" s="3731"/>
      <c r="AB6" s="3731"/>
      <c r="AC6" s="3731"/>
    </row>
    <row r="7" spans="1:29" s="108" customFormat="1" ht="15" thickBot="1">
      <c r="A7" s="362" t="s">
        <v>1679</v>
      </c>
      <c r="B7" s="363"/>
      <c r="C7" s="364">
        <f>'数据-取费表'!B2</f>
        <v>45882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53" t="s">
        <v>1680</v>
      </c>
      <c r="Q7" s="3755"/>
      <c r="R7" s="701" t="s">
        <v>20</v>
      </c>
      <c r="S7" s="702">
        <f t="shared" ref="S7:S15" si="0">F7</f>
        <v>0</v>
      </c>
      <c r="T7" s="701" t="s">
        <v>20</v>
      </c>
      <c r="U7" s="702">
        <f t="shared" ref="U7:U15" si="1">H7</f>
        <v>0</v>
      </c>
      <c r="V7" s="701" t="s">
        <v>20</v>
      </c>
      <c r="W7" s="702">
        <f t="shared" ref="W7:W15" si="2">J7</f>
        <v>0</v>
      </c>
      <c r="X7" s="703"/>
      <c r="Y7" s="3753" t="s">
        <v>1680</v>
      </c>
      <c r="Z7" s="375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53" t="s">
        <v>1683</v>
      </c>
      <c r="Q8" s="3754"/>
      <c r="R8" s="701" t="s">
        <v>20</v>
      </c>
      <c r="S8" s="702">
        <f t="shared" si="0"/>
        <v>100</v>
      </c>
      <c r="T8" s="701" t="s">
        <v>20</v>
      </c>
      <c r="U8" s="702">
        <f t="shared" si="1"/>
        <v>100</v>
      </c>
      <c r="V8" s="701" t="s">
        <v>20</v>
      </c>
      <c r="W8" s="702">
        <f t="shared" si="2"/>
        <v>100</v>
      </c>
      <c r="X8" s="703"/>
      <c r="Y8" s="3753" t="s">
        <v>1683</v>
      </c>
      <c r="Z8" s="375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8"/>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8"/>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8"/>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8"/>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7"/>
      <c r="Q16" s="1352"/>
      <c r="R16" s="705"/>
      <c r="S16" s="706"/>
      <c r="T16" s="705"/>
      <c r="U16" s="706"/>
      <c r="V16" s="705"/>
      <c r="W16" s="706"/>
      <c r="X16" s="1355"/>
      <c r="Y16" s="372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7"/>
      <c r="Q18" s="1352"/>
      <c r="R18" s="705"/>
      <c r="S18" s="706"/>
      <c r="T18" s="705"/>
      <c r="U18" s="706"/>
      <c r="V18" s="705"/>
      <c r="W18" s="706"/>
      <c r="X18" s="1355"/>
      <c r="Y18" s="372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7"/>
      <c r="Q20" s="1352"/>
      <c r="R20" s="705"/>
      <c r="S20" s="706"/>
      <c r="T20" s="705"/>
      <c r="U20" s="706"/>
      <c r="V20" s="705"/>
      <c r="W20" s="706"/>
      <c r="X20" s="1355"/>
      <c r="Y20" s="372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7"/>
      <c r="Q22" s="1352"/>
      <c r="R22" s="705"/>
      <c r="S22" s="706"/>
      <c r="T22" s="705"/>
      <c r="U22" s="706"/>
      <c r="V22" s="705"/>
      <c r="W22" s="706"/>
      <c r="X22" s="1355"/>
      <c r="Y22" s="372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 thickBot="1">
      <c r="A48" s="437" t="s">
        <v>1709</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10.32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32" t="s">
        <v>1770</v>
      </c>
      <c r="D4" s="3733"/>
      <c r="E4" s="3734" t="s">
        <v>1771</v>
      </c>
      <c r="F4" s="3735"/>
      <c r="G4" s="3732" t="s">
        <v>1772</v>
      </c>
      <c r="H4" s="3733"/>
      <c r="I4" s="3732" t="s">
        <v>1773</v>
      </c>
      <c r="J4" s="3733"/>
      <c r="K4" s="559" t="s">
        <v>1774</v>
      </c>
      <c r="L4" s="2715"/>
      <c r="M4" s="2716"/>
      <c r="N4" s="2716"/>
      <c r="O4" s="2716"/>
      <c r="P4" s="3736" t="s">
        <v>1775</v>
      </c>
      <c r="Q4" s="3737"/>
      <c r="R4" s="3742" t="s">
        <v>1771</v>
      </c>
      <c r="S4" s="3743"/>
      <c r="T4" s="3742" t="s">
        <v>1772</v>
      </c>
      <c r="U4" s="3743"/>
      <c r="V4" s="3748" t="s">
        <v>1773</v>
      </c>
      <c r="W4" s="3748"/>
      <c r="X4" s="1355"/>
      <c r="Y4" s="3742" t="s">
        <v>1775</v>
      </c>
      <c r="Z4" s="3743"/>
      <c r="AA4" s="3729" t="s">
        <v>1771</v>
      </c>
      <c r="AB4" s="3748" t="s">
        <v>1772</v>
      </c>
      <c r="AC4" s="3729" t="s">
        <v>1773</v>
      </c>
    </row>
    <row r="5" spans="1:29">
      <c r="A5" s="358"/>
      <c r="B5" s="359"/>
      <c r="C5" s="3751" t="s">
        <v>1673</v>
      </c>
      <c r="D5" s="3752"/>
      <c r="E5" s="3758" t="s">
        <v>1674</v>
      </c>
      <c r="F5" s="3759"/>
      <c r="G5" s="3751" t="s">
        <v>1675</v>
      </c>
      <c r="H5" s="3752"/>
      <c r="I5" s="3751" t="s">
        <v>1676</v>
      </c>
      <c r="J5" s="3752"/>
      <c r="K5" s="559"/>
      <c r="L5" s="2715"/>
      <c r="M5" s="2716"/>
      <c r="N5" s="2716"/>
      <c r="O5" s="2716"/>
      <c r="P5" s="3738"/>
      <c r="Q5" s="3739"/>
      <c r="R5" s="3744"/>
      <c r="S5" s="3745"/>
      <c r="T5" s="3744"/>
      <c r="U5" s="3745"/>
      <c r="V5" s="3748"/>
      <c r="W5" s="3748"/>
      <c r="X5" s="1355"/>
      <c r="Y5" s="3744"/>
      <c r="Z5" s="3745"/>
      <c r="AA5" s="3730"/>
      <c r="AB5" s="3748"/>
      <c r="AC5" s="3730"/>
    </row>
    <row r="6" spans="1:29" ht="15" thickBot="1">
      <c r="A6" s="360"/>
      <c r="B6" s="361"/>
      <c r="C6" s="3749" t="s">
        <v>1677</v>
      </c>
      <c r="D6" s="3750"/>
      <c r="E6" s="3756" t="s">
        <v>1677</v>
      </c>
      <c r="F6" s="3757"/>
      <c r="G6" s="3749" t="s">
        <v>1677</v>
      </c>
      <c r="H6" s="3750"/>
      <c r="I6" s="3749" t="s">
        <v>1677</v>
      </c>
      <c r="J6" s="3750"/>
      <c r="K6" s="559" t="s">
        <v>1678</v>
      </c>
      <c r="L6" s="2715"/>
      <c r="M6" s="2716"/>
      <c r="N6" s="2716"/>
      <c r="O6" s="2716"/>
      <c r="P6" s="3740"/>
      <c r="Q6" s="3741"/>
      <c r="R6" s="3744"/>
      <c r="S6" s="3745"/>
      <c r="T6" s="3746"/>
      <c r="U6" s="3747"/>
      <c r="V6" s="3748"/>
      <c r="W6" s="3748"/>
      <c r="X6" s="1355"/>
      <c r="Y6" s="3746"/>
      <c r="Z6" s="3747"/>
      <c r="AA6" s="3731"/>
      <c r="AB6" s="3748"/>
      <c r="AC6" s="3731"/>
    </row>
    <row r="7" spans="1:29" s="108" customFormat="1" ht="15" thickBot="1">
      <c r="A7" s="362" t="s">
        <v>1679</v>
      </c>
      <c r="B7" s="363"/>
      <c r="C7" s="364">
        <f>'数据-取费表'!B2</f>
        <v>45882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3" t="s">
        <v>1680</v>
      </c>
      <c r="Q7" s="3755"/>
      <c r="R7" s="701" t="s">
        <v>14</v>
      </c>
      <c r="S7" s="702">
        <f t="shared" ref="S7:S15" si="0">F7</f>
        <v>0</v>
      </c>
      <c r="T7" s="701" t="s">
        <v>14</v>
      </c>
      <c r="U7" s="702">
        <f t="shared" ref="U7:U15" si="1">H7</f>
        <v>0</v>
      </c>
      <c r="V7" s="701" t="s">
        <v>14</v>
      </c>
      <c r="W7" s="702">
        <f t="shared" ref="W7:W15" si="2">J7</f>
        <v>0</v>
      </c>
      <c r="X7" s="703"/>
      <c r="Y7" s="3753" t="s">
        <v>1680</v>
      </c>
      <c r="Z7" s="375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3" t="s">
        <v>1683</v>
      </c>
      <c r="Q8" s="3754"/>
      <c r="R8" s="701" t="s">
        <v>14</v>
      </c>
      <c r="S8" s="702">
        <f t="shared" si="0"/>
        <v>100</v>
      </c>
      <c r="T8" s="701" t="s">
        <v>14</v>
      </c>
      <c r="U8" s="702">
        <f t="shared" si="1"/>
        <v>100</v>
      </c>
      <c r="V8" s="701" t="s">
        <v>14</v>
      </c>
      <c r="W8" s="702">
        <f t="shared" si="2"/>
        <v>100</v>
      </c>
      <c r="X8" s="703"/>
      <c r="Y8" s="3753" t="s">
        <v>1683</v>
      </c>
      <c r="Z8" s="375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7"/>
      <c r="Q22" s="1352"/>
      <c r="R22" s="705"/>
      <c r="S22" s="706"/>
      <c r="T22" s="705"/>
      <c r="U22" s="706"/>
      <c r="V22" s="705"/>
      <c r="W22" s="706"/>
      <c r="X22" s="1355"/>
      <c r="Y22" s="372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17" t="str">
        <f>A47</f>
        <v>成交单价（元/平方米）</v>
      </c>
      <c r="Q47" s="3717"/>
      <c r="R47" s="3748">
        <f>E47</f>
        <v>0</v>
      </c>
      <c r="S47" s="3748"/>
      <c r="T47" s="3748">
        <f>G47</f>
        <v>0</v>
      </c>
      <c r="U47" s="3748"/>
      <c r="V47" s="3748">
        <f>I47</f>
        <v>0</v>
      </c>
      <c r="W47" s="3748"/>
      <c r="X47" s="690"/>
      <c r="Y47" s="712"/>
      <c r="Z47" s="690"/>
      <c r="AA47" s="690"/>
      <c r="AB47" s="690"/>
      <c r="AC47" s="690"/>
    </row>
    <row r="48" spans="1:29" ht="15" thickBot="1">
      <c r="A48" s="437" t="s">
        <v>1793</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10.32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32" t="s">
        <v>1770</v>
      </c>
      <c r="D4" s="3733"/>
      <c r="E4" s="3734" t="s">
        <v>1771</v>
      </c>
      <c r="F4" s="3735"/>
      <c r="G4" s="3732" t="s">
        <v>1772</v>
      </c>
      <c r="H4" s="3733"/>
      <c r="I4" s="3732" t="s">
        <v>1773</v>
      </c>
      <c r="J4" s="3733"/>
      <c r="K4" s="559" t="s">
        <v>1774</v>
      </c>
      <c r="L4" s="2715"/>
      <c r="M4" s="2716"/>
      <c r="N4" s="2716"/>
      <c r="O4" s="2716"/>
      <c r="P4" s="3766" t="s">
        <v>1775</v>
      </c>
      <c r="Q4" s="3767"/>
      <c r="R4" s="3770" t="s">
        <v>1771</v>
      </c>
      <c r="S4" s="3771"/>
      <c r="T4" s="3770" t="s">
        <v>1772</v>
      </c>
      <c r="U4" s="3771"/>
      <c r="V4" s="3772" t="s">
        <v>1773</v>
      </c>
      <c r="W4" s="3772"/>
      <c r="X4" s="1958"/>
      <c r="Y4" s="3770" t="s">
        <v>1775</v>
      </c>
      <c r="Z4" s="3771"/>
      <c r="AA4" s="3774" t="s">
        <v>1771</v>
      </c>
      <c r="AB4" s="3774" t="s">
        <v>1772</v>
      </c>
      <c r="AC4" s="3763" t="s">
        <v>1773</v>
      </c>
    </row>
    <row r="5" spans="1:29">
      <c r="A5" s="358"/>
      <c r="B5" s="359"/>
      <c r="C5" s="3751" t="s">
        <v>1673</v>
      </c>
      <c r="D5" s="3752"/>
      <c r="E5" s="3758" t="s">
        <v>1674</v>
      </c>
      <c r="F5" s="3759"/>
      <c r="G5" s="3751" t="s">
        <v>1675</v>
      </c>
      <c r="H5" s="3752"/>
      <c r="I5" s="3751" t="s">
        <v>1676</v>
      </c>
      <c r="J5" s="3752"/>
      <c r="K5" s="559"/>
      <c r="L5" s="2715"/>
      <c r="M5" s="2716"/>
      <c r="N5" s="2716"/>
      <c r="O5" s="2716"/>
      <c r="P5" s="3768"/>
      <c r="Q5" s="3739"/>
      <c r="R5" s="3744"/>
      <c r="S5" s="3745"/>
      <c r="T5" s="3744"/>
      <c r="U5" s="3745"/>
      <c r="V5" s="3748"/>
      <c r="W5" s="3748"/>
      <c r="X5" s="1355"/>
      <c r="Y5" s="3744"/>
      <c r="Z5" s="3745"/>
      <c r="AA5" s="3730"/>
      <c r="AB5" s="3730"/>
      <c r="AC5" s="3764"/>
    </row>
    <row r="6" spans="1:29" ht="15" thickBot="1">
      <c r="A6" s="360"/>
      <c r="B6" s="361"/>
      <c r="C6" s="3749" t="s">
        <v>1677</v>
      </c>
      <c r="D6" s="3750"/>
      <c r="E6" s="3756" t="s">
        <v>1677</v>
      </c>
      <c r="F6" s="3757"/>
      <c r="G6" s="3749" t="s">
        <v>1677</v>
      </c>
      <c r="H6" s="3750"/>
      <c r="I6" s="3749" t="s">
        <v>1677</v>
      </c>
      <c r="J6" s="3750"/>
      <c r="K6" s="559" t="s">
        <v>1678</v>
      </c>
      <c r="L6" s="2715"/>
      <c r="M6" s="2716"/>
      <c r="N6" s="2716"/>
      <c r="O6" s="2716"/>
      <c r="P6" s="3769"/>
      <c r="Q6" s="3741"/>
      <c r="R6" s="3744"/>
      <c r="S6" s="3745"/>
      <c r="T6" s="3746"/>
      <c r="U6" s="3747"/>
      <c r="V6" s="3748"/>
      <c r="W6" s="3748"/>
      <c r="X6" s="1355"/>
      <c r="Y6" s="3746"/>
      <c r="Z6" s="3747"/>
      <c r="AA6" s="3731"/>
      <c r="AB6" s="3731"/>
      <c r="AC6" s="3765"/>
    </row>
    <row r="7" spans="1:29" s="108" customFormat="1" ht="15" thickBot="1">
      <c r="A7" s="362" t="s">
        <v>1679</v>
      </c>
      <c r="B7" s="363"/>
      <c r="C7" s="364">
        <f>'数据-取费表'!B2</f>
        <v>45882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3" t="s">
        <v>1680</v>
      </c>
      <c r="Q7" s="3755"/>
      <c r="R7" s="701" t="s">
        <v>14</v>
      </c>
      <c r="S7" s="702">
        <f t="shared" ref="S7:S15" si="0">F7</f>
        <v>0</v>
      </c>
      <c r="T7" s="701" t="s">
        <v>14</v>
      </c>
      <c r="U7" s="702">
        <f t="shared" ref="U7:U15" si="1">H7</f>
        <v>0</v>
      </c>
      <c r="V7" s="701" t="s">
        <v>14</v>
      </c>
      <c r="W7" s="702">
        <f t="shared" ref="W7:W15" si="2">J7</f>
        <v>0</v>
      </c>
      <c r="X7" s="703"/>
      <c r="Y7" s="3753" t="s">
        <v>1680</v>
      </c>
      <c r="Z7" s="375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3" t="s">
        <v>1683</v>
      </c>
      <c r="Q8" s="3754"/>
      <c r="R8" s="701" t="s">
        <v>14</v>
      </c>
      <c r="S8" s="702">
        <f t="shared" si="0"/>
        <v>100</v>
      </c>
      <c r="T8" s="701" t="s">
        <v>14</v>
      </c>
      <c r="U8" s="702">
        <f t="shared" si="1"/>
        <v>100</v>
      </c>
      <c r="V8" s="701" t="s">
        <v>14</v>
      </c>
      <c r="W8" s="702">
        <f t="shared" si="2"/>
        <v>100</v>
      </c>
      <c r="X8" s="703"/>
      <c r="Y8" s="3753" t="s">
        <v>1683</v>
      </c>
      <c r="Z8" s="375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7"/>
      <c r="Q22" s="1352"/>
      <c r="R22" s="705"/>
      <c r="S22" s="706"/>
      <c r="T22" s="705"/>
      <c r="U22" s="706"/>
      <c r="V22" s="705"/>
      <c r="W22" s="706"/>
      <c r="X22" s="1355"/>
      <c r="Y22" s="372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8" t="str">
        <f>A48</f>
        <v>成交单价（元/平方米）</v>
      </c>
      <c r="Q48" s="3717"/>
      <c r="R48" s="3718">
        <f>E48</f>
        <v>0</v>
      </c>
      <c r="S48" s="3718"/>
      <c r="T48" s="3718">
        <f>G48</f>
        <v>0</v>
      </c>
      <c r="U48" s="3718"/>
      <c r="V48" s="3718">
        <f>I48</f>
        <v>0</v>
      </c>
      <c r="W48" s="3718"/>
      <c r="X48" s="397"/>
      <c r="Y48" s="712"/>
      <c r="Z48" s="397"/>
      <c r="AA48" s="397"/>
      <c r="AB48" s="397"/>
      <c r="AC48" s="578"/>
    </row>
    <row r="49" spans="1:29" ht="15" thickBot="1">
      <c r="A49" s="437" t="s">
        <v>1793</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28"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2025年8月13日（评估专业人员实地查勘之日）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913"/>
      <c r="M4" s="914"/>
      <c r="N4" s="914"/>
      <c r="O4" s="914"/>
      <c r="P4" s="3736" t="s">
        <v>1775</v>
      </c>
      <c r="Q4" s="3737"/>
      <c r="R4" s="3742" t="s">
        <v>1771</v>
      </c>
      <c r="S4" s="3743"/>
      <c r="T4" s="3742" t="s">
        <v>1772</v>
      </c>
      <c r="U4" s="3743"/>
      <c r="V4" s="3748" t="s">
        <v>1773</v>
      </c>
      <c r="W4" s="3748"/>
      <c r="X4" s="1355"/>
      <c r="Y4" s="3742" t="s">
        <v>1775</v>
      </c>
      <c r="Z4" s="3743"/>
      <c r="AA4" s="3729" t="s">
        <v>1771</v>
      </c>
      <c r="AB4" s="3730" t="s">
        <v>1772</v>
      </c>
      <c r="AC4" s="3729" t="s">
        <v>1773</v>
      </c>
    </row>
    <row r="5" spans="1:29">
      <c r="A5" s="358"/>
      <c r="B5" s="359"/>
      <c r="C5" s="3751" t="s">
        <v>1673</v>
      </c>
      <c r="D5" s="3752"/>
      <c r="E5" s="3758" t="s">
        <v>1674</v>
      </c>
      <c r="F5" s="3759"/>
      <c r="G5" s="3751" t="s">
        <v>1675</v>
      </c>
      <c r="H5" s="3752"/>
      <c r="I5" s="3751" t="s">
        <v>1676</v>
      </c>
      <c r="J5" s="3752"/>
      <c r="K5" s="559"/>
      <c r="L5" s="913"/>
      <c r="M5" s="914"/>
      <c r="N5" s="914"/>
      <c r="O5" s="914"/>
      <c r="P5" s="3738"/>
      <c r="Q5" s="3739"/>
      <c r="R5" s="3744"/>
      <c r="S5" s="3745"/>
      <c r="T5" s="3744"/>
      <c r="U5" s="3745"/>
      <c r="V5" s="3748"/>
      <c r="W5" s="3748"/>
      <c r="X5" s="1355"/>
      <c r="Y5" s="3744"/>
      <c r="Z5" s="3745"/>
      <c r="AA5" s="3730"/>
      <c r="AB5" s="3730"/>
      <c r="AC5" s="3730"/>
    </row>
    <row r="6" spans="1:29" ht="15" thickBot="1">
      <c r="A6" s="360"/>
      <c r="B6" s="361"/>
      <c r="C6" s="3749" t="s">
        <v>1677</v>
      </c>
      <c r="D6" s="3750"/>
      <c r="E6" s="3756" t="s">
        <v>1677</v>
      </c>
      <c r="F6" s="3757"/>
      <c r="G6" s="3749" t="s">
        <v>1677</v>
      </c>
      <c r="H6" s="3750"/>
      <c r="I6" s="3749" t="s">
        <v>1677</v>
      </c>
      <c r="J6" s="3750"/>
      <c r="K6" s="559" t="s">
        <v>1678</v>
      </c>
      <c r="L6" s="913"/>
      <c r="M6" s="914"/>
      <c r="N6" s="914"/>
      <c r="O6" s="914"/>
      <c r="P6" s="3740"/>
      <c r="Q6" s="3741"/>
      <c r="R6" s="3744"/>
      <c r="S6" s="3745"/>
      <c r="T6" s="3746"/>
      <c r="U6" s="3747"/>
      <c r="V6" s="3748"/>
      <c r="W6" s="3748"/>
      <c r="X6" s="1355"/>
      <c r="Y6" s="3746"/>
      <c r="Z6" s="3747"/>
      <c r="AA6" s="3731"/>
      <c r="AB6" s="3731"/>
      <c r="AC6" s="3731"/>
    </row>
    <row r="7" spans="1:29" s="108" customFormat="1" ht="15" thickBot="1">
      <c r="A7" s="362" t="s">
        <v>1679</v>
      </c>
      <c r="B7" s="363"/>
      <c r="C7" s="364">
        <f>'数据-取费表'!B2</f>
        <v>45882</v>
      </c>
      <c r="D7" s="365">
        <v>100</v>
      </c>
      <c r="E7" s="366"/>
      <c r="F7" s="367">
        <f>SUMIF(52:52,YEAR(E7)&amp;"-"&amp;MONTH(E7),53:53)</f>
        <v>0</v>
      </c>
      <c r="G7" s="366"/>
      <c r="H7" s="365">
        <f>SUMIF(52:52,YEAR(G7)&amp;"-"&amp;MONTH(G7),53:53)</f>
        <v>0</v>
      </c>
      <c r="I7" s="366"/>
      <c r="J7" s="365">
        <f>SUMIF(52:52,YEAR(I7)&amp;"-"&amp;MONTH(I7),53:53)</f>
        <v>0</v>
      </c>
      <c r="K7" s="560"/>
      <c r="L7" s="915"/>
      <c r="M7" s="916"/>
      <c r="N7" s="916"/>
      <c r="O7" s="916"/>
      <c r="P7" s="3753" t="s">
        <v>1680</v>
      </c>
      <c r="Q7" s="3755"/>
      <c r="R7" s="701" t="s">
        <v>14</v>
      </c>
      <c r="S7" s="702">
        <f t="shared" ref="S7:S15" si="0">F7</f>
        <v>0</v>
      </c>
      <c r="T7" s="701" t="s">
        <v>14</v>
      </c>
      <c r="U7" s="702">
        <f t="shared" ref="U7:U15" si="1">H7</f>
        <v>0</v>
      </c>
      <c r="V7" s="701" t="s">
        <v>14</v>
      </c>
      <c r="W7" s="702">
        <f t="shared" ref="W7:W15" si="2">J7</f>
        <v>0</v>
      </c>
      <c r="X7" s="703"/>
      <c r="Y7" s="3753" t="s">
        <v>1680</v>
      </c>
      <c r="Z7" s="375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3" t="s">
        <v>1683</v>
      </c>
      <c r="Q8" s="3754"/>
      <c r="R8" s="701" t="s">
        <v>14</v>
      </c>
      <c r="S8" s="702">
        <f t="shared" si="0"/>
        <v>100</v>
      </c>
      <c r="T8" s="701" t="s">
        <v>14</v>
      </c>
      <c r="U8" s="702">
        <f t="shared" si="1"/>
        <v>100</v>
      </c>
      <c r="V8" s="701" t="s">
        <v>14</v>
      </c>
      <c r="W8" s="702">
        <f t="shared" si="2"/>
        <v>100</v>
      </c>
      <c r="X8" s="703"/>
      <c r="Y8" s="3753" t="s">
        <v>1683</v>
      </c>
      <c r="Z8" s="375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5"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 thickBot="1">
      <c r="A42" s="437" t="s">
        <v>1793</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5"/>
      <c r="M4" s="2716"/>
      <c r="N4" s="2716"/>
      <c r="O4" s="2716"/>
      <c r="P4" s="3736" t="s">
        <v>1775</v>
      </c>
      <c r="Q4" s="3737"/>
      <c r="R4" s="3742" t="s">
        <v>1771</v>
      </c>
      <c r="S4" s="3743"/>
      <c r="T4" s="3742" t="s">
        <v>1772</v>
      </c>
      <c r="U4" s="3743"/>
      <c r="V4" s="3748" t="s">
        <v>1773</v>
      </c>
      <c r="W4" s="3748"/>
      <c r="X4" s="1355"/>
      <c r="Y4" s="3742" t="s">
        <v>1775</v>
      </c>
      <c r="Z4" s="3743"/>
      <c r="AA4" s="3729" t="s">
        <v>1771</v>
      </c>
      <c r="AB4" s="3730" t="s">
        <v>1772</v>
      </c>
      <c r="AC4" s="3729" t="s">
        <v>1773</v>
      </c>
    </row>
    <row r="5" spans="1:29">
      <c r="A5" s="358"/>
      <c r="B5" s="359"/>
      <c r="C5" s="3751" t="s">
        <v>1673</v>
      </c>
      <c r="D5" s="3752"/>
      <c r="E5" s="3758" t="s">
        <v>1674</v>
      </c>
      <c r="F5" s="3759"/>
      <c r="G5" s="3751" t="s">
        <v>1675</v>
      </c>
      <c r="H5" s="3752"/>
      <c r="I5" s="3751" t="s">
        <v>1676</v>
      </c>
      <c r="J5" s="3752"/>
      <c r="K5" s="559"/>
      <c r="L5" s="2715"/>
      <c r="M5" s="2716"/>
      <c r="N5" s="2716"/>
      <c r="O5" s="2716"/>
      <c r="P5" s="3738"/>
      <c r="Q5" s="3739"/>
      <c r="R5" s="3744"/>
      <c r="S5" s="3745"/>
      <c r="T5" s="3744"/>
      <c r="U5" s="3745"/>
      <c r="V5" s="3748"/>
      <c r="W5" s="3748"/>
      <c r="X5" s="1355"/>
      <c r="Y5" s="3744"/>
      <c r="Z5" s="3745"/>
      <c r="AA5" s="3730"/>
      <c r="AB5" s="3730"/>
      <c r="AC5" s="3730"/>
    </row>
    <row r="6" spans="1:29" ht="15" thickBot="1">
      <c r="A6" s="360"/>
      <c r="B6" s="361"/>
      <c r="C6" s="3749" t="s">
        <v>1677</v>
      </c>
      <c r="D6" s="3750"/>
      <c r="E6" s="3756" t="s">
        <v>1677</v>
      </c>
      <c r="F6" s="3757"/>
      <c r="G6" s="3749" t="s">
        <v>1677</v>
      </c>
      <c r="H6" s="3750"/>
      <c r="I6" s="3749" t="s">
        <v>1677</v>
      </c>
      <c r="J6" s="3750"/>
      <c r="K6" s="559" t="s">
        <v>1678</v>
      </c>
      <c r="L6" s="2715"/>
      <c r="M6" s="2716"/>
      <c r="N6" s="2716"/>
      <c r="O6" s="2716"/>
      <c r="P6" s="3740"/>
      <c r="Q6" s="3741"/>
      <c r="R6" s="3744"/>
      <c r="S6" s="3745"/>
      <c r="T6" s="3746"/>
      <c r="U6" s="3747"/>
      <c r="V6" s="3748"/>
      <c r="W6" s="3748"/>
      <c r="X6" s="1355"/>
      <c r="Y6" s="3746"/>
      <c r="Z6" s="3747"/>
      <c r="AA6" s="3731"/>
      <c r="AB6" s="3731"/>
      <c r="AC6" s="3731"/>
    </row>
    <row r="7" spans="1:29" s="108" customFormat="1" ht="15" thickBot="1">
      <c r="A7" s="362" t="s">
        <v>1679</v>
      </c>
      <c r="B7" s="363"/>
      <c r="C7" s="364">
        <f>'数据-取费表'!B2</f>
        <v>45882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3" t="s">
        <v>1680</v>
      </c>
      <c r="Q7" s="3755"/>
      <c r="R7" s="701" t="s">
        <v>14</v>
      </c>
      <c r="S7" s="702">
        <f t="shared" ref="S7:S14" si="0">F7</f>
        <v>0</v>
      </c>
      <c r="T7" s="701" t="s">
        <v>14</v>
      </c>
      <c r="U7" s="702">
        <f t="shared" ref="U7:U14" si="1">H7</f>
        <v>0</v>
      </c>
      <c r="V7" s="701" t="s">
        <v>14</v>
      </c>
      <c r="W7" s="702">
        <f t="shared" ref="W7:W14" si="2">J7</f>
        <v>0</v>
      </c>
      <c r="X7" s="703"/>
      <c r="Y7" s="3753" t="s">
        <v>1680</v>
      </c>
      <c r="Z7" s="375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3" t="s">
        <v>1683</v>
      </c>
      <c r="Q8" s="3754"/>
      <c r="R8" s="701" t="s">
        <v>14</v>
      </c>
      <c r="S8" s="702">
        <f t="shared" si="0"/>
        <v>100</v>
      </c>
      <c r="T8" s="701" t="s">
        <v>14</v>
      </c>
      <c r="U8" s="702">
        <f t="shared" si="1"/>
        <v>100</v>
      </c>
      <c r="V8" s="701" t="s">
        <v>14</v>
      </c>
      <c r="W8" s="702">
        <f t="shared" si="2"/>
        <v>100</v>
      </c>
      <c r="X8" s="703"/>
      <c r="Y8" s="3753" t="s">
        <v>1683</v>
      </c>
      <c r="Z8" s="375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0"/>
      <c r="Q15" s="1352"/>
      <c r="R15" s="705"/>
      <c r="S15" s="706"/>
      <c r="T15" s="705"/>
      <c r="U15" s="706"/>
      <c r="V15" s="705"/>
      <c r="W15" s="706"/>
      <c r="X15" s="1355"/>
      <c r="Y15" s="372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0"/>
      <c r="Q17" s="1352"/>
      <c r="R17" s="705"/>
      <c r="S17" s="706"/>
      <c r="T17" s="705"/>
      <c r="U17" s="706"/>
      <c r="V17" s="705"/>
      <c r="W17" s="706"/>
      <c r="X17" s="1355"/>
      <c r="Y17" s="372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0"/>
      <c r="Q19" s="1352"/>
      <c r="R19" s="705"/>
      <c r="S19" s="706"/>
      <c r="T19" s="705"/>
      <c r="U19" s="706"/>
      <c r="V19" s="705"/>
      <c r="W19" s="706"/>
      <c r="X19" s="1355"/>
      <c r="Y19" s="372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4.4">
      <c r="A37" s="430" t="s">
        <v>1844</v>
      </c>
      <c r="B37" s="1973" t="s">
        <v>3351</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 thickBot="1">
      <c r="A38" s="437" t="s">
        <v>1845</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4" t="str">
        <f>A39</f>
        <v>估价对象XX用房的比较价值（楼面单价，元/平方米）</v>
      </c>
      <c r="Q39" s="3715"/>
      <c r="R39" s="3776" t="e">
        <f>IF(F1="售价",ROUND(IF(D38="简单平均",AVERAGE(R38:W38),R38*F38+T38*H38+V38*J38),0),ROUND(IF(D38="简单平均",AVERAGE(R38:V38),R38*F38+T38*H38+V38*J38),1))</f>
        <v>#DIV/0!</v>
      </c>
      <c r="S39" s="3776"/>
      <c r="T39" s="3776"/>
      <c r="U39" s="3776"/>
      <c r="V39" s="3776"/>
      <c r="W39" s="377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C87" sqref="C87:G88"/>
    </sheetView>
  </sheetViews>
  <sheetFormatPr defaultColWidth="9" defaultRowHeight="13.8"/>
  <cols>
    <col min="1" max="1" width="10.44140625" style="357" customWidth="1"/>
    <col min="2" max="2" width="15.77734375" style="357" customWidth="1"/>
    <col min="3" max="3" width="16.44140625" style="357" customWidth="1"/>
    <col min="4" max="4" width="12.21875" style="357" customWidth="1"/>
    <col min="5" max="5" width="14.33203125" style="357" customWidth="1"/>
    <col min="6" max="6" width="12.21875" style="357" customWidth="1"/>
    <col min="7" max="7" width="16.7773437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t="s">
        <v>4383</v>
      </c>
      <c r="F1" s="1879" t="s">
        <v>4384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IF(E1="项目模式",IF(C2="——",ROUND(C37*D3/10000,0),ROUND(C37*D3/10000,0)-D2),IF(E1="单套模式",IF(C2="——",ROUND(C37*D3/10000,4),ROUND(C37*D3/10000,4)-D2)))</f>
        <v>5.7306999999999997</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5553</v>
      </c>
      <c r="C3" s="354" t="s">
        <v>1768</v>
      </c>
      <c r="D3" s="353">
        <f>SUMIF('数据-汇总表'!$C19:$C33,D1,'数据-汇总表'!$E19:$E33)</f>
        <v>10.32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5"/>
      <c r="M4" s="2716"/>
      <c r="N4" s="2716"/>
      <c r="O4" s="2716"/>
      <c r="P4" s="3736" t="s">
        <v>1775</v>
      </c>
      <c r="Q4" s="3737"/>
      <c r="R4" s="3742" t="s">
        <v>1771</v>
      </c>
      <c r="S4" s="3743"/>
      <c r="T4" s="3742" t="s">
        <v>1772</v>
      </c>
      <c r="U4" s="3743"/>
      <c r="V4" s="3748" t="s">
        <v>1773</v>
      </c>
      <c r="W4" s="3748"/>
      <c r="X4" s="1355"/>
      <c r="Y4" s="3742" t="s">
        <v>1775</v>
      </c>
      <c r="Z4" s="3743"/>
      <c r="AA4" s="3729" t="s">
        <v>1771</v>
      </c>
      <c r="AB4" s="3730" t="s">
        <v>1772</v>
      </c>
      <c r="AC4" s="3729" t="s">
        <v>1773</v>
      </c>
    </row>
    <row r="5" spans="1:29">
      <c r="A5" s="358"/>
      <c r="B5" s="359"/>
      <c r="C5" s="3777" t="s">
        <v>4385</v>
      </c>
      <c r="D5" s="3752"/>
      <c r="E5" s="3778" t="s">
        <v>4386</v>
      </c>
      <c r="F5" s="3759"/>
      <c r="G5" s="3777" t="s">
        <v>4387</v>
      </c>
      <c r="H5" s="3752"/>
      <c r="I5" s="3777" t="s">
        <v>4387</v>
      </c>
      <c r="J5" s="3752"/>
      <c r="K5" s="559"/>
      <c r="L5" s="2715"/>
      <c r="M5" s="2716"/>
      <c r="N5" s="2716"/>
      <c r="O5" s="2716"/>
      <c r="P5" s="3738"/>
      <c r="Q5" s="3739"/>
      <c r="R5" s="3744"/>
      <c r="S5" s="3745"/>
      <c r="T5" s="3744"/>
      <c r="U5" s="3745"/>
      <c r="V5" s="3748"/>
      <c r="W5" s="3748"/>
      <c r="X5" s="1355"/>
      <c r="Y5" s="3744"/>
      <c r="Z5" s="3745"/>
      <c r="AA5" s="3730"/>
      <c r="AB5" s="3730"/>
      <c r="AC5" s="3730"/>
    </row>
    <row r="6" spans="1:29" ht="15" thickBot="1">
      <c r="A6" s="360"/>
      <c r="B6" s="361"/>
      <c r="C6" s="3749" t="s">
        <v>1677</v>
      </c>
      <c r="D6" s="3750"/>
      <c r="E6" s="3756" t="s">
        <v>1677</v>
      </c>
      <c r="F6" s="3757"/>
      <c r="G6" s="3749" t="s">
        <v>1677</v>
      </c>
      <c r="H6" s="3750"/>
      <c r="I6" s="3749" t="s">
        <v>1677</v>
      </c>
      <c r="J6" s="3750"/>
      <c r="K6" s="559" t="s">
        <v>1678</v>
      </c>
      <c r="L6" s="2715"/>
      <c r="M6" s="2716"/>
      <c r="N6" s="2716"/>
      <c r="O6" s="2716"/>
      <c r="P6" s="3740"/>
      <c r="Q6" s="3741"/>
      <c r="R6" s="3744"/>
      <c r="S6" s="3745"/>
      <c r="T6" s="3746"/>
      <c r="U6" s="3747"/>
      <c r="V6" s="3748"/>
      <c r="W6" s="3748"/>
      <c r="X6" s="1355"/>
      <c r="Y6" s="3746"/>
      <c r="Z6" s="3747"/>
      <c r="AA6" s="3731"/>
      <c r="AB6" s="3731"/>
      <c r="AC6" s="3731"/>
    </row>
    <row r="7" spans="1:29" s="108" customFormat="1" ht="15" thickBot="1">
      <c r="A7" s="362" t="s">
        <v>1679</v>
      </c>
      <c r="B7" s="363"/>
      <c r="C7" s="364">
        <f>'数据-取费表'!B2</f>
        <v>45882</v>
      </c>
      <c r="D7" s="365">
        <v>100</v>
      </c>
      <c r="E7" s="366">
        <v>45870</v>
      </c>
      <c r="F7" s="367">
        <f>SUMIF(46:46,YEAR(E7)&amp;"-"&amp;MONTH(E7),47:47)</f>
        <v>100</v>
      </c>
      <c r="G7" s="1974">
        <v>45726</v>
      </c>
      <c r="H7" s="365">
        <f>SUMIF(46:46,YEAR(G7)&amp;"-"&amp;MONTH(G7),47:47)</f>
        <v>100.2</v>
      </c>
      <c r="I7" s="366">
        <v>45721</v>
      </c>
      <c r="J7" s="365">
        <f>SUMIF(46:46,YEAR(I7)&amp;"-"&amp;MONTH(I7),47:47)</f>
        <v>100.2</v>
      </c>
      <c r="K7" s="560"/>
      <c r="L7" s="2717"/>
      <c r="M7" s="2718"/>
      <c r="N7" s="2718"/>
      <c r="O7" s="2718"/>
      <c r="P7" s="3753" t="s">
        <v>1680</v>
      </c>
      <c r="Q7" s="3755"/>
      <c r="R7" s="701" t="s">
        <v>14</v>
      </c>
      <c r="S7" s="702">
        <f t="shared" ref="S7:S14" si="0">F7</f>
        <v>100</v>
      </c>
      <c r="T7" s="701" t="s">
        <v>14</v>
      </c>
      <c r="U7" s="702">
        <f t="shared" ref="U7:U14" si="1">H7</f>
        <v>100.2</v>
      </c>
      <c r="V7" s="701" t="s">
        <v>14</v>
      </c>
      <c r="W7" s="702">
        <f t="shared" ref="W7:W14" si="2">J7</f>
        <v>100.2</v>
      </c>
      <c r="X7" s="703"/>
      <c r="Y7" s="3753" t="s">
        <v>1680</v>
      </c>
      <c r="Z7" s="3754"/>
      <c r="AA7" s="704">
        <f>D7/F7</f>
        <v>1</v>
      </c>
      <c r="AB7" s="704">
        <f>D7/H7</f>
        <v>0.99800399201596801</v>
      </c>
      <c r="AC7" s="704">
        <f>D7/J7</f>
        <v>0.99800399201596801</v>
      </c>
    </row>
    <row r="8" spans="1:29" s="108" customFormat="1" ht="15" thickBot="1">
      <c r="A8" s="362" t="s">
        <v>1681</v>
      </c>
      <c r="B8" s="363"/>
      <c r="C8" s="368" t="s">
        <v>4388</v>
      </c>
      <c r="D8" s="365">
        <v>100</v>
      </c>
      <c r="E8" s="368" t="s">
        <v>4388</v>
      </c>
      <c r="F8" s="367">
        <f>SUMIF(49:49,E8,50:50)-SUMIF(49:49,C8,50:50)+100</f>
        <v>100</v>
      </c>
      <c r="G8" s="368" t="s">
        <v>4388</v>
      </c>
      <c r="H8" s="365">
        <f>SUMIF(49:49,G8,50:50)-SUMIF(49:49,C8,50:50)+100</f>
        <v>100</v>
      </c>
      <c r="I8" s="368" t="s">
        <v>4388</v>
      </c>
      <c r="J8" s="365">
        <f>SUMIF(49:49,I8,50:50)-SUMIF(49:49,C8,50:50)+100</f>
        <v>100</v>
      </c>
      <c r="K8" s="560"/>
      <c r="L8" s="2717"/>
      <c r="M8" s="2718"/>
      <c r="N8" s="2718"/>
      <c r="O8" s="2718"/>
      <c r="P8" s="3753" t="s">
        <v>1683</v>
      </c>
      <c r="Q8" s="3754"/>
      <c r="R8" s="701" t="s">
        <v>14</v>
      </c>
      <c r="S8" s="702">
        <f t="shared" si="0"/>
        <v>100</v>
      </c>
      <c r="T8" s="701" t="s">
        <v>14</v>
      </c>
      <c r="U8" s="702">
        <f t="shared" si="1"/>
        <v>100</v>
      </c>
      <c r="V8" s="701" t="s">
        <v>14</v>
      </c>
      <c r="W8" s="702">
        <f t="shared" si="2"/>
        <v>100</v>
      </c>
      <c r="X8" s="703"/>
      <c r="Y8" s="3753" t="s">
        <v>1683</v>
      </c>
      <c r="Z8" s="375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2.8">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102</v>
      </c>
      <c r="G14" s="395"/>
      <c r="H14" s="392">
        <f>SUMIF(61:61,G15,62:62)-SUMIF(61:61,C15,62:62)+100</f>
        <v>102</v>
      </c>
      <c r="I14" s="393"/>
      <c r="J14" s="392">
        <f>SUMIF(61:61,I15,62:62)-SUMIF(61:61,C15,62:62)+100</f>
        <v>102</v>
      </c>
      <c r="K14" s="563">
        <v>2</v>
      </c>
      <c r="L14" s="2722"/>
      <c r="M14" s="2716"/>
      <c r="N14" s="2716"/>
      <c r="O14" s="2774"/>
      <c r="P14" s="3719" t="s">
        <v>1691</v>
      </c>
      <c r="Q14" s="1352" t="str">
        <f t="shared" si="6"/>
        <v>交通便捷度</v>
      </c>
      <c r="R14" s="705" t="s">
        <v>14</v>
      </c>
      <c r="S14" s="706">
        <f t="shared" si="0"/>
        <v>102</v>
      </c>
      <c r="T14" s="705" t="s">
        <v>14</v>
      </c>
      <c r="U14" s="706">
        <f t="shared" si="1"/>
        <v>102</v>
      </c>
      <c r="V14" s="705" t="s">
        <v>14</v>
      </c>
      <c r="W14" s="706">
        <f t="shared" si="2"/>
        <v>102</v>
      </c>
      <c r="X14" s="1355"/>
      <c r="Y14" s="3719" t="s">
        <v>1691</v>
      </c>
      <c r="Z14" s="1356" t="str">
        <f t="shared" si="7"/>
        <v>交通便捷度</v>
      </c>
      <c r="AA14" s="1353">
        <f t="shared" si="3"/>
        <v>0.98039215686274506</v>
      </c>
      <c r="AB14" s="1353">
        <f t="shared" si="4"/>
        <v>0.98039215686274506</v>
      </c>
      <c r="AC14" s="1353">
        <f t="shared" si="5"/>
        <v>0.98039215686274506</v>
      </c>
    </row>
    <row r="15" spans="1:29" ht="15">
      <c r="A15" s="379"/>
      <c r="B15" s="397"/>
      <c r="C15" s="398" t="s">
        <v>4391</v>
      </c>
      <c r="D15" s="399"/>
      <c r="E15" s="398" t="s">
        <v>4389</v>
      </c>
      <c r="F15" s="400"/>
      <c r="G15" s="398" t="s">
        <v>4389</v>
      </c>
      <c r="H15" s="401"/>
      <c r="I15" s="398" t="s">
        <v>4389</v>
      </c>
      <c r="J15" s="399"/>
      <c r="K15" s="564"/>
      <c r="L15" s="2722"/>
      <c r="M15" s="2716"/>
      <c r="N15" s="2716"/>
      <c r="O15" s="2774"/>
      <c r="P15" s="3720"/>
      <c r="Q15" s="1352"/>
      <c r="R15" s="705"/>
      <c r="S15" s="706"/>
      <c r="T15" s="705"/>
      <c r="U15" s="706"/>
      <c r="V15" s="705"/>
      <c r="W15" s="706"/>
      <c r="X15" s="1355"/>
      <c r="Y15" s="372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103</v>
      </c>
      <c r="G16" s="410"/>
      <c r="H16" s="406">
        <f>SUMIF(63:63,G17,64:64)-SUMIF(63:63,C17,64:64)+100</f>
        <v>103</v>
      </c>
      <c r="I16" s="408"/>
      <c r="J16" s="406">
        <f>SUMIF(63:63,I17,64:64)-SUMIF(63:63,C17,64:64)+100</f>
        <v>103</v>
      </c>
      <c r="K16" s="563">
        <v>3</v>
      </c>
      <c r="L16" s="2722"/>
      <c r="M16" s="2716"/>
      <c r="N16" s="2716"/>
      <c r="O16" s="2774"/>
      <c r="P16" s="3720"/>
      <c r="Q16" s="1352" t="str">
        <f>B16</f>
        <v>公共配套设施</v>
      </c>
      <c r="R16" s="705" t="s">
        <v>14</v>
      </c>
      <c r="S16" s="706">
        <f>F16</f>
        <v>103</v>
      </c>
      <c r="T16" s="705" t="s">
        <v>14</v>
      </c>
      <c r="U16" s="706">
        <f>H16</f>
        <v>103</v>
      </c>
      <c r="V16" s="705" t="s">
        <v>14</v>
      </c>
      <c r="W16" s="706">
        <f>J16</f>
        <v>103</v>
      </c>
      <c r="X16" s="1355"/>
      <c r="Y16" s="3720"/>
      <c r="Z16" s="1356" t="str">
        <f>Q16</f>
        <v>公共配套设施</v>
      </c>
      <c r="AA16" s="1353">
        <f t="shared" si="3"/>
        <v>0.970873786407767</v>
      </c>
      <c r="AB16" s="1353">
        <f t="shared" si="4"/>
        <v>0.970873786407767</v>
      </c>
      <c r="AC16" s="1353">
        <f t="shared" si="5"/>
        <v>0.970873786407767</v>
      </c>
    </row>
    <row r="17" spans="1:29" ht="15">
      <c r="A17" s="379"/>
      <c r="B17" s="407"/>
      <c r="C17" s="1901" t="s">
        <v>4389</v>
      </c>
      <c r="D17" s="399"/>
      <c r="E17" s="398" t="s">
        <v>4390</v>
      </c>
      <c r="F17" s="400"/>
      <c r="G17" s="398" t="s">
        <v>4390</v>
      </c>
      <c r="H17" s="399"/>
      <c r="I17" s="398" t="s">
        <v>4390</v>
      </c>
      <c r="J17" s="399"/>
      <c r="K17" s="564"/>
      <c r="L17" s="2722"/>
      <c r="M17" s="2716"/>
      <c r="N17" s="2716"/>
      <c r="O17" s="2774"/>
      <c r="P17" s="3720"/>
      <c r="Q17" s="1352"/>
      <c r="R17" s="705"/>
      <c r="S17" s="706"/>
      <c r="T17" s="705"/>
      <c r="U17" s="706"/>
      <c r="V17" s="705"/>
      <c r="W17" s="706"/>
      <c r="X17" s="1355"/>
      <c r="Y17" s="3720"/>
      <c r="Z17" s="1356"/>
      <c r="AA17" s="1353">
        <v>1</v>
      </c>
      <c r="AB17" s="1353">
        <v>1</v>
      </c>
      <c r="AC17" s="1353">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0"/>
      <c r="Q19" s="1352"/>
      <c r="R19" s="705"/>
      <c r="S19" s="706"/>
      <c r="T19" s="705"/>
      <c r="U19" s="706"/>
      <c r="V19" s="705"/>
      <c r="W19" s="706"/>
      <c r="X19" s="1355"/>
      <c r="Y19" s="372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v>0.9</v>
      </c>
      <c r="D27" s="127">
        <v>100</v>
      </c>
      <c r="E27" s="426">
        <f>C27</f>
        <v>0.9</v>
      </c>
      <c r="F27" s="412">
        <f>LOOKUP(E27,80:80,81:81)-LOOKUP(C27,80:80,81:81)+100</f>
        <v>100</v>
      </c>
      <c r="G27" s="427">
        <f>C27</f>
        <v>0.9</v>
      </c>
      <c r="H27" s="386">
        <f>LOOKUP(G27,80:80,81:81)-LOOKUP(C27,80:80,81:81)+100</f>
        <v>100</v>
      </c>
      <c r="I27" s="427">
        <f>C27</f>
        <v>0.9</v>
      </c>
      <c r="J27" s="386">
        <f>LOOKUP(I27,80:80,81:81)-LOOKUP(C27,80:80,81:81)+100</f>
        <v>100</v>
      </c>
      <c r="K27" s="561"/>
      <c r="L27" s="2721"/>
      <c r="M27" s="2723"/>
      <c r="N27" s="2723"/>
      <c r="O27" s="2775"/>
      <c r="P27" s="3724"/>
      <c r="Q27" s="707" t="str">
        <f t="shared" si="11"/>
        <v>成新率</v>
      </c>
      <c r="R27" s="708" t="s">
        <v>14</v>
      </c>
      <c r="S27" s="709">
        <f t="shared" si="12"/>
        <v>100</v>
      </c>
      <c r="T27" s="708" t="s">
        <v>14</v>
      </c>
      <c r="U27" s="709">
        <f t="shared" si="13"/>
        <v>100</v>
      </c>
      <c r="V27" s="708" t="s">
        <v>14</v>
      </c>
      <c r="W27" s="709">
        <f t="shared" si="14"/>
        <v>100</v>
      </c>
      <c r="X27" s="710"/>
      <c r="Y27" s="3724"/>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f>'数据-汇总表'!G19</f>
        <v>10.32</v>
      </c>
      <c r="D30" s="386">
        <v>100</v>
      </c>
      <c r="E30" s="420">
        <v>15.05</v>
      </c>
      <c r="F30" s="412">
        <f>LOOKUP(E30,87:87,88:88)-LOOKUP(C30,87:87,88:88)+100</f>
        <v>99</v>
      </c>
      <c r="G30" s="420">
        <v>8.36</v>
      </c>
      <c r="H30" s="386">
        <f>LOOKUP(G30,87:87,88:88)-LOOKUP(C30,87:87,88:88)+100</f>
        <v>101</v>
      </c>
      <c r="I30" s="420">
        <v>9.0399999999999991</v>
      </c>
      <c r="J30" s="386">
        <f>LOOKUP(I30,87:87,88:88)-LOOKUP(C30,87:87,88:88)+100</f>
        <v>101</v>
      </c>
      <c r="K30" s="562"/>
      <c r="L30" s="2722"/>
      <c r="M30" s="2716"/>
      <c r="N30" s="2716"/>
      <c r="O30" s="2774"/>
      <c r="P30" s="3724"/>
      <c r="Q30" s="1352" t="str">
        <f t="shared" si="11"/>
        <v>建筑面积</v>
      </c>
      <c r="R30" s="705" t="s">
        <v>14</v>
      </c>
      <c r="S30" s="706">
        <f t="shared" si="12"/>
        <v>99</v>
      </c>
      <c r="T30" s="705" t="s">
        <v>14</v>
      </c>
      <c r="U30" s="706">
        <f t="shared" si="13"/>
        <v>101</v>
      </c>
      <c r="V30" s="705" t="s">
        <v>14</v>
      </c>
      <c r="W30" s="706">
        <f t="shared" si="14"/>
        <v>101</v>
      </c>
      <c r="X30" s="1355"/>
      <c r="Y30" s="3724"/>
      <c r="Z30" s="1356" t="str">
        <f t="shared" si="15"/>
        <v>建筑面积</v>
      </c>
      <c r="AA30" s="1353">
        <f t="shared" si="3"/>
        <v>1.0101010101010102</v>
      </c>
      <c r="AB30" s="1353">
        <f t="shared" si="4"/>
        <v>0.99009900990099009</v>
      </c>
      <c r="AC30" s="1353">
        <f t="shared" si="5"/>
        <v>0.99009900990099009</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4.4">
      <c r="A35" s="430" t="s">
        <v>1708</v>
      </c>
      <c r="B35" s="431"/>
      <c r="C35" s="1154" t="s">
        <v>0</v>
      </c>
      <c r="D35" s="1155"/>
      <c r="E35" s="1156">
        <v>5400</v>
      </c>
      <c r="F35" s="1157"/>
      <c r="G35" s="1158">
        <v>5633</v>
      </c>
      <c r="H35" s="1159"/>
      <c r="I35" s="1156">
        <v>6559</v>
      </c>
      <c r="J35" s="1159"/>
      <c r="K35" s="714"/>
      <c r="L35" s="2724"/>
      <c r="M35" s="2725"/>
      <c r="N35" s="2716"/>
      <c r="O35" s="2725"/>
      <c r="P35" s="3717" t="str">
        <f>A35</f>
        <v>成交单价（元/平方米）</v>
      </c>
      <c r="Q35" s="3717"/>
      <c r="R35" s="3718">
        <f>E35</f>
        <v>5400</v>
      </c>
      <c r="S35" s="3718"/>
      <c r="T35" s="3718">
        <f>G35</f>
        <v>5633</v>
      </c>
      <c r="U35" s="3718"/>
      <c r="V35" s="3718">
        <f>I35</f>
        <v>6559</v>
      </c>
      <c r="W35" s="3718"/>
      <c r="X35" s="690"/>
      <c r="Y35" s="712"/>
      <c r="Z35" s="690"/>
      <c r="AA35" s="690"/>
      <c r="AB35" s="690"/>
      <c r="AC35" s="690"/>
    </row>
    <row r="36" spans="1:30" ht="15" thickBot="1">
      <c r="A36" s="437" t="s">
        <v>1793</v>
      </c>
      <c r="B36" s="438"/>
      <c r="C36" s="1160">
        <f>R37</f>
        <v>5553</v>
      </c>
      <c r="D36" s="2317" t="s">
        <v>2135</v>
      </c>
      <c r="E36" s="1161">
        <f>R36</f>
        <v>5192</v>
      </c>
      <c r="F36" s="2318"/>
      <c r="G36" s="1160">
        <f>T36</f>
        <v>5298</v>
      </c>
      <c r="H36" s="2318"/>
      <c r="I36" s="1161">
        <f>V36</f>
        <v>6169</v>
      </c>
      <c r="J36" s="2318"/>
      <c r="K36" s="2320">
        <f>F36+H36+J36</f>
        <v>0</v>
      </c>
      <c r="L36" s="2724"/>
      <c r="M36" s="2725"/>
      <c r="N36" s="2716"/>
      <c r="O36" s="2725"/>
      <c r="P36" s="3717" t="str">
        <f>A36</f>
        <v>比较价值（元/平方米）</v>
      </c>
      <c r="Q36" s="3717"/>
      <c r="R36" s="3718">
        <f>IF(F1="售价",ROUND(PRODUCT(R35,AA7:AA34),0),ROUND(PRODUCT(R35,AA7:AA34),1))</f>
        <v>5192</v>
      </c>
      <c r="S36" s="3718"/>
      <c r="T36" s="3718">
        <f>IF(F1="售价",ROUND(PRODUCT(T35,AB7:AB34),0),ROUND(PRODUCT(T35,AB7:AB34),1))</f>
        <v>5298</v>
      </c>
      <c r="U36" s="3718"/>
      <c r="V36" s="3718">
        <f>IF(F1="售价",ROUND(PRODUCT(V35,AC7:AC34),0),ROUND(PRODUCT(V35,AC7:AC34),1))</f>
        <v>6169</v>
      </c>
      <c r="W36" s="3718"/>
      <c r="X36" s="690"/>
      <c r="Y36" s="690"/>
      <c r="Z36" s="690"/>
      <c r="AA36" s="690"/>
      <c r="AB36" s="690"/>
      <c r="AC36" s="690"/>
    </row>
    <row r="37" spans="1:30" ht="15" thickBot="1">
      <c r="A37" s="441" t="s">
        <v>1794</v>
      </c>
      <c r="B37" s="442"/>
      <c r="C37" s="1163">
        <f>R37</f>
        <v>5553</v>
      </c>
      <c r="D37" s="1163"/>
      <c r="E37" s="1163"/>
      <c r="F37" s="1163"/>
      <c r="G37" s="1163"/>
      <c r="H37" s="1163"/>
      <c r="I37" s="1163"/>
      <c r="J37" s="1163"/>
      <c r="K37" s="715"/>
      <c r="L37" s="2724"/>
      <c r="M37" s="2725"/>
      <c r="N37" s="2725"/>
      <c r="O37" s="2725"/>
      <c r="P37" s="3714" t="str">
        <f>A37</f>
        <v>估价对象XX用房的比较价值（楼面单价，元/平方米）</v>
      </c>
      <c r="Q37" s="3715"/>
      <c r="R37" s="3776">
        <f>IF(F1="售价",ROUND(IF(D36="简单平均",AVERAGE(R36:W36),R36*F36+T36*H36+V36*J36),0),ROUND(IF(D36="简单平均",AVERAGE(R36:V36),R36*F36+T36*H36+V36*J36),1))</f>
        <v>5553</v>
      </c>
      <c r="S37" s="3776"/>
      <c r="T37" s="3776"/>
      <c r="U37" s="3776"/>
      <c r="V37" s="3776"/>
      <c r="W37" s="377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4.006163328197232E-2</v>
      </c>
      <c r="F40" s="449" t="str">
        <f>IF(OR(E40&gt;=0.3,E40&lt;=-0.3),"超过30%","")</f>
        <v/>
      </c>
      <c r="G40" s="448">
        <f>IF(G35&lt;G36,G36/G35-1,G35/G36-1)</f>
        <v>6.3231408078520124E-2</v>
      </c>
      <c r="H40" s="449" t="str">
        <f>IF(OR(G40&gt;=0.3,G40&lt;=-0.3),"超过30%","")</f>
        <v/>
      </c>
      <c r="I40" s="448">
        <f>IF(I35&lt;I36,I36/I35-1,I35/I36-1)</f>
        <v>6.3219322418544444E-2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2.0416024653312714E-2</v>
      </c>
      <c r="F41" s="449" t="str">
        <f>IF(OR(E41&gt;=0.2,E41&lt;=-0.2),"超过20%","")</f>
        <v/>
      </c>
      <c r="G41" s="448">
        <f>IF(G36&lt;I36,I36/G36-1,G36/I36-1)</f>
        <v>0.16440166100415254</v>
      </c>
      <c r="H41" s="449" t="str">
        <f>IF(OR(G41&gt;=0.2,G41&lt;=-0.2),"超过20%","")</f>
        <v/>
      </c>
      <c r="I41" s="448">
        <f>IF(I36&lt;E36,E36/I36-1,I36/E36-1)</f>
        <v>0.18817411402157158</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4.3148148148148158E-2</v>
      </c>
      <c r="F42" s="449" t="str">
        <f>IF(OR(E42&gt;=0.3,E42&lt;=-0.3),"超过30%","")</f>
        <v/>
      </c>
      <c r="G42" s="448">
        <f>IF(G35&lt;I35,I35/G35-1,G35/I35-1)</f>
        <v>0.16438842535061249</v>
      </c>
      <c r="H42" s="449" t="str">
        <f>IF(OR(G42&gt;=0.3,G42&lt;=-0.3),"超过30%","")</f>
        <v/>
      </c>
      <c r="I42" s="448">
        <f>IF(I35&lt;E35,E35/I35-1,I35/E35-1)</f>
        <v>0.21462962962962973</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v>100</v>
      </c>
      <c r="E47" s="461">
        <v>100.1</v>
      </c>
      <c r="F47" s="461">
        <f>E47</f>
        <v>100.1</v>
      </c>
      <c r="G47" s="461">
        <f>F47</f>
        <v>100.1</v>
      </c>
      <c r="H47" s="461">
        <v>100.2</v>
      </c>
      <c r="I47" s="461">
        <f>H47</f>
        <v>100.2</v>
      </c>
      <c r="J47" s="461">
        <f>H47</f>
        <v>100.2</v>
      </c>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97</v>
      </c>
      <c r="E64" s="493">
        <f>D64-$K16</f>
        <v>94</v>
      </c>
      <c r="F64" s="493">
        <f>E64-$K16</f>
        <v>91</v>
      </c>
      <c r="G64" s="493">
        <f>F64-$K16</f>
        <v>88</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0(含)-5</v>
      </c>
      <c r="D86" s="527" t="str">
        <f t="shared" si="21"/>
        <v>5(含)-10</v>
      </c>
      <c r="E86" s="527" t="str">
        <f t="shared" si="21"/>
        <v>10(含)-15</v>
      </c>
      <c r="F86" s="527" t="str">
        <f t="shared" si="21"/>
        <v>15(含)-20</v>
      </c>
      <c r="G86" s="527" t="str">
        <f t="shared" si="21"/>
        <v>20(含)-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5</v>
      </c>
      <c r="E87" s="544">
        <v>10</v>
      </c>
      <c r="F87" s="544">
        <v>15</v>
      </c>
      <c r="G87" s="544">
        <v>20</v>
      </c>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99</v>
      </c>
      <c r="E88" s="485">
        <v>98</v>
      </c>
      <c r="F88" s="485">
        <v>97</v>
      </c>
      <c r="G88" s="485">
        <v>96</v>
      </c>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32" t="s">
        <v>1770</v>
      </c>
      <c r="D4" s="3733"/>
      <c r="E4" s="3734" t="s">
        <v>1771</v>
      </c>
      <c r="F4" s="3735"/>
      <c r="G4" s="3732" t="s">
        <v>1772</v>
      </c>
      <c r="H4" s="3733"/>
      <c r="I4" s="3732" t="s">
        <v>1773</v>
      </c>
      <c r="J4" s="3733"/>
      <c r="K4" s="559" t="s">
        <v>1774</v>
      </c>
      <c r="L4" s="2715"/>
      <c r="M4" s="2716"/>
      <c r="N4" s="2716"/>
      <c r="O4" s="2716"/>
      <c r="P4" s="3736" t="s">
        <v>1775</v>
      </c>
      <c r="Q4" s="3737"/>
      <c r="R4" s="3742" t="s">
        <v>1771</v>
      </c>
      <c r="S4" s="3743"/>
      <c r="T4" s="3742" t="s">
        <v>1772</v>
      </c>
      <c r="U4" s="3743"/>
      <c r="V4" s="3748" t="s">
        <v>1773</v>
      </c>
      <c r="W4" s="3748"/>
      <c r="X4" s="1355"/>
      <c r="Y4" s="3742" t="s">
        <v>1775</v>
      </c>
      <c r="Z4" s="3743"/>
      <c r="AA4" s="3729" t="s">
        <v>1771</v>
      </c>
      <c r="AB4" s="3730" t="s">
        <v>1772</v>
      </c>
      <c r="AC4" s="3729" t="s">
        <v>1773</v>
      </c>
    </row>
    <row r="5" spans="1:30">
      <c r="A5" s="358"/>
      <c r="B5" s="359"/>
      <c r="C5" s="3751" t="s">
        <v>1673</v>
      </c>
      <c r="D5" s="3752"/>
      <c r="E5" s="3758" t="s">
        <v>1674</v>
      </c>
      <c r="F5" s="3759"/>
      <c r="G5" s="3751" t="s">
        <v>1675</v>
      </c>
      <c r="H5" s="3752"/>
      <c r="I5" s="3751" t="s">
        <v>1676</v>
      </c>
      <c r="J5" s="3752"/>
      <c r="K5" s="559"/>
      <c r="L5" s="2715"/>
      <c r="M5" s="2716"/>
      <c r="N5" s="2716"/>
      <c r="O5" s="2716"/>
      <c r="P5" s="3738"/>
      <c r="Q5" s="3739"/>
      <c r="R5" s="3744"/>
      <c r="S5" s="3745"/>
      <c r="T5" s="3744"/>
      <c r="U5" s="3745"/>
      <c r="V5" s="3748"/>
      <c r="W5" s="3748"/>
      <c r="X5" s="1355"/>
      <c r="Y5" s="3744"/>
      <c r="Z5" s="3745"/>
      <c r="AA5" s="3730"/>
      <c r="AB5" s="3730"/>
      <c r="AC5" s="3730"/>
    </row>
    <row r="6" spans="1:30" ht="15" thickBot="1">
      <c r="A6" s="360"/>
      <c r="B6" s="361"/>
      <c r="C6" s="3749" t="s">
        <v>1677</v>
      </c>
      <c r="D6" s="3750"/>
      <c r="E6" s="3756" t="s">
        <v>1677</v>
      </c>
      <c r="F6" s="3757"/>
      <c r="G6" s="3749" t="s">
        <v>1677</v>
      </c>
      <c r="H6" s="3750"/>
      <c r="I6" s="3749" t="s">
        <v>1677</v>
      </c>
      <c r="J6" s="3750"/>
      <c r="K6" s="559" t="s">
        <v>1678</v>
      </c>
      <c r="L6" s="2715"/>
      <c r="M6" s="2716"/>
      <c r="N6" s="2716"/>
      <c r="O6" s="2716"/>
      <c r="P6" s="3740"/>
      <c r="Q6" s="3741"/>
      <c r="R6" s="3744"/>
      <c r="S6" s="3745"/>
      <c r="T6" s="3746"/>
      <c r="U6" s="3747"/>
      <c r="V6" s="3748"/>
      <c r="W6" s="3748"/>
      <c r="X6" s="1355"/>
      <c r="Y6" s="3746"/>
      <c r="Z6" s="3747"/>
      <c r="AA6" s="3731"/>
      <c r="AB6" s="3731"/>
      <c r="AC6" s="3731"/>
    </row>
    <row r="7" spans="1:30" s="108" customFormat="1" ht="15" thickBot="1">
      <c r="A7" s="362" t="s">
        <v>1679</v>
      </c>
      <c r="B7" s="363"/>
      <c r="C7" s="364">
        <f>'数据-取费表'!B2</f>
        <v>45882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3" t="s">
        <v>1680</v>
      </c>
      <c r="Q7" s="3755"/>
      <c r="R7" s="701" t="s">
        <v>14</v>
      </c>
      <c r="S7" s="702">
        <f t="shared" ref="S7:S15" si="0">F7</f>
        <v>0</v>
      </c>
      <c r="T7" s="701" t="s">
        <v>14</v>
      </c>
      <c r="U7" s="702">
        <f t="shared" ref="U7:U15" si="1">H7</f>
        <v>0</v>
      </c>
      <c r="V7" s="701" t="s">
        <v>14</v>
      </c>
      <c r="W7" s="702">
        <f t="shared" ref="W7:W15" si="2">J7</f>
        <v>0</v>
      </c>
      <c r="X7" s="703"/>
      <c r="Y7" s="3753" t="s">
        <v>1680</v>
      </c>
      <c r="Z7" s="375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3" t="s">
        <v>1683</v>
      </c>
      <c r="Q8" s="3754"/>
      <c r="R8" s="701" t="s">
        <v>14</v>
      </c>
      <c r="S8" s="702">
        <f t="shared" si="0"/>
        <v>0</v>
      </c>
      <c r="T8" s="701" t="s">
        <v>14</v>
      </c>
      <c r="U8" s="702">
        <f t="shared" si="1"/>
        <v>0</v>
      </c>
      <c r="V8" s="701" t="s">
        <v>14</v>
      </c>
      <c r="W8" s="702">
        <f t="shared" si="2"/>
        <v>0</v>
      </c>
      <c r="X8" s="703"/>
      <c r="Y8" s="3753" t="s">
        <v>1683</v>
      </c>
      <c r="Z8" s="375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7"/>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0"/>
      <c r="Q20" s="1352"/>
      <c r="R20" s="705"/>
      <c r="S20" s="706"/>
      <c r="T20" s="705"/>
      <c r="U20" s="706"/>
      <c r="V20" s="705"/>
      <c r="W20" s="706"/>
      <c r="X20" s="1355"/>
      <c r="Y20" s="372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0"/>
      <c r="Q24" s="1352"/>
      <c r="R24" s="705"/>
      <c r="S24" s="706"/>
      <c r="T24" s="705"/>
      <c r="U24" s="706"/>
      <c r="V24" s="705"/>
      <c r="W24" s="706"/>
      <c r="X24" s="1355"/>
      <c r="Y24" s="372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0"/>
      <c r="Q26" s="1352"/>
      <c r="R26" s="705"/>
      <c r="S26" s="706"/>
      <c r="T26" s="705"/>
      <c r="U26" s="706"/>
      <c r="V26" s="705"/>
      <c r="W26" s="706"/>
      <c r="X26" s="1355"/>
      <c r="Y26" s="372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0"/>
      <c r="Q28" s="1343"/>
      <c r="R28" s="701"/>
      <c r="S28" s="702"/>
      <c r="T28" s="701"/>
      <c r="U28" s="702"/>
      <c r="V28" s="701"/>
      <c r="W28" s="702"/>
      <c r="X28" s="703"/>
      <c r="Y28" s="372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5"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7" t="str">
        <f>A46</f>
        <v>成交单价</v>
      </c>
      <c r="Q46" s="3717"/>
      <c r="R46" s="3748">
        <f>E46</f>
        <v>0</v>
      </c>
      <c r="S46" s="3748"/>
      <c r="T46" s="3748">
        <f>G46</f>
        <v>0</v>
      </c>
      <c r="U46" s="3748"/>
      <c r="V46" s="3748">
        <f>I46</f>
        <v>0</v>
      </c>
      <c r="W46" s="3748"/>
      <c r="X46" s="690"/>
      <c r="Y46" s="712"/>
      <c r="Z46" s="690"/>
      <c r="AA46" s="690"/>
      <c r="AB46" s="690"/>
      <c r="AC46" s="690"/>
    </row>
    <row r="47" spans="1:29" ht="15" thickBot="1">
      <c r="A47" s="437" t="s">
        <v>1793</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4" t="str">
        <f>A48</f>
        <v>估价对象XX用房的比较价值（楼面单价，元/平方米）</v>
      </c>
      <c r="Q48" s="3715"/>
      <c r="R48" s="3780" t="e">
        <f>ROUND(IF(D47="简单平均",AVERAGE(R47:W47),R47*F47+T47*H47+V47*J47),0)</f>
        <v>#DIV/0!</v>
      </c>
      <c r="S48" s="3780"/>
      <c r="T48" s="3780"/>
      <c r="U48" s="3780"/>
      <c r="V48" s="3780"/>
      <c r="W48" s="378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2" t="s">
        <v>1887</v>
      </c>
      <c r="H55" s="378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28"/>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十级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8" priority="18" stopIfTrue="1" operator="containsText" text="超过">
      <formula>NOT(ISERROR(SEARCH("超过",F51)))</formula>
    </cfRule>
  </conditionalFormatting>
  <conditionalFormatting sqref="J53">
    <cfRule type="containsText" dxfId="37" priority="17" stopIfTrue="1" operator="containsText" text="超过">
      <formula>NOT(ISERROR(SEARCH("超过",J53)))</formula>
    </cfRule>
  </conditionalFormatting>
  <conditionalFormatting sqref="H53">
    <cfRule type="containsText" dxfId="36" priority="16" stopIfTrue="1" operator="containsText" text="超过">
      <formula>NOT(ISERROR(SEARCH("超过",H53)))</formula>
    </cfRule>
  </conditionalFormatting>
  <conditionalFormatting sqref="F53">
    <cfRule type="containsText" dxfId="35" priority="15" stopIfTrue="1" operator="containsText" text="超过">
      <formula>NOT(ISERROR(SEARCH("超过",F53)))</formula>
    </cfRule>
  </conditionalFormatting>
  <conditionalFormatting sqref="F52 H52 J52">
    <cfRule type="containsText" dxfId="34" priority="14" stopIfTrue="1" operator="containsText" text="超过">
      <formula>NOT(ISERROR(SEARCH("超过",F52)))</formula>
    </cfRule>
  </conditionalFormatting>
  <conditionalFormatting sqref="E51">
    <cfRule type="expression" dxfId="33" priority="13" stopIfTrue="1">
      <formula>$F$51="超过30%"</formula>
    </cfRule>
  </conditionalFormatting>
  <conditionalFormatting sqref="G53">
    <cfRule type="expression" dxfId="32" priority="12" stopIfTrue="1">
      <formula>$H$53="超过30%"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I51">
    <cfRule type="expression" dxfId="27" priority="7" stopIfTrue="1">
      <formula>$J$51="超过30%"</formula>
    </cfRule>
  </conditionalFormatting>
  <conditionalFormatting sqref="I52">
    <cfRule type="expression" dxfId="26" priority="6" stopIfTrue="1">
      <formula>$J$52="超过20%"</formula>
    </cfRule>
  </conditionalFormatting>
  <conditionalFormatting sqref="I53">
    <cfRule type="expression" dxfId="25" priority="5" stopIfTrue="1">
      <formula>$J$53="超过30%"</formula>
    </cfRule>
  </conditionalFormatting>
  <conditionalFormatting sqref="F47">
    <cfRule type="expression" dxfId="24" priority="4">
      <formula>$D$47="简单平均"</formula>
    </cfRule>
  </conditionalFormatting>
  <conditionalFormatting sqref="H47">
    <cfRule type="expression" dxfId="23" priority="3">
      <formula>$D$47="简单平均"</formula>
    </cfRule>
  </conditionalFormatting>
  <conditionalFormatting sqref="J47">
    <cfRule type="expression" dxfId="22" priority="2">
      <formula>$D$47="简单平均"</formula>
    </cfRule>
  </conditionalFormatting>
  <conditionalFormatting sqref="F7:F45 H7:H45 J7:J45">
    <cfRule type="cellIs" dxfId="2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5"/>
      <c r="M4" s="2716"/>
      <c r="N4" s="2716"/>
      <c r="O4" s="2716"/>
      <c r="P4" s="3736" t="s">
        <v>1775</v>
      </c>
      <c r="Q4" s="3737"/>
      <c r="R4" s="3742" t="s">
        <v>1771</v>
      </c>
      <c r="S4" s="3743"/>
      <c r="T4" s="3742" t="s">
        <v>1772</v>
      </c>
      <c r="U4" s="3743"/>
      <c r="V4" s="3748" t="s">
        <v>1773</v>
      </c>
      <c r="W4" s="3748"/>
      <c r="X4" s="1355"/>
      <c r="Y4" s="3742" t="s">
        <v>1775</v>
      </c>
      <c r="Z4" s="3743"/>
      <c r="AA4" s="3729" t="s">
        <v>1771</v>
      </c>
      <c r="AB4" s="3730" t="s">
        <v>1772</v>
      </c>
      <c r="AC4" s="3729" t="s">
        <v>1773</v>
      </c>
    </row>
    <row r="5" spans="1:29">
      <c r="A5" s="358"/>
      <c r="B5" s="359"/>
      <c r="C5" s="3751" t="s">
        <v>1673</v>
      </c>
      <c r="D5" s="3752"/>
      <c r="E5" s="3758" t="s">
        <v>1674</v>
      </c>
      <c r="F5" s="3759"/>
      <c r="G5" s="3751" t="s">
        <v>1675</v>
      </c>
      <c r="H5" s="3752"/>
      <c r="I5" s="3751" t="s">
        <v>1676</v>
      </c>
      <c r="J5" s="3752"/>
      <c r="K5" s="559"/>
      <c r="L5" s="2715"/>
      <c r="M5" s="2716"/>
      <c r="N5" s="2716"/>
      <c r="O5" s="2716"/>
      <c r="P5" s="3738"/>
      <c r="Q5" s="3739"/>
      <c r="R5" s="3744"/>
      <c r="S5" s="3745"/>
      <c r="T5" s="3744"/>
      <c r="U5" s="3745"/>
      <c r="V5" s="3748"/>
      <c r="W5" s="3748"/>
      <c r="X5" s="1355"/>
      <c r="Y5" s="3744"/>
      <c r="Z5" s="3745"/>
      <c r="AA5" s="3730"/>
      <c r="AB5" s="3730"/>
      <c r="AC5" s="3730"/>
    </row>
    <row r="6" spans="1:29" ht="15" thickBot="1">
      <c r="A6" s="360"/>
      <c r="B6" s="361"/>
      <c r="C6" s="3782" t="s">
        <v>1919</v>
      </c>
      <c r="D6" s="3783"/>
      <c r="E6" s="3784" t="s">
        <v>1919</v>
      </c>
      <c r="F6" s="3785"/>
      <c r="G6" s="3782" t="s">
        <v>1919</v>
      </c>
      <c r="H6" s="3783"/>
      <c r="I6" s="3782" t="s">
        <v>1919</v>
      </c>
      <c r="J6" s="3783"/>
      <c r="K6" s="559" t="s">
        <v>1678</v>
      </c>
      <c r="L6" s="2715"/>
      <c r="M6" s="2716"/>
      <c r="N6" s="2716"/>
      <c r="O6" s="2716"/>
      <c r="P6" s="3740"/>
      <c r="Q6" s="3741"/>
      <c r="R6" s="3744"/>
      <c r="S6" s="3745"/>
      <c r="T6" s="3746"/>
      <c r="U6" s="3747"/>
      <c r="V6" s="3748"/>
      <c r="W6" s="3748"/>
      <c r="X6" s="1355"/>
      <c r="Y6" s="3746"/>
      <c r="Z6" s="3747"/>
      <c r="AA6" s="3731"/>
      <c r="AB6" s="3731"/>
      <c r="AC6" s="3731"/>
    </row>
    <row r="7" spans="1:29" s="108" customFormat="1" ht="15" thickBot="1">
      <c r="A7" s="362" t="s">
        <v>1679</v>
      </c>
      <c r="B7" s="363"/>
      <c r="C7" s="364">
        <f>'数据-取费表'!B2</f>
        <v>45882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3" t="s">
        <v>1680</v>
      </c>
      <c r="Q7" s="3755"/>
      <c r="R7" s="701" t="s">
        <v>14</v>
      </c>
      <c r="S7" s="702">
        <f t="shared" ref="S7:S15" si="0">F7</f>
        <v>0</v>
      </c>
      <c r="T7" s="701" t="s">
        <v>14</v>
      </c>
      <c r="U7" s="702">
        <f t="shared" ref="U7:U15" si="1">H7</f>
        <v>0</v>
      </c>
      <c r="V7" s="701" t="s">
        <v>14</v>
      </c>
      <c r="W7" s="702">
        <f t="shared" ref="W7:W15" si="2">J7</f>
        <v>0</v>
      </c>
      <c r="X7" s="703"/>
      <c r="Y7" s="3753" t="s">
        <v>1680</v>
      </c>
      <c r="Z7" s="375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3" t="s">
        <v>1683</v>
      </c>
      <c r="Q8" s="3754"/>
      <c r="R8" s="701" t="s">
        <v>14</v>
      </c>
      <c r="S8" s="702">
        <f t="shared" si="0"/>
        <v>0</v>
      </c>
      <c r="T8" s="701" t="s">
        <v>14</v>
      </c>
      <c r="U8" s="702">
        <f t="shared" si="1"/>
        <v>0</v>
      </c>
      <c r="V8" s="701" t="s">
        <v>14</v>
      </c>
      <c r="W8" s="702">
        <f t="shared" si="2"/>
        <v>0</v>
      </c>
      <c r="X8" s="703"/>
      <c r="Y8" s="3753" t="s">
        <v>1683</v>
      </c>
      <c r="Z8" s="375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7"/>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0"/>
      <c r="Q20" s="1352"/>
      <c r="R20" s="705"/>
      <c r="S20" s="706"/>
      <c r="T20" s="705"/>
      <c r="U20" s="706"/>
      <c r="V20" s="705"/>
      <c r="W20" s="706"/>
      <c r="X20" s="1355"/>
      <c r="Y20" s="372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0"/>
      <c r="Q24" s="1343"/>
      <c r="R24" s="701"/>
      <c r="S24" s="702"/>
      <c r="T24" s="701"/>
      <c r="U24" s="702"/>
      <c r="V24" s="701"/>
      <c r="W24" s="702"/>
      <c r="X24" s="703"/>
      <c r="Y24" s="372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5"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7" t="str">
        <f>A41</f>
        <v>成交单价</v>
      </c>
      <c r="Q41" s="3717"/>
      <c r="R41" s="3748">
        <f>E41</f>
        <v>0</v>
      </c>
      <c r="S41" s="3748"/>
      <c r="T41" s="3748">
        <f>G41</f>
        <v>0</v>
      </c>
      <c r="U41" s="3748"/>
      <c r="V41" s="3748">
        <f>I41</f>
        <v>0</v>
      </c>
      <c r="W41" s="3748"/>
      <c r="X41" s="690"/>
      <c r="Y41" s="712"/>
      <c r="Z41" s="690"/>
      <c r="AA41" s="690"/>
      <c r="AB41" s="690"/>
      <c r="AC41" s="690"/>
    </row>
    <row r="42" spans="1:31" ht="15" thickBot="1">
      <c r="A42" s="437" t="s">
        <v>1793</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4" t="str">
        <f>A43</f>
        <v>估价对象XX用房的比较价值（楼面单价，元/平方米）</v>
      </c>
      <c r="Q43" s="3715"/>
      <c r="R43" s="3780" t="e">
        <f>ROUND(IF(D42="简单平均",AVERAGE(R42:W42),R42*F42+T42*H42+V42*J42),0)</f>
        <v>#DIV/0!</v>
      </c>
      <c r="S43" s="3780"/>
      <c r="T43" s="3780"/>
      <c r="U43" s="3780"/>
      <c r="V43" s="3780"/>
      <c r="W43" s="378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32" t="s">
        <v>1887</v>
      </c>
      <c r="H50" s="378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28"/>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十级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42">
    <cfRule type="expression" dxfId="6" priority="4">
      <formula>$D$42="简单平均"</formula>
    </cfRule>
  </conditionalFormatting>
  <conditionalFormatting sqref="H42">
    <cfRule type="expression" dxfId="5" priority="3">
      <formula>$D$42="简单平均"</formula>
    </cfRule>
  </conditionalFormatting>
  <conditionalFormatting sqref="J42">
    <cfRule type="expression" dxfId="4" priority="2">
      <formula>$D$42="简单平均"</formula>
    </cfRule>
  </conditionalFormatting>
  <conditionalFormatting sqref="F7:F40 H7:H40 J7:J40">
    <cfRule type="cellIs" dxfId="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113" sqref="A113"/>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H84" sqref="H8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9" t="s">
        <v>2084</v>
      </c>
      <c r="D1" s="3790"/>
      <c r="E1" s="3790"/>
      <c r="F1" s="3790"/>
      <c r="G1" s="3790"/>
      <c r="H1" s="3790"/>
      <c r="I1" s="3790"/>
      <c r="J1" s="3790"/>
      <c r="K1" s="3790"/>
      <c r="L1" s="3790"/>
      <c r="M1" s="3790"/>
      <c r="N1" s="3790"/>
      <c r="O1" s="3790"/>
      <c r="P1" s="3790"/>
      <c r="Q1" s="3790"/>
      <c r="R1" s="3790"/>
      <c r="S1" s="3791"/>
      <c r="T1" s="983" t="s">
        <v>2085</v>
      </c>
    </row>
    <row r="2" spans="1:45" s="655" customFormat="1" ht="39.6">
      <c r="A2" s="984"/>
      <c r="B2" s="651" t="s">
        <v>2086</v>
      </c>
      <c r="C2" s="652" t="str">
        <f t="shared" ref="C2:L2" si="0">C3&amp;"(含)"&amp;"-"&amp;D3</f>
        <v>0(含)-5</v>
      </c>
      <c r="D2" s="653" t="str">
        <f t="shared" si="0"/>
        <v>5(含)-10</v>
      </c>
      <c r="E2" s="653" t="str">
        <f t="shared" si="0"/>
        <v>10(含)-15</v>
      </c>
      <c r="F2" s="653" t="str">
        <f t="shared" si="0"/>
        <v>15(含)-20</v>
      </c>
      <c r="G2" s="653" t="str">
        <f t="shared" si="0"/>
        <v>20(含)-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v>
      </c>
      <c r="E3" s="658">
        <v>10</v>
      </c>
      <c r="F3" s="1305">
        <v>15</v>
      </c>
      <c r="G3" s="1305">
        <v>20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v>99</v>
      </c>
      <c r="E4" s="990">
        <v>98</v>
      </c>
      <c r="F4" s="1309">
        <v>97</v>
      </c>
      <c r="G4" s="1309">
        <v>96</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76" t="s">
        <v>4395</v>
      </c>
      <c r="C5" s="995">
        <v>-1</v>
      </c>
      <c r="D5" s="996">
        <v>-2</v>
      </c>
      <c r="E5" s="996"/>
      <c r="F5" s="1312"/>
      <c r="G5" s="1312"/>
      <c r="H5" s="1312"/>
      <c r="I5" s="1312"/>
      <c r="J5" s="1312"/>
      <c r="K5" s="1312"/>
      <c r="L5" s="1313"/>
      <c r="M5" s="1314"/>
      <c r="N5" s="1314"/>
      <c r="O5" s="1312"/>
      <c r="P5" s="1312"/>
      <c r="Q5" s="1312"/>
      <c r="R5" s="1312"/>
      <c r="S5" s="1315"/>
      <c r="T5" s="998">
        <v>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95</v>
      </c>
      <c r="E6" s="902">
        <f t="shared" ref="E6:S6" si="7">D6-$T5</f>
        <v>90</v>
      </c>
      <c r="F6" s="1316">
        <f t="shared" si="7"/>
        <v>85</v>
      </c>
      <c r="G6" s="1316">
        <f t="shared" si="7"/>
        <v>80</v>
      </c>
      <c r="H6" s="1316">
        <f t="shared" si="7"/>
        <v>75</v>
      </c>
      <c r="I6" s="1316">
        <f t="shared" si="7"/>
        <v>70</v>
      </c>
      <c r="J6" s="1316">
        <f t="shared" si="7"/>
        <v>65</v>
      </c>
      <c r="K6" s="1316">
        <f t="shared" si="7"/>
        <v>60</v>
      </c>
      <c r="L6" s="1316">
        <f t="shared" si="7"/>
        <v>55</v>
      </c>
      <c r="M6" s="1316">
        <f t="shared" si="7"/>
        <v>50</v>
      </c>
      <c r="N6" s="1316">
        <f t="shared" si="7"/>
        <v>45</v>
      </c>
      <c r="O6" s="1316">
        <f t="shared" si="7"/>
        <v>40</v>
      </c>
      <c r="P6" s="1316">
        <f t="shared" si="7"/>
        <v>35</v>
      </c>
      <c r="Q6" s="1316">
        <f t="shared" si="7"/>
        <v>30</v>
      </c>
      <c r="R6" s="1316">
        <f t="shared" si="7"/>
        <v>25</v>
      </c>
      <c r="S6" s="1316">
        <f t="shared" si="7"/>
        <v>20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7" t="s">
        <v>4396</v>
      </c>
      <c r="C7" s="3478" t="s">
        <v>4397</v>
      </c>
      <c r="D7" s="3479" t="s">
        <v>4398</v>
      </c>
      <c r="E7" s="898"/>
      <c r="F7" s="1317"/>
      <c r="G7" s="1317"/>
      <c r="H7" s="1317"/>
      <c r="I7" s="1317"/>
      <c r="J7" s="1317"/>
      <c r="K7" s="1317"/>
      <c r="L7" s="1317"/>
      <c r="M7" s="1318"/>
      <c r="N7" s="1319"/>
      <c r="O7" s="1320"/>
      <c r="P7" s="1321"/>
      <c r="Q7" s="1322"/>
      <c r="R7" s="1323"/>
      <c r="S7" s="1324"/>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95</v>
      </c>
      <c r="E8" s="902">
        <f t="shared" ref="E8:S8" si="8">D8-$T7</f>
        <v>90</v>
      </c>
      <c r="F8" s="1316">
        <f t="shared" si="8"/>
        <v>85</v>
      </c>
      <c r="G8" s="1316">
        <f t="shared" si="8"/>
        <v>80</v>
      </c>
      <c r="H8" s="1316">
        <f t="shared" si="8"/>
        <v>75</v>
      </c>
      <c r="I8" s="1316">
        <f t="shared" si="8"/>
        <v>70</v>
      </c>
      <c r="J8" s="1316">
        <f t="shared" si="8"/>
        <v>65</v>
      </c>
      <c r="K8" s="1316">
        <f t="shared" si="8"/>
        <v>60</v>
      </c>
      <c r="L8" s="1316">
        <f t="shared" si="8"/>
        <v>55</v>
      </c>
      <c r="M8" s="1316">
        <f t="shared" si="8"/>
        <v>50</v>
      </c>
      <c r="N8" s="1316">
        <f t="shared" si="8"/>
        <v>45</v>
      </c>
      <c r="O8" s="1316">
        <f t="shared" si="8"/>
        <v>40</v>
      </c>
      <c r="P8" s="1316">
        <f t="shared" si="8"/>
        <v>35</v>
      </c>
      <c r="Q8" s="1316">
        <f t="shared" si="8"/>
        <v>30</v>
      </c>
      <c r="R8" s="1316">
        <f t="shared" si="8"/>
        <v>25</v>
      </c>
      <c r="S8" s="1316">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2" thickBot="1">
      <c r="A20" s="662" t="s">
        <v>2094</v>
      </c>
      <c r="B20" s="294">
        <f ca="1">IF(D20="——",S22,S22-F20)</f>
        <v>1253</v>
      </c>
      <c r="C20" s="159"/>
      <c r="D20" s="2151" t="s">
        <v>43</v>
      </c>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6">
      <c r="A21" s="662" t="s">
        <v>2096</v>
      </c>
      <c r="B21" s="294">
        <f ca="1">ROUND(B20*10000/B22,0)</f>
        <v>5423</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2310.5099999999975</v>
      </c>
      <c r="C22" s="3786" t="s">
        <v>27</v>
      </c>
      <c r="D22" s="3787"/>
      <c r="E22" s="3787"/>
      <c r="F22" s="3787"/>
      <c r="G22" s="3787"/>
      <c r="H22" s="3787"/>
      <c r="I22" s="3787"/>
      <c r="J22" s="3787"/>
      <c r="K22" s="3787"/>
      <c r="L22" s="3787"/>
      <c r="M22" s="3787"/>
      <c r="N22" s="3787"/>
      <c r="O22" s="3787"/>
      <c r="P22" s="3787"/>
      <c r="Q22" s="3788"/>
      <c r="R22" s="663">
        <f ca="1">ROUND(S22*10000/B22,0)</f>
        <v>5423</v>
      </c>
      <c r="S22" s="21">
        <f ca="1">SUM(S24:S10000)</f>
        <v>1253</v>
      </c>
    </row>
    <row r="23" spans="1:45" s="9" customFormat="1" ht="24">
      <c r="A23" s="8" t="s">
        <v>2098</v>
      </c>
      <c r="B23" s="8" t="s">
        <v>2099</v>
      </c>
      <c r="C23" s="8" t="s">
        <v>2100</v>
      </c>
      <c r="D23" s="8" t="str">
        <f>B5</f>
        <v>楼层</v>
      </c>
      <c r="E23" s="8" t="s">
        <v>2100</v>
      </c>
      <c r="F23" s="8" t="str">
        <f>B7</f>
        <v>窗户</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3442</v>
      </c>
      <c r="B24" s="3481">
        <v>10.32</v>
      </c>
      <c r="C24" s="2810">
        <v>1</v>
      </c>
      <c r="D24" s="3475" t="s">
        <v>3443</v>
      </c>
      <c r="E24" s="2810">
        <v>1</v>
      </c>
      <c r="F24" s="3480" t="s">
        <v>4399</v>
      </c>
      <c r="G24" s="2810">
        <v>1</v>
      </c>
      <c r="H24" s="2811"/>
      <c r="I24" s="2810">
        <v>1</v>
      </c>
      <c r="J24" s="2811"/>
      <c r="K24" s="2810">
        <v>1</v>
      </c>
      <c r="L24" s="2811"/>
      <c r="M24" s="2810">
        <v>1</v>
      </c>
      <c r="N24" s="2811"/>
      <c r="O24" s="2810">
        <v>1</v>
      </c>
      <c r="P24" s="2811"/>
      <c r="Q24" s="2810">
        <v>1</v>
      </c>
      <c r="R24" s="668">
        <f ca="1">结果表!G20</f>
        <v>5462</v>
      </c>
      <c r="S24" s="666">
        <f t="shared" ref="S24:S54" ca="1" si="11">ROUND(R24*B24/10000,0)</f>
        <v>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3446</v>
      </c>
      <c r="B25" s="3482">
        <v>8.1999999999999993</v>
      </c>
      <c r="C25" s="21">
        <f>IF(B25="",1,(LOOKUP(B25,$3:$3,$4:$4)-LOOKUP($B$24,$3:$3,$4:$4)+100)/100)</f>
        <v>1.01</v>
      </c>
      <c r="D25" s="3475">
        <v>-1</v>
      </c>
      <c r="E25" s="21">
        <f>(SUMIF($5:$5,D25,$6:$6)-SUMIF($5:$5,$D$24,$6:$6)+100)/100</f>
        <v>1</v>
      </c>
      <c r="F25" s="3480" t="s">
        <v>4399</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5517</v>
      </c>
      <c r="S25" s="316">
        <f t="shared" ca="1" si="11"/>
        <v>5</v>
      </c>
    </row>
    <row r="26" spans="1:45">
      <c r="A26" s="150" t="s">
        <v>3449</v>
      </c>
      <c r="B26" s="3482">
        <v>10.63</v>
      </c>
      <c r="C26" s="21">
        <f t="shared" ref="C26:C89" si="12">IF(B26="",1,(LOOKUP(B26,$3:$3,$4:$4)-LOOKUP($B$24,$3:$3,$4:$4)+100)/100)</f>
        <v>1</v>
      </c>
      <c r="D26" s="3475" t="s">
        <v>3443</v>
      </c>
      <c r="E26" s="21">
        <f t="shared" ref="E26:E89" si="13">(SUMIF($5:$5,D26,$6:$6)-SUMIF($5:$5,$D$24,$6:$6)+100)/100</f>
        <v>1</v>
      </c>
      <c r="F26" s="3480" t="s">
        <v>4393</v>
      </c>
      <c r="G26" s="21">
        <f t="shared" ref="G26:G89" si="14">(SUMIF($7:$7,F26,$8:$8)-SUMIF($7:$7,$F$24,$8:$8)+100)/100</f>
        <v>1.05</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5735</v>
      </c>
      <c r="S26" s="316">
        <f t="shared" ca="1" si="11"/>
        <v>6</v>
      </c>
    </row>
    <row r="27" spans="1:45">
      <c r="A27" s="150" t="s">
        <v>3452</v>
      </c>
      <c r="B27" s="3482">
        <v>10.5</v>
      </c>
      <c r="C27" s="21">
        <f t="shared" si="12"/>
        <v>1</v>
      </c>
      <c r="D27" s="3475" t="s">
        <v>3443</v>
      </c>
      <c r="E27" s="21">
        <f t="shared" si="13"/>
        <v>1</v>
      </c>
      <c r="F27" s="3480" t="s">
        <v>4399</v>
      </c>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5462</v>
      </c>
      <c r="S27" s="316">
        <f t="shared" ca="1" si="11"/>
        <v>6</v>
      </c>
    </row>
    <row r="28" spans="1:45">
      <c r="A28" s="150" t="s">
        <v>3455</v>
      </c>
      <c r="B28" s="3482">
        <v>7.68</v>
      </c>
      <c r="C28" s="21">
        <f t="shared" si="12"/>
        <v>1.01</v>
      </c>
      <c r="D28" s="3475" t="s">
        <v>3443</v>
      </c>
      <c r="E28" s="21">
        <f t="shared" si="13"/>
        <v>1</v>
      </c>
      <c r="F28" s="3480" t="s">
        <v>4399</v>
      </c>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5517</v>
      </c>
      <c r="S28" s="316">
        <f t="shared" ca="1" si="11"/>
        <v>4</v>
      </c>
    </row>
    <row r="29" spans="1:45">
      <c r="A29" s="150" t="s">
        <v>3458</v>
      </c>
      <c r="B29" s="3482">
        <v>8.31</v>
      </c>
      <c r="C29" s="21">
        <f t="shared" si="12"/>
        <v>1.01</v>
      </c>
      <c r="D29" s="3475" t="s">
        <v>3443</v>
      </c>
      <c r="E29" s="21">
        <f t="shared" si="13"/>
        <v>1</v>
      </c>
      <c r="F29" s="3480" t="s">
        <v>4399</v>
      </c>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5517</v>
      </c>
      <c r="S29" s="316">
        <f t="shared" ca="1" si="11"/>
        <v>5</v>
      </c>
    </row>
    <row r="30" spans="1:45">
      <c r="A30" s="150" t="s">
        <v>3461</v>
      </c>
      <c r="B30" s="3482">
        <v>10.6</v>
      </c>
      <c r="C30" s="21">
        <f t="shared" si="12"/>
        <v>1</v>
      </c>
      <c r="D30" s="3475" t="s">
        <v>3443</v>
      </c>
      <c r="E30" s="21">
        <f t="shared" si="13"/>
        <v>1</v>
      </c>
      <c r="F30" s="3480" t="s">
        <v>4399</v>
      </c>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5462</v>
      </c>
      <c r="S30" s="316">
        <f t="shared" ca="1" si="11"/>
        <v>6</v>
      </c>
    </row>
    <row r="31" spans="1:45">
      <c r="A31" s="150" t="s">
        <v>3464</v>
      </c>
      <c r="B31" s="3482">
        <v>10.6</v>
      </c>
      <c r="C31" s="21">
        <f t="shared" si="12"/>
        <v>1</v>
      </c>
      <c r="D31" s="3475" t="s">
        <v>3443</v>
      </c>
      <c r="E31" s="21">
        <f t="shared" si="13"/>
        <v>1</v>
      </c>
      <c r="F31" s="3480" t="s">
        <v>4399</v>
      </c>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5462</v>
      </c>
      <c r="S31" s="316">
        <f t="shared" ca="1" si="11"/>
        <v>6</v>
      </c>
    </row>
    <row r="32" spans="1:45">
      <c r="A32" s="150" t="s">
        <v>3467</v>
      </c>
      <c r="B32" s="3482">
        <v>10.6</v>
      </c>
      <c r="C32" s="21">
        <f t="shared" si="12"/>
        <v>1</v>
      </c>
      <c r="D32" s="3475" t="s">
        <v>3443</v>
      </c>
      <c r="E32" s="21">
        <f t="shared" si="13"/>
        <v>1</v>
      </c>
      <c r="F32" s="3480" t="s">
        <v>4399</v>
      </c>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5462</v>
      </c>
      <c r="S32" s="316">
        <f t="shared" ca="1" si="11"/>
        <v>6</v>
      </c>
    </row>
    <row r="33" spans="1:19">
      <c r="A33" s="150" t="s">
        <v>3470</v>
      </c>
      <c r="B33" s="3482">
        <v>10.6</v>
      </c>
      <c r="C33" s="21">
        <f t="shared" si="12"/>
        <v>1</v>
      </c>
      <c r="D33" s="3475" t="s">
        <v>3443</v>
      </c>
      <c r="E33" s="21">
        <f t="shared" si="13"/>
        <v>1</v>
      </c>
      <c r="F33" s="3480" t="s">
        <v>4399</v>
      </c>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5462</v>
      </c>
      <c r="S33" s="316">
        <f t="shared" ca="1" si="11"/>
        <v>6</v>
      </c>
    </row>
    <row r="34" spans="1:19">
      <c r="A34" s="150" t="s">
        <v>3473</v>
      </c>
      <c r="B34" s="3482">
        <v>8.31</v>
      </c>
      <c r="C34" s="21">
        <f t="shared" si="12"/>
        <v>1.01</v>
      </c>
      <c r="D34" s="3475" t="s">
        <v>3443</v>
      </c>
      <c r="E34" s="21">
        <f t="shared" si="13"/>
        <v>1</v>
      </c>
      <c r="F34" s="3480" t="s">
        <v>4399</v>
      </c>
      <c r="G34" s="21">
        <f t="shared" si="14"/>
        <v>1</v>
      </c>
      <c r="H34" s="667"/>
      <c r="I34" s="21">
        <f t="shared" si="15"/>
        <v>1</v>
      </c>
      <c r="J34" s="667"/>
      <c r="K34" s="21">
        <f t="shared" si="16"/>
        <v>1</v>
      </c>
      <c r="L34" s="667"/>
      <c r="M34" s="21">
        <f t="shared" si="17"/>
        <v>1</v>
      </c>
      <c r="N34" s="667"/>
      <c r="O34" s="21">
        <f t="shared" si="18"/>
        <v>1</v>
      </c>
      <c r="P34" s="667"/>
      <c r="Q34" s="21">
        <f t="shared" si="19"/>
        <v>1</v>
      </c>
      <c r="R34" s="663">
        <f t="shared" ca="1" si="20"/>
        <v>5517</v>
      </c>
      <c r="S34" s="316">
        <f t="shared" ca="1" si="11"/>
        <v>5</v>
      </c>
    </row>
    <row r="35" spans="1:19">
      <c r="A35" s="150" t="s">
        <v>3476</v>
      </c>
      <c r="B35" s="3482">
        <v>7.68</v>
      </c>
      <c r="C35" s="21">
        <f t="shared" si="12"/>
        <v>1.01</v>
      </c>
      <c r="D35" s="3475" t="s">
        <v>3443</v>
      </c>
      <c r="E35" s="21">
        <f t="shared" si="13"/>
        <v>1</v>
      </c>
      <c r="F35" s="3480" t="s">
        <v>4399</v>
      </c>
      <c r="G35" s="21">
        <f t="shared" si="14"/>
        <v>1</v>
      </c>
      <c r="H35" s="667"/>
      <c r="I35" s="21">
        <f t="shared" si="15"/>
        <v>1</v>
      </c>
      <c r="J35" s="667"/>
      <c r="K35" s="21">
        <f t="shared" si="16"/>
        <v>1</v>
      </c>
      <c r="L35" s="667"/>
      <c r="M35" s="21">
        <f t="shared" si="17"/>
        <v>1</v>
      </c>
      <c r="N35" s="667"/>
      <c r="O35" s="21">
        <f t="shared" si="18"/>
        <v>1</v>
      </c>
      <c r="P35" s="667"/>
      <c r="Q35" s="21">
        <f t="shared" si="19"/>
        <v>1</v>
      </c>
      <c r="R35" s="663">
        <f t="shared" ca="1" si="20"/>
        <v>5517</v>
      </c>
      <c r="S35" s="316">
        <f t="shared" ca="1" si="11"/>
        <v>4</v>
      </c>
    </row>
    <row r="36" spans="1:19">
      <c r="A36" s="150" t="s">
        <v>3479</v>
      </c>
      <c r="B36" s="3482">
        <v>6.43</v>
      </c>
      <c r="C36" s="21">
        <f t="shared" si="12"/>
        <v>1.01</v>
      </c>
      <c r="D36" s="3475" t="s">
        <v>3443</v>
      </c>
      <c r="E36" s="21">
        <f t="shared" si="13"/>
        <v>1</v>
      </c>
      <c r="F36" s="3480" t="s">
        <v>4399</v>
      </c>
      <c r="G36" s="21">
        <f t="shared" si="14"/>
        <v>1</v>
      </c>
      <c r="H36" s="667"/>
      <c r="I36" s="21">
        <f t="shared" si="15"/>
        <v>1</v>
      </c>
      <c r="J36" s="667"/>
      <c r="K36" s="21">
        <f t="shared" si="16"/>
        <v>1</v>
      </c>
      <c r="L36" s="667"/>
      <c r="M36" s="21">
        <f t="shared" si="17"/>
        <v>1</v>
      </c>
      <c r="N36" s="667"/>
      <c r="O36" s="21">
        <f t="shared" si="18"/>
        <v>1</v>
      </c>
      <c r="P36" s="667"/>
      <c r="Q36" s="21">
        <f t="shared" si="19"/>
        <v>1</v>
      </c>
      <c r="R36" s="663">
        <f t="shared" ca="1" si="20"/>
        <v>5517</v>
      </c>
      <c r="S36" s="316">
        <f t="shared" ca="1" si="11"/>
        <v>4</v>
      </c>
    </row>
    <row r="37" spans="1:19">
      <c r="A37" s="150" t="s">
        <v>3482</v>
      </c>
      <c r="B37" s="3482">
        <v>4.4000000000000004</v>
      </c>
      <c r="C37" s="21">
        <f t="shared" si="12"/>
        <v>1.02</v>
      </c>
      <c r="D37" s="3475" t="s">
        <v>3443</v>
      </c>
      <c r="E37" s="21">
        <f t="shared" si="13"/>
        <v>1</v>
      </c>
      <c r="F37" s="3480" t="s">
        <v>4399</v>
      </c>
      <c r="G37" s="21">
        <f t="shared" si="14"/>
        <v>1</v>
      </c>
      <c r="H37" s="667"/>
      <c r="I37" s="21">
        <f t="shared" si="15"/>
        <v>1</v>
      </c>
      <c r="J37" s="667"/>
      <c r="K37" s="21">
        <f t="shared" si="16"/>
        <v>1</v>
      </c>
      <c r="L37" s="667"/>
      <c r="M37" s="21">
        <f t="shared" si="17"/>
        <v>1</v>
      </c>
      <c r="N37" s="667"/>
      <c r="O37" s="21">
        <f t="shared" si="18"/>
        <v>1</v>
      </c>
      <c r="P37" s="667"/>
      <c r="Q37" s="21">
        <f t="shared" si="19"/>
        <v>1</v>
      </c>
      <c r="R37" s="663">
        <f t="shared" ca="1" si="20"/>
        <v>5571</v>
      </c>
      <c r="S37" s="316">
        <f t="shared" ca="1" si="11"/>
        <v>2</v>
      </c>
    </row>
    <row r="38" spans="1:19">
      <c r="A38" s="150" t="s">
        <v>3485</v>
      </c>
      <c r="B38" s="3482">
        <v>10.56</v>
      </c>
      <c r="C38" s="21">
        <f t="shared" si="12"/>
        <v>1</v>
      </c>
      <c r="D38" s="3475" t="s">
        <v>3443</v>
      </c>
      <c r="E38" s="21">
        <f t="shared" si="13"/>
        <v>1</v>
      </c>
      <c r="F38" s="3480" t="s">
        <v>4393</v>
      </c>
      <c r="G38" s="21">
        <f t="shared" si="14"/>
        <v>1.05</v>
      </c>
      <c r="H38" s="667"/>
      <c r="I38" s="21">
        <f t="shared" si="15"/>
        <v>1</v>
      </c>
      <c r="J38" s="667"/>
      <c r="K38" s="21">
        <f t="shared" si="16"/>
        <v>1</v>
      </c>
      <c r="L38" s="667"/>
      <c r="M38" s="21">
        <f t="shared" si="17"/>
        <v>1</v>
      </c>
      <c r="N38" s="667"/>
      <c r="O38" s="21">
        <f t="shared" si="18"/>
        <v>1</v>
      </c>
      <c r="P38" s="667"/>
      <c r="Q38" s="21">
        <f t="shared" si="19"/>
        <v>1</v>
      </c>
      <c r="R38" s="663">
        <f t="shared" ca="1" si="20"/>
        <v>5735</v>
      </c>
      <c r="S38" s="316">
        <f t="shared" ca="1" si="11"/>
        <v>6</v>
      </c>
    </row>
    <row r="39" spans="1:19">
      <c r="A39" s="150" t="s">
        <v>3488</v>
      </c>
      <c r="B39" s="3482">
        <v>4.4000000000000004</v>
      </c>
      <c r="C39" s="21">
        <f t="shared" si="12"/>
        <v>1.02</v>
      </c>
      <c r="D39" s="3475" t="s">
        <v>3443</v>
      </c>
      <c r="E39" s="21">
        <f t="shared" si="13"/>
        <v>1</v>
      </c>
      <c r="F39" s="3480" t="s">
        <v>4399</v>
      </c>
      <c r="G39" s="21">
        <f t="shared" si="14"/>
        <v>1</v>
      </c>
      <c r="H39" s="667"/>
      <c r="I39" s="21">
        <f t="shared" si="15"/>
        <v>1</v>
      </c>
      <c r="J39" s="667"/>
      <c r="K39" s="21">
        <f t="shared" si="16"/>
        <v>1</v>
      </c>
      <c r="L39" s="667"/>
      <c r="M39" s="21">
        <f t="shared" si="17"/>
        <v>1</v>
      </c>
      <c r="N39" s="667"/>
      <c r="O39" s="21">
        <f t="shared" si="18"/>
        <v>1</v>
      </c>
      <c r="P39" s="667"/>
      <c r="Q39" s="21">
        <f t="shared" si="19"/>
        <v>1</v>
      </c>
      <c r="R39" s="663">
        <f t="shared" ca="1" si="20"/>
        <v>5571</v>
      </c>
      <c r="S39" s="316">
        <f t="shared" ca="1" si="11"/>
        <v>2</v>
      </c>
    </row>
    <row r="40" spans="1:19">
      <c r="A40" s="150" t="s">
        <v>3491</v>
      </c>
      <c r="B40" s="3482">
        <v>6.43</v>
      </c>
      <c r="C40" s="21">
        <f t="shared" si="12"/>
        <v>1.01</v>
      </c>
      <c r="D40" s="3475" t="s">
        <v>3443</v>
      </c>
      <c r="E40" s="21">
        <f t="shared" si="13"/>
        <v>1</v>
      </c>
      <c r="F40" s="3480" t="s">
        <v>4399</v>
      </c>
      <c r="G40" s="21">
        <f t="shared" si="14"/>
        <v>1</v>
      </c>
      <c r="H40" s="667"/>
      <c r="I40" s="21">
        <f t="shared" si="15"/>
        <v>1</v>
      </c>
      <c r="J40" s="667"/>
      <c r="K40" s="21">
        <f t="shared" si="16"/>
        <v>1</v>
      </c>
      <c r="L40" s="667"/>
      <c r="M40" s="21">
        <f t="shared" si="17"/>
        <v>1</v>
      </c>
      <c r="N40" s="667"/>
      <c r="O40" s="21">
        <f t="shared" si="18"/>
        <v>1</v>
      </c>
      <c r="P40" s="667"/>
      <c r="Q40" s="21">
        <f t="shared" si="19"/>
        <v>1</v>
      </c>
      <c r="R40" s="663">
        <f t="shared" ca="1" si="20"/>
        <v>5517</v>
      </c>
      <c r="S40" s="316">
        <f t="shared" ca="1" si="11"/>
        <v>4</v>
      </c>
    </row>
    <row r="41" spans="1:19">
      <c r="A41" s="150" t="s">
        <v>3494</v>
      </c>
      <c r="B41" s="3482">
        <v>10.6</v>
      </c>
      <c r="C41" s="21">
        <f t="shared" si="12"/>
        <v>1</v>
      </c>
      <c r="D41" s="3475" t="s">
        <v>3443</v>
      </c>
      <c r="E41" s="21">
        <f t="shared" si="13"/>
        <v>1</v>
      </c>
      <c r="F41" s="3480" t="s">
        <v>4399</v>
      </c>
      <c r="G41" s="21">
        <f t="shared" si="14"/>
        <v>1</v>
      </c>
      <c r="H41" s="667"/>
      <c r="I41" s="21">
        <f t="shared" si="15"/>
        <v>1</v>
      </c>
      <c r="J41" s="667"/>
      <c r="K41" s="21">
        <f t="shared" si="16"/>
        <v>1</v>
      </c>
      <c r="L41" s="667"/>
      <c r="M41" s="21">
        <f t="shared" si="17"/>
        <v>1</v>
      </c>
      <c r="N41" s="667"/>
      <c r="O41" s="21">
        <f t="shared" si="18"/>
        <v>1</v>
      </c>
      <c r="P41" s="667"/>
      <c r="Q41" s="21">
        <f t="shared" si="19"/>
        <v>1</v>
      </c>
      <c r="R41" s="663">
        <f t="shared" ca="1" si="20"/>
        <v>5462</v>
      </c>
      <c r="S41" s="316">
        <f t="shared" ca="1" si="11"/>
        <v>6</v>
      </c>
    </row>
    <row r="42" spans="1:19">
      <c r="A42" s="150" t="s">
        <v>3497</v>
      </c>
      <c r="B42" s="3482">
        <v>10.6</v>
      </c>
      <c r="C42" s="21">
        <f t="shared" si="12"/>
        <v>1</v>
      </c>
      <c r="D42" s="3475" t="s">
        <v>3443</v>
      </c>
      <c r="E42" s="21">
        <f t="shared" si="13"/>
        <v>1</v>
      </c>
      <c r="F42" s="3480" t="s">
        <v>4399</v>
      </c>
      <c r="G42" s="21">
        <f t="shared" si="14"/>
        <v>1</v>
      </c>
      <c r="H42" s="667"/>
      <c r="I42" s="21">
        <f t="shared" si="15"/>
        <v>1</v>
      </c>
      <c r="J42" s="667"/>
      <c r="K42" s="21">
        <f t="shared" si="16"/>
        <v>1</v>
      </c>
      <c r="L42" s="667"/>
      <c r="M42" s="21">
        <f t="shared" si="17"/>
        <v>1</v>
      </c>
      <c r="N42" s="667"/>
      <c r="O42" s="21">
        <f t="shared" si="18"/>
        <v>1</v>
      </c>
      <c r="P42" s="667"/>
      <c r="Q42" s="21">
        <f t="shared" si="19"/>
        <v>1</v>
      </c>
      <c r="R42" s="663">
        <f t="shared" ca="1" si="20"/>
        <v>5462</v>
      </c>
      <c r="S42" s="316">
        <f t="shared" ca="1" si="11"/>
        <v>6</v>
      </c>
    </row>
    <row r="43" spans="1:19">
      <c r="A43" s="150" t="s">
        <v>3500</v>
      </c>
      <c r="B43" s="3482">
        <v>10.6</v>
      </c>
      <c r="C43" s="21">
        <f t="shared" si="12"/>
        <v>1</v>
      </c>
      <c r="D43" s="3475" t="s">
        <v>3443</v>
      </c>
      <c r="E43" s="21">
        <f t="shared" si="13"/>
        <v>1</v>
      </c>
      <c r="F43" s="3480" t="s">
        <v>4399</v>
      </c>
      <c r="G43" s="21">
        <f t="shared" si="14"/>
        <v>1</v>
      </c>
      <c r="H43" s="667"/>
      <c r="I43" s="21">
        <f t="shared" si="15"/>
        <v>1</v>
      </c>
      <c r="J43" s="667"/>
      <c r="K43" s="21">
        <f t="shared" si="16"/>
        <v>1</v>
      </c>
      <c r="L43" s="667"/>
      <c r="M43" s="21">
        <f t="shared" si="17"/>
        <v>1</v>
      </c>
      <c r="N43" s="667"/>
      <c r="O43" s="21">
        <f t="shared" si="18"/>
        <v>1</v>
      </c>
      <c r="P43" s="667"/>
      <c r="Q43" s="21">
        <f t="shared" si="19"/>
        <v>1</v>
      </c>
      <c r="R43" s="663">
        <f t="shared" ca="1" si="20"/>
        <v>5462</v>
      </c>
      <c r="S43" s="316">
        <f t="shared" ca="1" si="11"/>
        <v>6</v>
      </c>
    </row>
    <row r="44" spans="1:19">
      <c r="A44" s="150" t="s">
        <v>3503</v>
      </c>
      <c r="B44" s="3482">
        <v>10.6</v>
      </c>
      <c r="C44" s="21">
        <f t="shared" si="12"/>
        <v>1</v>
      </c>
      <c r="D44" s="3475" t="s">
        <v>3443</v>
      </c>
      <c r="E44" s="21">
        <f t="shared" si="13"/>
        <v>1</v>
      </c>
      <c r="F44" s="3480" t="s">
        <v>4399</v>
      </c>
      <c r="G44" s="21">
        <f t="shared" si="14"/>
        <v>1</v>
      </c>
      <c r="H44" s="667"/>
      <c r="I44" s="21">
        <f t="shared" si="15"/>
        <v>1</v>
      </c>
      <c r="J44" s="667"/>
      <c r="K44" s="21">
        <f t="shared" si="16"/>
        <v>1</v>
      </c>
      <c r="L44" s="667"/>
      <c r="M44" s="21">
        <f t="shared" si="17"/>
        <v>1</v>
      </c>
      <c r="N44" s="667"/>
      <c r="O44" s="21">
        <f t="shared" si="18"/>
        <v>1</v>
      </c>
      <c r="P44" s="667"/>
      <c r="Q44" s="21">
        <f t="shared" si="19"/>
        <v>1</v>
      </c>
      <c r="R44" s="663">
        <f t="shared" ca="1" si="20"/>
        <v>5462</v>
      </c>
      <c r="S44" s="316">
        <f t="shared" ca="1" si="11"/>
        <v>6</v>
      </c>
    </row>
    <row r="45" spans="1:19">
      <c r="A45" s="150" t="s">
        <v>3506</v>
      </c>
      <c r="B45" s="3482">
        <v>8.31</v>
      </c>
      <c r="C45" s="21">
        <f t="shared" si="12"/>
        <v>1.01</v>
      </c>
      <c r="D45" s="3475" t="s">
        <v>3443</v>
      </c>
      <c r="E45" s="21">
        <f t="shared" si="13"/>
        <v>1</v>
      </c>
      <c r="F45" s="3480" t="s">
        <v>4399</v>
      </c>
      <c r="G45" s="21">
        <f t="shared" si="14"/>
        <v>1</v>
      </c>
      <c r="H45" s="667"/>
      <c r="I45" s="21">
        <f t="shared" si="15"/>
        <v>1</v>
      </c>
      <c r="J45" s="667"/>
      <c r="K45" s="21">
        <f t="shared" si="16"/>
        <v>1</v>
      </c>
      <c r="L45" s="667"/>
      <c r="M45" s="21">
        <f t="shared" si="17"/>
        <v>1</v>
      </c>
      <c r="N45" s="667"/>
      <c r="O45" s="21">
        <f t="shared" si="18"/>
        <v>1</v>
      </c>
      <c r="P45" s="667"/>
      <c r="Q45" s="21">
        <f t="shared" si="19"/>
        <v>1</v>
      </c>
      <c r="R45" s="663">
        <f t="shared" ca="1" si="20"/>
        <v>5517</v>
      </c>
      <c r="S45" s="316">
        <f t="shared" ca="1" si="11"/>
        <v>5</v>
      </c>
    </row>
    <row r="46" spans="1:19">
      <c r="A46" s="150" t="s">
        <v>3509</v>
      </c>
      <c r="B46" s="3482">
        <v>7.58</v>
      </c>
      <c r="C46" s="21">
        <f t="shared" si="12"/>
        <v>1.01</v>
      </c>
      <c r="D46" s="3475" t="s">
        <v>3443</v>
      </c>
      <c r="E46" s="21">
        <f t="shared" si="13"/>
        <v>1</v>
      </c>
      <c r="F46" s="3480" t="s">
        <v>4399</v>
      </c>
      <c r="G46" s="21">
        <f t="shared" si="14"/>
        <v>1</v>
      </c>
      <c r="H46" s="667"/>
      <c r="I46" s="21">
        <f t="shared" si="15"/>
        <v>1</v>
      </c>
      <c r="J46" s="667"/>
      <c r="K46" s="21">
        <f t="shared" si="16"/>
        <v>1</v>
      </c>
      <c r="L46" s="667"/>
      <c r="M46" s="21">
        <f t="shared" si="17"/>
        <v>1</v>
      </c>
      <c r="N46" s="667"/>
      <c r="O46" s="21">
        <f t="shared" si="18"/>
        <v>1</v>
      </c>
      <c r="P46" s="667"/>
      <c r="Q46" s="21">
        <f t="shared" si="19"/>
        <v>1</v>
      </c>
      <c r="R46" s="663">
        <f t="shared" ca="1" si="20"/>
        <v>5517</v>
      </c>
      <c r="S46" s="316">
        <f t="shared" ca="1" si="11"/>
        <v>4</v>
      </c>
    </row>
    <row r="47" spans="1:19">
      <c r="A47" s="150" t="s">
        <v>3512</v>
      </c>
      <c r="B47" s="3482">
        <v>10.5</v>
      </c>
      <c r="C47" s="21">
        <f t="shared" si="12"/>
        <v>1</v>
      </c>
      <c r="D47" s="3475" t="s">
        <v>3443</v>
      </c>
      <c r="E47" s="21">
        <f t="shared" si="13"/>
        <v>1</v>
      </c>
      <c r="F47" s="3480" t="s">
        <v>4399</v>
      </c>
      <c r="G47" s="21">
        <f t="shared" si="14"/>
        <v>1</v>
      </c>
      <c r="H47" s="667"/>
      <c r="I47" s="21">
        <f t="shared" si="15"/>
        <v>1</v>
      </c>
      <c r="J47" s="667"/>
      <c r="K47" s="21">
        <f t="shared" si="16"/>
        <v>1</v>
      </c>
      <c r="L47" s="667"/>
      <c r="M47" s="21">
        <f t="shared" si="17"/>
        <v>1</v>
      </c>
      <c r="N47" s="667"/>
      <c r="O47" s="21">
        <f t="shared" si="18"/>
        <v>1</v>
      </c>
      <c r="P47" s="667"/>
      <c r="Q47" s="21">
        <f t="shared" si="19"/>
        <v>1</v>
      </c>
      <c r="R47" s="663">
        <f t="shared" ca="1" si="20"/>
        <v>5462</v>
      </c>
      <c r="S47" s="316">
        <f t="shared" ca="1" si="11"/>
        <v>6</v>
      </c>
    </row>
    <row r="48" spans="1:19">
      <c r="A48" s="150" t="s">
        <v>3515</v>
      </c>
      <c r="B48" s="3482">
        <v>10.7</v>
      </c>
      <c r="C48" s="21">
        <f t="shared" si="12"/>
        <v>1</v>
      </c>
      <c r="D48" s="3475" t="s">
        <v>3443</v>
      </c>
      <c r="E48" s="21">
        <f t="shared" si="13"/>
        <v>1</v>
      </c>
      <c r="F48" s="3480" t="s">
        <v>4393</v>
      </c>
      <c r="G48" s="21">
        <f t="shared" si="14"/>
        <v>1.05</v>
      </c>
      <c r="H48" s="667"/>
      <c r="I48" s="21">
        <f t="shared" si="15"/>
        <v>1</v>
      </c>
      <c r="J48" s="667"/>
      <c r="K48" s="21">
        <f t="shared" si="16"/>
        <v>1</v>
      </c>
      <c r="L48" s="667"/>
      <c r="M48" s="21">
        <f t="shared" si="17"/>
        <v>1</v>
      </c>
      <c r="N48" s="667"/>
      <c r="O48" s="21">
        <f t="shared" si="18"/>
        <v>1</v>
      </c>
      <c r="P48" s="667"/>
      <c r="Q48" s="21">
        <f t="shared" si="19"/>
        <v>1</v>
      </c>
      <c r="R48" s="663">
        <f t="shared" ca="1" si="20"/>
        <v>5735</v>
      </c>
      <c r="S48" s="316">
        <f t="shared" ca="1" si="11"/>
        <v>6</v>
      </c>
    </row>
    <row r="49" spans="1:19">
      <c r="A49" s="150" t="s">
        <v>3518</v>
      </c>
      <c r="B49" s="3482">
        <v>8.32</v>
      </c>
      <c r="C49" s="21">
        <f t="shared" si="12"/>
        <v>1.01</v>
      </c>
      <c r="D49" s="3475" t="s">
        <v>3443</v>
      </c>
      <c r="E49" s="21">
        <f t="shared" si="13"/>
        <v>1</v>
      </c>
      <c r="F49" s="3480" t="s">
        <v>4399</v>
      </c>
      <c r="G49" s="21">
        <f t="shared" si="14"/>
        <v>1</v>
      </c>
      <c r="H49" s="667"/>
      <c r="I49" s="21">
        <f t="shared" si="15"/>
        <v>1</v>
      </c>
      <c r="J49" s="667"/>
      <c r="K49" s="21">
        <f t="shared" si="16"/>
        <v>1</v>
      </c>
      <c r="L49" s="667"/>
      <c r="M49" s="21">
        <f t="shared" si="17"/>
        <v>1</v>
      </c>
      <c r="N49" s="667"/>
      <c r="O49" s="21">
        <f t="shared" si="18"/>
        <v>1</v>
      </c>
      <c r="P49" s="667"/>
      <c r="Q49" s="21">
        <f t="shared" si="19"/>
        <v>1</v>
      </c>
      <c r="R49" s="663">
        <f t="shared" ca="1" si="20"/>
        <v>5517</v>
      </c>
      <c r="S49" s="316">
        <f t="shared" ca="1" si="11"/>
        <v>5</v>
      </c>
    </row>
    <row r="50" spans="1:19">
      <c r="A50" s="150" t="s">
        <v>3521</v>
      </c>
      <c r="B50" s="3482">
        <v>10.4</v>
      </c>
      <c r="C50" s="21">
        <f t="shared" si="12"/>
        <v>1</v>
      </c>
      <c r="D50" s="3475" t="s">
        <v>3443</v>
      </c>
      <c r="E50" s="21">
        <f t="shared" si="13"/>
        <v>1</v>
      </c>
      <c r="F50" s="3480" t="s">
        <v>4399</v>
      </c>
      <c r="G50" s="21">
        <f t="shared" si="14"/>
        <v>1</v>
      </c>
      <c r="H50" s="667"/>
      <c r="I50" s="21">
        <f t="shared" si="15"/>
        <v>1</v>
      </c>
      <c r="J50" s="667"/>
      <c r="K50" s="21">
        <f t="shared" si="16"/>
        <v>1</v>
      </c>
      <c r="L50" s="667"/>
      <c r="M50" s="21">
        <f t="shared" si="17"/>
        <v>1</v>
      </c>
      <c r="N50" s="667"/>
      <c r="O50" s="21">
        <f t="shared" si="18"/>
        <v>1</v>
      </c>
      <c r="P50" s="667"/>
      <c r="Q50" s="21">
        <f t="shared" si="19"/>
        <v>1</v>
      </c>
      <c r="R50" s="663">
        <f t="shared" ca="1" si="20"/>
        <v>5462</v>
      </c>
      <c r="S50" s="316">
        <f t="shared" ca="1" si="11"/>
        <v>6</v>
      </c>
    </row>
    <row r="51" spans="1:19">
      <c r="A51" s="150" t="s">
        <v>3524</v>
      </c>
      <c r="B51" s="3482">
        <v>10.32</v>
      </c>
      <c r="C51" s="21">
        <f t="shared" si="12"/>
        <v>1</v>
      </c>
      <c r="D51" s="3475" t="s">
        <v>3525</v>
      </c>
      <c r="E51" s="21">
        <f t="shared" si="13"/>
        <v>0.95</v>
      </c>
      <c r="F51" s="3480" t="s">
        <v>4399</v>
      </c>
      <c r="G51" s="21">
        <f t="shared" si="14"/>
        <v>1</v>
      </c>
      <c r="H51" s="667"/>
      <c r="I51" s="21">
        <f t="shared" si="15"/>
        <v>1</v>
      </c>
      <c r="J51" s="667"/>
      <c r="K51" s="21">
        <f t="shared" si="16"/>
        <v>1</v>
      </c>
      <c r="L51" s="667"/>
      <c r="M51" s="21">
        <f t="shared" si="17"/>
        <v>1</v>
      </c>
      <c r="N51" s="667"/>
      <c r="O51" s="21">
        <f t="shared" si="18"/>
        <v>1</v>
      </c>
      <c r="P51" s="667"/>
      <c r="Q51" s="21">
        <f t="shared" si="19"/>
        <v>1</v>
      </c>
      <c r="R51" s="663">
        <f t="shared" ca="1" si="20"/>
        <v>5189</v>
      </c>
      <c r="S51" s="316">
        <f t="shared" ca="1" si="11"/>
        <v>5</v>
      </c>
    </row>
    <row r="52" spans="1:19">
      <c r="A52" s="150" t="s">
        <v>3528</v>
      </c>
      <c r="B52" s="3482">
        <v>9.06</v>
      </c>
      <c r="C52" s="21">
        <f t="shared" si="12"/>
        <v>1.01</v>
      </c>
      <c r="D52" s="3475" t="s">
        <v>3525</v>
      </c>
      <c r="E52" s="21">
        <f t="shared" si="13"/>
        <v>0.95</v>
      </c>
      <c r="F52" s="3480" t="s">
        <v>4399</v>
      </c>
      <c r="G52" s="21">
        <f t="shared" si="14"/>
        <v>1</v>
      </c>
      <c r="H52" s="667"/>
      <c r="I52" s="21">
        <f t="shared" si="15"/>
        <v>1</v>
      </c>
      <c r="J52" s="667"/>
      <c r="K52" s="21">
        <f t="shared" si="16"/>
        <v>1</v>
      </c>
      <c r="L52" s="667"/>
      <c r="M52" s="21">
        <f t="shared" si="17"/>
        <v>1</v>
      </c>
      <c r="N52" s="667"/>
      <c r="O52" s="21">
        <f t="shared" si="18"/>
        <v>1</v>
      </c>
      <c r="P52" s="667"/>
      <c r="Q52" s="21">
        <f t="shared" si="19"/>
        <v>1</v>
      </c>
      <c r="R52" s="663">
        <f t="shared" ca="1" si="20"/>
        <v>5241</v>
      </c>
      <c r="S52" s="316">
        <f t="shared" ca="1" si="11"/>
        <v>5</v>
      </c>
    </row>
    <row r="53" spans="1:19">
      <c r="A53" s="150" t="s">
        <v>3531</v>
      </c>
      <c r="B53" s="3482">
        <v>9.06</v>
      </c>
      <c r="C53" s="21">
        <f t="shared" si="12"/>
        <v>1.01</v>
      </c>
      <c r="D53" s="3475" t="s">
        <v>3525</v>
      </c>
      <c r="E53" s="21">
        <f t="shared" si="13"/>
        <v>0.95</v>
      </c>
      <c r="F53" s="3480" t="s">
        <v>4399</v>
      </c>
      <c r="G53" s="21">
        <f t="shared" si="14"/>
        <v>1</v>
      </c>
      <c r="H53" s="667"/>
      <c r="I53" s="21">
        <f t="shared" si="15"/>
        <v>1</v>
      </c>
      <c r="J53" s="667"/>
      <c r="K53" s="21">
        <f t="shared" si="16"/>
        <v>1</v>
      </c>
      <c r="L53" s="667"/>
      <c r="M53" s="21">
        <f t="shared" si="17"/>
        <v>1</v>
      </c>
      <c r="N53" s="667"/>
      <c r="O53" s="21">
        <f t="shared" si="18"/>
        <v>1</v>
      </c>
      <c r="P53" s="667"/>
      <c r="Q53" s="21">
        <f t="shared" si="19"/>
        <v>1</v>
      </c>
      <c r="R53" s="663">
        <f t="shared" ca="1" si="20"/>
        <v>5241</v>
      </c>
      <c r="S53" s="316">
        <f t="shared" ca="1" si="11"/>
        <v>5</v>
      </c>
    </row>
    <row r="54" spans="1:19">
      <c r="A54" s="150" t="s">
        <v>3534</v>
      </c>
      <c r="B54" s="3482">
        <v>6.9</v>
      </c>
      <c r="C54" s="21">
        <f t="shared" si="12"/>
        <v>1.01</v>
      </c>
      <c r="D54" s="3475" t="s">
        <v>3525</v>
      </c>
      <c r="E54" s="21">
        <f t="shared" si="13"/>
        <v>0.95</v>
      </c>
      <c r="F54" s="3480" t="s">
        <v>4399</v>
      </c>
      <c r="G54" s="21">
        <f t="shared" si="14"/>
        <v>1</v>
      </c>
      <c r="H54" s="667"/>
      <c r="I54" s="21">
        <f t="shared" si="15"/>
        <v>1</v>
      </c>
      <c r="J54" s="667"/>
      <c r="K54" s="21">
        <f t="shared" si="16"/>
        <v>1</v>
      </c>
      <c r="L54" s="667"/>
      <c r="M54" s="21">
        <f t="shared" si="17"/>
        <v>1</v>
      </c>
      <c r="N54" s="667"/>
      <c r="O54" s="21">
        <f t="shared" si="18"/>
        <v>1</v>
      </c>
      <c r="P54" s="667"/>
      <c r="Q54" s="21">
        <f t="shared" si="19"/>
        <v>1</v>
      </c>
      <c r="R54" s="663">
        <f t="shared" ca="1" si="20"/>
        <v>5241</v>
      </c>
      <c r="S54" s="316">
        <f t="shared" ca="1" si="11"/>
        <v>4</v>
      </c>
    </row>
    <row r="55" spans="1:19">
      <c r="A55" s="150" t="s">
        <v>3537</v>
      </c>
      <c r="B55" s="3482">
        <v>11.93</v>
      </c>
      <c r="C55" s="21">
        <f t="shared" si="12"/>
        <v>1</v>
      </c>
      <c r="D55" s="3475" t="s">
        <v>3525</v>
      </c>
      <c r="E55" s="21">
        <f t="shared" si="13"/>
        <v>0.95</v>
      </c>
      <c r="F55" s="3480" t="s">
        <v>4393</v>
      </c>
      <c r="G55" s="21">
        <f t="shared" si="14"/>
        <v>1.05</v>
      </c>
      <c r="H55" s="667"/>
      <c r="I55" s="21">
        <f t="shared" si="15"/>
        <v>1</v>
      </c>
      <c r="J55" s="667"/>
      <c r="K55" s="21">
        <f t="shared" si="16"/>
        <v>1</v>
      </c>
      <c r="L55" s="667"/>
      <c r="M55" s="21">
        <f t="shared" si="17"/>
        <v>1</v>
      </c>
      <c r="N55" s="667"/>
      <c r="O55" s="21">
        <f t="shared" si="18"/>
        <v>1</v>
      </c>
      <c r="P55" s="667"/>
      <c r="Q55" s="21">
        <f t="shared" si="19"/>
        <v>1</v>
      </c>
      <c r="R55" s="663">
        <f t="shared" ca="1" si="20"/>
        <v>5448</v>
      </c>
      <c r="S55" s="316">
        <f t="shared" ref="S55:S77" ca="1" si="21">ROUND(R55*B55/10000,0)</f>
        <v>6</v>
      </c>
    </row>
    <row r="56" spans="1:19">
      <c r="A56" s="150" t="s">
        <v>3540</v>
      </c>
      <c r="B56" s="3482">
        <v>5.27</v>
      </c>
      <c r="C56" s="21">
        <f t="shared" si="12"/>
        <v>1.01</v>
      </c>
      <c r="D56" s="3475" t="s">
        <v>3525</v>
      </c>
      <c r="E56" s="21">
        <f t="shared" si="13"/>
        <v>0.95</v>
      </c>
      <c r="F56" s="3480" t="s">
        <v>4399</v>
      </c>
      <c r="G56" s="21">
        <f t="shared" si="14"/>
        <v>1</v>
      </c>
      <c r="H56" s="667"/>
      <c r="I56" s="21">
        <f t="shared" si="15"/>
        <v>1</v>
      </c>
      <c r="J56" s="667"/>
      <c r="K56" s="21">
        <f t="shared" si="16"/>
        <v>1</v>
      </c>
      <c r="L56" s="667"/>
      <c r="M56" s="21">
        <f t="shared" si="17"/>
        <v>1</v>
      </c>
      <c r="N56" s="667"/>
      <c r="O56" s="21">
        <f t="shared" si="18"/>
        <v>1</v>
      </c>
      <c r="P56" s="667"/>
      <c r="Q56" s="21">
        <f t="shared" si="19"/>
        <v>1</v>
      </c>
      <c r="R56" s="663">
        <f t="shared" ca="1" si="20"/>
        <v>5241</v>
      </c>
      <c r="S56" s="316">
        <f t="shared" ca="1" si="21"/>
        <v>3</v>
      </c>
    </row>
    <row r="57" spans="1:19">
      <c r="A57" s="150" t="s">
        <v>3543</v>
      </c>
      <c r="B57" s="3482">
        <v>8.31</v>
      </c>
      <c r="C57" s="21">
        <f t="shared" si="12"/>
        <v>1.01</v>
      </c>
      <c r="D57" s="3475" t="s">
        <v>3525</v>
      </c>
      <c r="E57" s="21">
        <f t="shared" si="13"/>
        <v>0.95</v>
      </c>
      <c r="F57" s="3480" t="s">
        <v>4399</v>
      </c>
      <c r="G57" s="21">
        <f t="shared" si="14"/>
        <v>1</v>
      </c>
      <c r="H57" s="667"/>
      <c r="I57" s="21">
        <f t="shared" si="15"/>
        <v>1</v>
      </c>
      <c r="J57" s="667"/>
      <c r="K57" s="21">
        <f t="shared" si="16"/>
        <v>1</v>
      </c>
      <c r="L57" s="667"/>
      <c r="M57" s="21">
        <f t="shared" si="17"/>
        <v>1</v>
      </c>
      <c r="N57" s="667"/>
      <c r="O57" s="21">
        <f t="shared" si="18"/>
        <v>1</v>
      </c>
      <c r="P57" s="667"/>
      <c r="Q57" s="21">
        <f t="shared" si="19"/>
        <v>1</v>
      </c>
      <c r="R57" s="663">
        <f t="shared" ca="1" si="20"/>
        <v>5241</v>
      </c>
      <c r="S57" s="316">
        <f t="shared" ca="1" si="21"/>
        <v>4</v>
      </c>
    </row>
    <row r="58" spans="1:19">
      <c r="A58" s="150" t="s">
        <v>3546</v>
      </c>
      <c r="B58" s="3482">
        <v>6.8</v>
      </c>
      <c r="C58" s="21">
        <f t="shared" si="12"/>
        <v>1.01</v>
      </c>
      <c r="D58" s="3475" t="s">
        <v>3525</v>
      </c>
      <c r="E58" s="21">
        <f t="shared" si="13"/>
        <v>0.95</v>
      </c>
      <c r="F58" s="3480" t="s">
        <v>4399</v>
      </c>
      <c r="G58" s="21">
        <f t="shared" si="14"/>
        <v>1</v>
      </c>
      <c r="H58" s="667"/>
      <c r="I58" s="21">
        <f t="shared" si="15"/>
        <v>1</v>
      </c>
      <c r="J58" s="667"/>
      <c r="K58" s="21">
        <f t="shared" si="16"/>
        <v>1</v>
      </c>
      <c r="L58" s="667"/>
      <c r="M58" s="21">
        <f t="shared" si="17"/>
        <v>1</v>
      </c>
      <c r="N58" s="667"/>
      <c r="O58" s="21">
        <f t="shared" si="18"/>
        <v>1</v>
      </c>
      <c r="P58" s="667"/>
      <c r="Q58" s="21">
        <f t="shared" si="19"/>
        <v>1</v>
      </c>
      <c r="R58" s="663">
        <f t="shared" ca="1" si="20"/>
        <v>5241</v>
      </c>
      <c r="S58" s="316">
        <f t="shared" ca="1" si="21"/>
        <v>4</v>
      </c>
    </row>
    <row r="59" spans="1:19">
      <c r="A59" s="150" t="s">
        <v>3549</v>
      </c>
      <c r="B59" s="3482">
        <v>7.82</v>
      </c>
      <c r="C59" s="21">
        <f t="shared" si="12"/>
        <v>1.01</v>
      </c>
      <c r="D59" s="3475" t="s">
        <v>3525</v>
      </c>
      <c r="E59" s="21">
        <f t="shared" si="13"/>
        <v>0.95</v>
      </c>
      <c r="F59" s="3480" t="s">
        <v>4394</v>
      </c>
      <c r="G59" s="21">
        <f t="shared" si="14"/>
        <v>1.05</v>
      </c>
      <c r="H59" s="667"/>
      <c r="I59" s="21">
        <f t="shared" si="15"/>
        <v>1</v>
      </c>
      <c r="J59" s="667"/>
      <c r="K59" s="21">
        <f t="shared" si="16"/>
        <v>1</v>
      </c>
      <c r="L59" s="667"/>
      <c r="M59" s="21">
        <f t="shared" si="17"/>
        <v>1</v>
      </c>
      <c r="N59" s="667"/>
      <c r="O59" s="21">
        <f t="shared" si="18"/>
        <v>1</v>
      </c>
      <c r="P59" s="667"/>
      <c r="Q59" s="21">
        <f t="shared" si="19"/>
        <v>1</v>
      </c>
      <c r="R59" s="663">
        <f t="shared" ca="1" si="20"/>
        <v>5503</v>
      </c>
      <c r="S59" s="316">
        <f t="shared" ca="1" si="21"/>
        <v>4</v>
      </c>
    </row>
    <row r="60" spans="1:19">
      <c r="A60" s="150" t="s">
        <v>3552</v>
      </c>
      <c r="B60" s="3482">
        <v>9.82</v>
      </c>
      <c r="C60" s="21">
        <f t="shared" si="12"/>
        <v>1.01</v>
      </c>
      <c r="D60" s="3475" t="s">
        <v>3525</v>
      </c>
      <c r="E60" s="21">
        <f t="shared" si="13"/>
        <v>0.95</v>
      </c>
      <c r="F60" s="3480" t="s">
        <v>4399</v>
      </c>
      <c r="G60" s="21">
        <f t="shared" si="14"/>
        <v>1</v>
      </c>
      <c r="H60" s="667"/>
      <c r="I60" s="21">
        <f t="shared" si="15"/>
        <v>1</v>
      </c>
      <c r="J60" s="667"/>
      <c r="K60" s="21">
        <f t="shared" si="16"/>
        <v>1</v>
      </c>
      <c r="L60" s="667"/>
      <c r="M60" s="21">
        <f t="shared" si="17"/>
        <v>1</v>
      </c>
      <c r="N60" s="667"/>
      <c r="O60" s="21">
        <f t="shared" si="18"/>
        <v>1</v>
      </c>
      <c r="P60" s="667"/>
      <c r="Q60" s="21">
        <f t="shared" si="19"/>
        <v>1</v>
      </c>
      <c r="R60" s="663">
        <f t="shared" ca="1" si="20"/>
        <v>5241</v>
      </c>
      <c r="S60" s="316">
        <f t="shared" ca="1" si="21"/>
        <v>5</v>
      </c>
    </row>
    <row r="61" spans="1:19">
      <c r="A61" s="150" t="s">
        <v>3555</v>
      </c>
      <c r="B61" s="3482">
        <v>7.69</v>
      </c>
      <c r="C61" s="21">
        <f t="shared" si="12"/>
        <v>1.01</v>
      </c>
      <c r="D61" s="3475" t="s">
        <v>3525</v>
      </c>
      <c r="E61" s="21">
        <f t="shared" si="13"/>
        <v>0.95</v>
      </c>
      <c r="F61" s="3480" t="s">
        <v>4399</v>
      </c>
      <c r="G61" s="21">
        <f t="shared" si="14"/>
        <v>1</v>
      </c>
      <c r="H61" s="667"/>
      <c r="I61" s="21">
        <f t="shared" si="15"/>
        <v>1</v>
      </c>
      <c r="J61" s="667"/>
      <c r="K61" s="21">
        <f t="shared" si="16"/>
        <v>1</v>
      </c>
      <c r="L61" s="667"/>
      <c r="M61" s="21">
        <f t="shared" si="17"/>
        <v>1</v>
      </c>
      <c r="N61" s="667"/>
      <c r="O61" s="21">
        <f t="shared" si="18"/>
        <v>1</v>
      </c>
      <c r="P61" s="667"/>
      <c r="Q61" s="21">
        <f t="shared" si="19"/>
        <v>1</v>
      </c>
      <c r="R61" s="663">
        <f t="shared" ca="1" si="20"/>
        <v>5241</v>
      </c>
      <c r="S61" s="316">
        <f t="shared" ca="1" si="21"/>
        <v>4</v>
      </c>
    </row>
    <row r="62" spans="1:19">
      <c r="A62" s="150" t="s">
        <v>3558</v>
      </c>
      <c r="B62" s="3482">
        <v>7.69</v>
      </c>
      <c r="C62" s="21">
        <f t="shared" si="12"/>
        <v>1.01</v>
      </c>
      <c r="D62" s="3475" t="s">
        <v>3525</v>
      </c>
      <c r="E62" s="21">
        <f t="shared" si="13"/>
        <v>0.95</v>
      </c>
      <c r="F62" s="3480" t="s">
        <v>4399</v>
      </c>
      <c r="G62" s="21">
        <f t="shared" si="14"/>
        <v>1</v>
      </c>
      <c r="H62" s="667"/>
      <c r="I62" s="21">
        <f t="shared" si="15"/>
        <v>1</v>
      </c>
      <c r="J62" s="667"/>
      <c r="K62" s="21">
        <f t="shared" si="16"/>
        <v>1</v>
      </c>
      <c r="L62" s="667"/>
      <c r="M62" s="21">
        <f t="shared" si="17"/>
        <v>1</v>
      </c>
      <c r="N62" s="667"/>
      <c r="O62" s="21">
        <f t="shared" si="18"/>
        <v>1</v>
      </c>
      <c r="P62" s="667"/>
      <c r="Q62" s="21">
        <f t="shared" si="19"/>
        <v>1</v>
      </c>
      <c r="R62" s="663">
        <f t="shared" ca="1" si="20"/>
        <v>5241</v>
      </c>
      <c r="S62" s="316">
        <f t="shared" ca="1" si="21"/>
        <v>4</v>
      </c>
    </row>
    <row r="63" spans="1:19">
      <c r="A63" s="150" t="s">
        <v>3561</v>
      </c>
      <c r="B63" s="3482">
        <v>7.69</v>
      </c>
      <c r="C63" s="21">
        <f t="shared" si="12"/>
        <v>1.01</v>
      </c>
      <c r="D63" s="3475" t="s">
        <v>3525</v>
      </c>
      <c r="E63" s="21">
        <f t="shared" si="13"/>
        <v>0.95</v>
      </c>
      <c r="F63" s="3480" t="s">
        <v>4399</v>
      </c>
      <c r="G63" s="21">
        <f t="shared" si="14"/>
        <v>1</v>
      </c>
      <c r="H63" s="667"/>
      <c r="I63" s="21">
        <f t="shared" si="15"/>
        <v>1</v>
      </c>
      <c r="J63" s="667"/>
      <c r="K63" s="21">
        <f t="shared" si="16"/>
        <v>1</v>
      </c>
      <c r="L63" s="667"/>
      <c r="M63" s="21">
        <f t="shared" si="17"/>
        <v>1</v>
      </c>
      <c r="N63" s="667"/>
      <c r="O63" s="21">
        <f t="shared" si="18"/>
        <v>1</v>
      </c>
      <c r="P63" s="667"/>
      <c r="Q63" s="21">
        <f t="shared" si="19"/>
        <v>1</v>
      </c>
      <c r="R63" s="663">
        <f t="shared" ca="1" si="20"/>
        <v>5241</v>
      </c>
      <c r="S63" s="316">
        <f t="shared" ca="1" si="21"/>
        <v>4</v>
      </c>
    </row>
    <row r="64" spans="1:19">
      <c r="A64" s="150" t="s">
        <v>3564</v>
      </c>
      <c r="B64" s="3482">
        <v>7.69</v>
      </c>
      <c r="C64" s="21">
        <f t="shared" si="12"/>
        <v>1.01</v>
      </c>
      <c r="D64" s="3475" t="s">
        <v>3525</v>
      </c>
      <c r="E64" s="21">
        <f t="shared" si="13"/>
        <v>0.95</v>
      </c>
      <c r="F64" s="3480" t="s">
        <v>4399</v>
      </c>
      <c r="G64" s="21">
        <f t="shared" si="14"/>
        <v>1</v>
      </c>
      <c r="H64" s="667"/>
      <c r="I64" s="21">
        <f t="shared" si="15"/>
        <v>1</v>
      </c>
      <c r="J64" s="667"/>
      <c r="K64" s="21">
        <f t="shared" si="16"/>
        <v>1</v>
      </c>
      <c r="L64" s="667"/>
      <c r="M64" s="21">
        <f t="shared" si="17"/>
        <v>1</v>
      </c>
      <c r="N64" s="667"/>
      <c r="O64" s="21">
        <f t="shared" si="18"/>
        <v>1</v>
      </c>
      <c r="P64" s="667"/>
      <c r="Q64" s="21">
        <f t="shared" si="19"/>
        <v>1</v>
      </c>
      <c r="R64" s="663">
        <f t="shared" ca="1" si="20"/>
        <v>5241</v>
      </c>
      <c r="S64" s="316">
        <f t="shared" ca="1" si="21"/>
        <v>4</v>
      </c>
    </row>
    <row r="65" spans="1:19">
      <c r="A65" s="150" t="s">
        <v>3567</v>
      </c>
      <c r="B65" s="3482">
        <v>9.82</v>
      </c>
      <c r="C65" s="21">
        <f t="shared" si="12"/>
        <v>1.01</v>
      </c>
      <c r="D65" s="3475" t="s">
        <v>3525</v>
      </c>
      <c r="E65" s="21">
        <f t="shared" si="13"/>
        <v>0.95</v>
      </c>
      <c r="F65" s="3480" t="s">
        <v>4399</v>
      </c>
      <c r="G65" s="21">
        <f t="shared" si="14"/>
        <v>1</v>
      </c>
      <c r="H65" s="667"/>
      <c r="I65" s="21">
        <f t="shared" si="15"/>
        <v>1</v>
      </c>
      <c r="J65" s="667"/>
      <c r="K65" s="21">
        <f t="shared" si="16"/>
        <v>1</v>
      </c>
      <c r="L65" s="667"/>
      <c r="M65" s="21">
        <f t="shared" si="17"/>
        <v>1</v>
      </c>
      <c r="N65" s="667"/>
      <c r="O65" s="21">
        <f t="shared" si="18"/>
        <v>1</v>
      </c>
      <c r="P65" s="667"/>
      <c r="Q65" s="21">
        <f t="shared" si="19"/>
        <v>1</v>
      </c>
      <c r="R65" s="663">
        <f t="shared" ca="1" si="20"/>
        <v>5241</v>
      </c>
      <c r="S65" s="316">
        <f t="shared" ca="1" si="21"/>
        <v>5</v>
      </c>
    </row>
    <row r="66" spans="1:19">
      <c r="A66" s="150" t="s">
        <v>3570</v>
      </c>
      <c r="B66" s="3482">
        <v>7.82</v>
      </c>
      <c r="C66" s="21">
        <f t="shared" si="12"/>
        <v>1.01</v>
      </c>
      <c r="D66" s="3475" t="s">
        <v>3525</v>
      </c>
      <c r="E66" s="21">
        <f t="shared" si="13"/>
        <v>0.95</v>
      </c>
      <c r="F66" s="3480" t="s">
        <v>4393</v>
      </c>
      <c r="G66" s="21">
        <f t="shared" si="14"/>
        <v>1.05</v>
      </c>
      <c r="H66" s="667"/>
      <c r="I66" s="21">
        <f t="shared" si="15"/>
        <v>1</v>
      </c>
      <c r="J66" s="667"/>
      <c r="K66" s="21">
        <f t="shared" si="16"/>
        <v>1</v>
      </c>
      <c r="L66" s="667"/>
      <c r="M66" s="21">
        <f t="shared" si="17"/>
        <v>1</v>
      </c>
      <c r="N66" s="667"/>
      <c r="O66" s="21">
        <f t="shared" si="18"/>
        <v>1</v>
      </c>
      <c r="P66" s="667"/>
      <c r="Q66" s="21">
        <f t="shared" si="19"/>
        <v>1</v>
      </c>
      <c r="R66" s="663">
        <f t="shared" ca="1" si="20"/>
        <v>5503</v>
      </c>
      <c r="S66" s="316">
        <f t="shared" ca="1" si="21"/>
        <v>4</v>
      </c>
    </row>
    <row r="67" spans="1:19">
      <c r="A67" s="150" t="s">
        <v>3573</v>
      </c>
      <c r="B67" s="3482">
        <v>9.06</v>
      </c>
      <c r="C67" s="21">
        <f t="shared" si="12"/>
        <v>1.01</v>
      </c>
      <c r="D67" s="3475" t="s">
        <v>3525</v>
      </c>
      <c r="E67" s="21">
        <f t="shared" si="13"/>
        <v>0.95</v>
      </c>
      <c r="F67" s="3480" t="s">
        <v>4399</v>
      </c>
      <c r="G67" s="21">
        <f t="shared" si="14"/>
        <v>1</v>
      </c>
      <c r="H67" s="667"/>
      <c r="I67" s="21">
        <f t="shared" si="15"/>
        <v>1</v>
      </c>
      <c r="J67" s="667"/>
      <c r="K67" s="21">
        <f t="shared" si="16"/>
        <v>1</v>
      </c>
      <c r="L67" s="667"/>
      <c r="M67" s="21">
        <f t="shared" si="17"/>
        <v>1</v>
      </c>
      <c r="N67" s="667"/>
      <c r="O67" s="21">
        <f t="shared" si="18"/>
        <v>1</v>
      </c>
      <c r="P67" s="667"/>
      <c r="Q67" s="21">
        <f t="shared" si="19"/>
        <v>1</v>
      </c>
      <c r="R67" s="663">
        <f t="shared" ca="1" si="20"/>
        <v>5241</v>
      </c>
      <c r="S67" s="316">
        <f t="shared" ca="1" si="21"/>
        <v>5</v>
      </c>
    </row>
    <row r="68" spans="1:19">
      <c r="A68" s="150" t="s">
        <v>3576</v>
      </c>
      <c r="B68" s="3482">
        <v>9.06</v>
      </c>
      <c r="C68" s="21">
        <f t="shared" si="12"/>
        <v>1.01</v>
      </c>
      <c r="D68" s="3475" t="s">
        <v>3525</v>
      </c>
      <c r="E68" s="21">
        <f t="shared" si="13"/>
        <v>0.95</v>
      </c>
      <c r="F68" s="3480" t="s">
        <v>4399</v>
      </c>
      <c r="G68" s="21">
        <f t="shared" si="14"/>
        <v>1</v>
      </c>
      <c r="H68" s="667"/>
      <c r="I68" s="21">
        <f t="shared" si="15"/>
        <v>1</v>
      </c>
      <c r="J68" s="667"/>
      <c r="K68" s="21">
        <f t="shared" si="16"/>
        <v>1</v>
      </c>
      <c r="L68" s="667"/>
      <c r="M68" s="21">
        <f t="shared" si="17"/>
        <v>1</v>
      </c>
      <c r="N68" s="667"/>
      <c r="O68" s="21">
        <f t="shared" si="18"/>
        <v>1</v>
      </c>
      <c r="P68" s="667"/>
      <c r="Q68" s="21">
        <f t="shared" si="19"/>
        <v>1</v>
      </c>
      <c r="R68" s="663">
        <f t="shared" ca="1" si="20"/>
        <v>5241</v>
      </c>
      <c r="S68" s="316">
        <f t="shared" ca="1" si="21"/>
        <v>5</v>
      </c>
    </row>
    <row r="69" spans="1:19">
      <c r="A69" s="150" t="s">
        <v>3579</v>
      </c>
      <c r="B69" s="3482">
        <v>8.32</v>
      </c>
      <c r="C69" s="21">
        <f t="shared" si="12"/>
        <v>1.01</v>
      </c>
      <c r="D69" s="3475" t="s">
        <v>3525</v>
      </c>
      <c r="E69" s="21">
        <f t="shared" si="13"/>
        <v>0.95</v>
      </c>
      <c r="F69" s="3480" t="s">
        <v>4399</v>
      </c>
      <c r="G69" s="21">
        <f t="shared" si="14"/>
        <v>1</v>
      </c>
      <c r="H69" s="667"/>
      <c r="I69" s="21">
        <f t="shared" si="15"/>
        <v>1</v>
      </c>
      <c r="J69" s="667"/>
      <c r="K69" s="21">
        <f t="shared" si="16"/>
        <v>1</v>
      </c>
      <c r="L69" s="667"/>
      <c r="M69" s="21">
        <f t="shared" si="17"/>
        <v>1</v>
      </c>
      <c r="N69" s="667"/>
      <c r="O69" s="21">
        <f t="shared" si="18"/>
        <v>1</v>
      </c>
      <c r="P69" s="667"/>
      <c r="Q69" s="21">
        <f t="shared" si="19"/>
        <v>1</v>
      </c>
      <c r="R69" s="663">
        <f t="shared" ca="1" si="20"/>
        <v>5241</v>
      </c>
      <c r="S69" s="316">
        <f t="shared" ca="1" si="21"/>
        <v>4</v>
      </c>
    </row>
    <row r="70" spans="1:19">
      <c r="A70" s="150" t="s">
        <v>3583</v>
      </c>
      <c r="B70" s="3482">
        <v>8.24</v>
      </c>
      <c r="C70" s="21">
        <f t="shared" si="12"/>
        <v>1.01</v>
      </c>
      <c r="D70" s="3475" t="s">
        <v>3443</v>
      </c>
      <c r="E70" s="21">
        <f t="shared" si="13"/>
        <v>1</v>
      </c>
      <c r="F70" s="3480" t="s">
        <v>4399</v>
      </c>
      <c r="G70" s="21">
        <f t="shared" si="14"/>
        <v>1</v>
      </c>
      <c r="H70" s="667"/>
      <c r="I70" s="21">
        <f t="shared" si="15"/>
        <v>1</v>
      </c>
      <c r="J70" s="667"/>
      <c r="K70" s="21">
        <f t="shared" si="16"/>
        <v>1</v>
      </c>
      <c r="L70" s="667"/>
      <c r="M70" s="21">
        <f t="shared" si="17"/>
        <v>1</v>
      </c>
      <c r="N70" s="667"/>
      <c r="O70" s="21">
        <f t="shared" si="18"/>
        <v>1</v>
      </c>
      <c r="P70" s="667"/>
      <c r="Q70" s="21">
        <f t="shared" si="19"/>
        <v>1</v>
      </c>
      <c r="R70" s="663">
        <f t="shared" ca="1" si="20"/>
        <v>5517</v>
      </c>
      <c r="S70" s="316">
        <f t="shared" ca="1" si="21"/>
        <v>5</v>
      </c>
    </row>
    <row r="71" spans="1:19">
      <c r="A71" s="150" t="s">
        <v>3586</v>
      </c>
      <c r="B71" s="3482">
        <v>10.69</v>
      </c>
      <c r="C71" s="21">
        <f t="shared" si="12"/>
        <v>1</v>
      </c>
      <c r="D71" s="3475" t="s">
        <v>3443</v>
      </c>
      <c r="E71" s="21">
        <f t="shared" si="13"/>
        <v>1</v>
      </c>
      <c r="F71" s="3480" t="s">
        <v>4393</v>
      </c>
      <c r="G71" s="21">
        <f t="shared" si="14"/>
        <v>1.05</v>
      </c>
      <c r="H71" s="667"/>
      <c r="I71" s="21">
        <f t="shared" si="15"/>
        <v>1</v>
      </c>
      <c r="J71" s="667"/>
      <c r="K71" s="21">
        <f t="shared" si="16"/>
        <v>1</v>
      </c>
      <c r="L71" s="667"/>
      <c r="M71" s="21">
        <f t="shared" si="17"/>
        <v>1</v>
      </c>
      <c r="N71" s="667"/>
      <c r="O71" s="21">
        <f t="shared" si="18"/>
        <v>1</v>
      </c>
      <c r="P71" s="667"/>
      <c r="Q71" s="21">
        <f t="shared" si="19"/>
        <v>1</v>
      </c>
      <c r="R71" s="663">
        <f t="shared" ca="1" si="20"/>
        <v>5735</v>
      </c>
      <c r="S71" s="316">
        <f t="shared" ca="1" si="21"/>
        <v>6</v>
      </c>
    </row>
    <row r="72" spans="1:19">
      <c r="A72" s="150" t="s">
        <v>3589</v>
      </c>
      <c r="B72" s="3482">
        <v>7.72</v>
      </c>
      <c r="C72" s="21">
        <f t="shared" si="12"/>
        <v>1.01</v>
      </c>
      <c r="D72" s="3475" t="s">
        <v>3443</v>
      </c>
      <c r="E72" s="21">
        <f t="shared" si="13"/>
        <v>1</v>
      </c>
      <c r="F72" s="3480" t="s">
        <v>4399</v>
      </c>
      <c r="G72" s="21">
        <f t="shared" si="14"/>
        <v>1</v>
      </c>
      <c r="H72" s="667"/>
      <c r="I72" s="21">
        <f t="shared" si="15"/>
        <v>1</v>
      </c>
      <c r="J72" s="667"/>
      <c r="K72" s="21">
        <f t="shared" si="16"/>
        <v>1</v>
      </c>
      <c r="L72" s="667"/>
      <c r="M72" s="21">
        <f t="shared" si="17"/>
        <v>1</v>
      </c>
      <c r="N72" s="667"/>
      <c r="O72" s="21">
        <f t="shared" si="18"/>
        <v>1</v>
      </c>
      <c r="P72" s="667"/>
      <c r="Q72" s="21">
        <f t="shared" si="19"/>
        <v>1</v>
      </c>
      <c r="R72" s="663">
        <f t="shared" ca="1" si="20"/>
        <v>5517</v>
      </c>
      <c r="S72" s="316">
        <f t="shared" ca="1" si="21"/>
        <v>4</v>
      </c>
    </row>
    <row r="73" spans="1:19">
      <c r="A73" s="150" t="s">
        <v>3592</v>
      </c>
      <c r="B73" s="3482">
        <v>8.35</v>
      </c>
      <c r="C73" s="21">
        <f t="shared" si="12"/>
        <v>1.01</v>
      </c>
      <c r="D73" s="3475" t="s">
        <v>3443</v>
      </c>
      <c r="E73" s="21">
        <f t="shared" si="13"/>
        <v>1</v>
      </c>
      <c r="F73" s="3480" t="s">
        <v>4399</v>
      </c>
      <c r="G73" s="21">
        <f t="shared" si="14"/>
        <v>1</v>
      </c>
      <c r="H73" s="667"/>
      <c r="I73" s="21">
        <f t="shared" si="15"/>
        <v>1</v>
      </c>
      <c r="J73" s="667"/>
      <c r="K73" s="21">
        <f t="shared" si="16"/>
        <v>1</v>
      </c>
      <c r="L73" s="667"/>
      <c r="M73" s="21">
        <f t="shared" si="17"/>
        <v>1</v>
      </c>
      <c r="N73" s="667"/>
      <c r="O73" s="21">
        <f t="shared" si="18"/>
        <v>1</v>
      </c>
      <c r="P73" s="667"/>
      <c r="Q73" s="21">
        <f t="shared" si="19"/>
        <v>1</v>
      </c>
      <c r="R73" s="663">
        <f t="shared" ca="1" si="20"/>
        <v>5517</v>
      </c>
      <c r="S73" s="316">
        <f t="shared" ca="1" si="21"/>
        <v>5</v>
      </c>
    </row>
    <row r="74" spans="1:19">
      <c r="A74" s="150" t="s">
        <v>3595</v>
      </c>
      <c r="B74" s="3482">
        <v>10.65</v>
      </c>
      <c r="C74" s="21">
        <f t="shared" si="12"/>
        <v>1</v>
      </c>
      <c r="D74" s="3475" t="s">
        <v>3443</v>
      </c>
      <c r="E74" s="21">
        <f t="shared" si="13"/>
        <v>1</v>
      </c>
      <c r="F74" s="3480" t="s">
        <v>4399</v>
      </c>
      <c r="G74" s="21">
        <f t="shared" si="14"/>
        <v>1</v>
      </c>
      <c r="H74" s="667"/>
      <c r="I74" s="21">
        <f t="shared" si="15"/>
        <v>1</v>
      </c>
      <c r="J74" s="667"/>
      <c r="K74" s="21">
        <f t="shared" si="16"/>
        <v>1</v>
      </c>
      <c r="L74" s="667"/>
      <c r="M74" s="21">
        <f t="shared" si="17"/>
        <v>1</v>
      </c>
      <c r="N74" s="667"/>
      <c r="O74" s="21">
        <f t="shared" si="18"/>
        <v>1</v>
      </c>
      <c r="P74" s="667"/>
      <c r="Q74" s="21">
        <f t="shared" si="19"/>
        <v>1</v>
      </c>
      <c r="R74" s="663">
        <f t="shared" ca="1" si="20"/>
        <v>5462</v>
      </c>
      <c r="S74" s="316">
        <f t="shared" ca="1" si="21"/>
        <v>6</v>
      </c>
    </row>
    <row r="75" spans="1:19">
      <c r="A75" s="150" t="s">
        <v>3598</v>
      </c>
      <c r="B75" s="3482">
        <v>10.65</v>
      </c>
      <c r="C75" s="21">
        <f t="shared" si="12"/>
        <v>1</v>
      </c>
      <c r="D75" s="3475" t="s">
        <v>3443</v>
      </c>
      <c r="E75" s="21">
        <f t="shared" si="13"/>
        <v>1</v>
      </c>
      <c r="F75" s="3480" t="s">
        <v>4399</v>
      </c>
      <c r="G75" s="21">
        <f t="shared" si="14"/>
        <v>1</v>
      </c>
      <c r="H75" s="667"/>
      <c r="I75" s="21">
        <f t="shared" si="15"/>
        <v>1</v>
      </c>
      <c r="J75" s="667"/>
      <c r="K75" s="21">
        <f t="shared" si="16"/>
        <v>1</v>
      </c>
      <c r="L75" s="667"/>
      <c r="M75" s="21">
        <f t="shared" si="17"/>
        <v>1</v>
      </c>
      <c r="N75" s="667"/>
      <c r="O75" s="21">
        <f t="shared" si="18"/>
        <v>1</v>
      </c>
      <c r="P75" s="667"/>
      <c r="Q75" s="21">
        <f t="shared" si="19"/>
        <v>1</v>
      </c>
      <c r="R75" s="663">
        <f t="shared" ca="1" si="20"/>
        <v>5462</v>
      </c>
      <c r="S75" s="316">
        <f t="shared" ca="1" si="21"/>
        <v>6</v>
      </c>
    </row>
    <row r="76" spans="1:19">
      <c r="A76" s="150" t="s">
        <v>3601</v>
      </c>
      <c r="B76" s="3482">
        <v>4.45</v>
      </c>
      <c r="C76" s="21">
        <f t="shared" si="12"/>
        <v>1.02</v>
      </c>
      <c r="D76" s="3475" t="s">
        <v>3443</v>
      </c>
      <c r="E76" s="21">
        <f t="shared" si="13"/>
        <v>1</v>
      </c>
      <c r="F76" s="3480" t="s">
        <v>4399</v>
      </c>
      <c r="G76" s="21">
        <f t="shared" si="14"/>
        <v>1</v>
      </c>
      <c r="H76" s="667"/>
      <c r="I76" s="21">
        <f t="shared" si="15"/>
        <v>1</v>
      </c>
      <c r="J76" s="667"/>
      <c r="K76" s="21">
        <f t="shared" si="16"/>
        <v>1</v>
      </c>
      <c r="L76" s="667"/>
      <c r="M76" s="21">
        <f t="shared" si="17"/>
        <v>1</v>
      </c>
      <c r="N76" s="667"/>
      <c r="O76" s="21">
        <f t="shared" si="18"/>
        <v>1</v>
      </c>
      <c r="P76" s="667"/>
      <c r="Q76" s="21">
        <f t="shared" si="19"/>
        <v>1</v>
      </c>
      <c r="R76" s="663">
        <f t="shared" ca="1" si="20"/>
        <v>5571</v>
      </c>
      <c r="S76" s="316">
        <f t="shared" ca="1" si="21"/>
        <v>2</v>
      </c>
    </row>
    <row r="77" spans="1:19">
      <c r="A77" s="150" t="s">
        <v>3604</v>
      </c>
      <c r="B77" s="3482">
        <v>7.2</v>
      </c>
      <c r="C77" s="21">
        <f t="shared" si="12"/>
        <v>1.01</v>
      </c>
      <c r="D77" s="3475" t="s">
        <v>3443</v>
      </c>
      <c r="E77" s="21">
        <f t="shared" si="13"/>
        <v>1</v>
      </c>
      <c r="F77" s="3480" t="s">
        <v>4399</v>
      </c>
      <c r="G77" s="21">
        <f t="shared" si="14"/>
        <v>1</v>
      </c>
      <c r="H77" s="667"/>
      <c r="I77" s="21">
        <f t="shared" si="15"/>
        <v>1</v>
      </c>
      <c r="J77" s="667"/>
      <c r="K77" s="21">
        <f t="shared" si="16"/>
        <v>1</v>
      </c>
      <c r="L77" s="667"/>
      <c r="M77" s="21">
        <f t="shared" si="17"/>
        <v>1</v>
      </c>
      <c r="N77" s="667"/>
      <c r="O77" s="21">
        <f t="shared" si="18"/>
        <v>1</v>
      </c>
      <c r="P77" s="667"/>
      <c r="Q77" s="21">
        <f t="shared" si="19"/>
        <v>1</v>
      </c>
      <c r="R77" s="663">
        <f t="shared" ca="1" si="20"/>
        <v>5517</v>
      </c>
      <c r="S77" s="316">
        <f t="shared" ca="1" si="21"/>
        <v>4</v>
      </c>
    </row>
    <row r="78" spans="1:19">
      <c r="A78" s="150" t="s">
        <v>3607</v>
      </c>
      <c r="B78" s="3482">
        <v>6.98</v>
      </c>
      <c r="C78" s="21">
        <f t="shared" si="12"/>
        <v>1.01</v>
      </c>
      <c r="D78" s="3475" t="s">
        <v>3443</v>
      </c>
      <c r="E78" s="21">
        <f t="shared" si="13"/>
        <v>1</v>
      </c>
      <c r="F78" s="3480" t="s">
        <v>4399</v>
      </c>
      <c r="G78" s="21">
        <f t="shared" si="14"/>
        <v>1</v>
      </c>
      <c r="H78" s="667"/>
      <c r="I78" s="21">
        <f t="shared" si="15"/>
        <v>1</v>
      </c>
      <c r="J78" s="667"/>
      <c r="K78" s="21">
        <f t="shared" si="16"/>
        <v>1</v>
      </c>
      <c r="L78" s="667"/>
      <c r="M78" s="21">
        <f t="shared" si="17"/>
        <v>1</v>
      </c>
      <c r="N78" s="667"/>
      <c r="O78" s="21">
        <f t="shared" si="18"/>
        <v>1</v>
      </c>
      <c r="P78" s="667"/>
      <c r="Q78" s="21">
        <f t="shared" si="19"/>
        <v>1</v>
      </c>
      <c r="R78" s="663">
        <f t="shared" ca="1" si="20"/>
        <v>5517</v>
      </c>
      <c r="S78" s="316">
        <f t="shared" ref="S78:S122" ca="1" si="22">ROUND(R78*B78/10000,0)</f>
        <v>4</v>
      </c>
    </row>
    <row r="79" spans="1:19">
      <c r="A79" s="150" t="s">
        <v>3610</v>
      </c>
      <c r="B79" s="3482">
        <v>7.45</v>
      </c>
      <c r="C79" s="21">
        <f t="shared" si="12"/>
        <v>1.01</v>
      </c>
      <c r="D79" s="3475" t="s">
        <v>3443</v>
      </c>
      <c r="E79" s="21">
        <f t="shared" si="13"/>
        <v>1</v>
      </c>
      <c r="F79" s="3480" t="s">
        <v>4399</v>
      </c>
      <c r="G79" s="21">
        <f t="shared" si="14"/>
        <v>1</v>
      </c>
      <c r="H79" s="667"/>
      <c r="I79" s="21">
        <f t="shared" si="15"/>
        <v>1</v>
      </c>
      <c r="J79" s="667"/>
      <c r="K79" s="21">
        <f t="shared" si="16"/>
        <v>1</v>
      </c>
      <c r="L79" s="667"/>
      <c r="M79" s="21">
        <f t="shared" si="17"/>
        <v>1</v>
      </c>
      <c r="N79" s="667"/>
      <c r="O79" s="21">
        <f t="shared" si="18"/>
        <v>1</v>
      </c>
      <c r="P79" s="667"/>
      <c r="Q79" s="21">
        <f t="shared" si="19"/>
        <v>1</v>
      </c>
      <c r="R79" s="663">
        <f t="shared" ca="1" si="20"/>
        <v>5517</v>
      </c>
      <c r="S79" s="316">
        <f t="shared" ca="1" si="22"/>
        <v>4</v>
      </c>
    </row>
    <row r="80" spans="1:19">
      <c r="A80" s="150" t="s">
        <v>3613</v>
      </c>
      <c r="B80" s="3482">
        <v>7.69</v>
      </c>
      <c r="C80" s="21">
        <f t="shared" si="12"/>
        <v>1.01</v>
      </c>
      <c r="D80" s="3475" t="s">
        <v>3443</v>
      </c>
      <c r="E80" s="21">
        <f t="shared" si="13"/>
        <v>1</v>
      </c>
      <c r="F80" s="3480" t="s">
        <v>4399</v>
      </c>
      <c r="G80" s="21">
        <f t="shared" si="14"/>
        <v>1</v>
      </c>
      <c r="H80" s="667"/>
      <c r="I80" s="21">
        <f t="shared" si="15"/>
        <v>1</v>
      </c>
      <c r="J80" s="667"/>
      <c r="K80" s="21">
        <f t="shared" si="16"/>
        <v>1</v>
      </c>
      <c r="L80" s="667"/>
      <c r="M80" s="21">
        <f t="shared" si="17"/>
        <v>1</v>
      </c>
      <c r="N80" s="667"/>
      <c r="O80" s="21">
        <f t="shared" si="18"/>
        <v>1</v>
      </c>
      <c r="P80" s="667"/>
      <c r="Q80" s="21">
        <f t="shared" si="19"/>
        <v>1</v>
      </c>
      <c r="R80" s="663">
        <f t="shared" ca="1" si="20"/>
        <v>5517</v>
      </c>
      <c r="S80" s="316">
        <f t="shared" ca="1" si="22"/>
        <v>4</v>
      </c>
    </row>
    <row r="81" spans="1:19">
      <c r="A81" s="150" t="s">
        <v>3616</v>
      </c>
      <c r="B81" s="3482">
        <v>10.38</v>
      </c>
      <c r="C81" s="21">
        <f t="shared" si="12"/>
        <v>1</v>
      </c>
      <c r="D81" s="3475" t="s">
        <v>3525</v>
      </c>
      <c r="E81" s="21">
        <f t="shared" si="13"/>
        <v>0.95</v>
      </c>
      <c r="F81" s="3480" t="s">
        <v>4399</v>
      </c>
      <c r="G81" s="21">
        <f t="shared" si="14"/>
        <v>1</v>
      </c>
      <c r="H81" s="667"/>
      <c r="I81" s="21">
        <f t="shared" si="15"/>
        <v>1</v>
      </c>
      <c r="J81" s="667"/>
      <c r="K81" s="21">
        <f t="shared" si="16"/>
        <v>1</v>
      </c>
      <c r="L81" s="667"/>
      <c r="M81" s="21">
        <f t="shared" si="17"/>
        <v>1</v>
      </c>
      <c r="N81" s="667"/>
      <c r="O81" s="21">
        <f t="shared" si="18"/>
        <v>1</v>
      </c>
      <c r="P81" s="667"/>
      <c r="Q81" s="21">
        <f t="shared" si="19"/>
        <v>1</v>
      </c>
      <c r="R81" s="663">
        <f t="shared" ca="1" si="20"/>
        <v>5189</v>
      </c>
      <c r="S81" s="316">
        <f t="shared" ca="1" si="22"/>
        <v>5</v>
      </c>
    </row>
    <row r="82" spans="1:19">
      <c r="A82" s="150" t="s">
        <v>3619</v>
      </c>
      <c r="B82" s="3482">
        <v>9.1</v>
      </c>
      <c r="C82" s="21">
        <f t="shared" si="12"/>
        <v>1.01</v>
      </c>
      <c r="D82" s="3475" t="s">
        <v>3525</v>
      </c>
      <c r="E82" s="21">
        <f t="shared" si="13"/>
        <v>0.95</v>
      </c>
      <c r="F82" s="3480" t="s">
        <v>4399</v>
      </c>
      <c r="G82" s="21">
        <f t="shared" si="14"/>
        <v>1</v>
      </c>
      <c r="H82" s="667"/>
      <c r="I82" s="21">
        <f t="shared" si="15"/>
        <v>1</v>
      </c>
      <c r="J82" s="667"/>
      <c r="K82" s="21">
        <f t="shared" si="16"/>
        <v>1</v>
      </c>
      <c r="L82" s="667"/>
      <c r="M82" s="21">
        <f t="shared" si="17"/>
        <v>1</v>
      </c>
      <c r="N82" s="667"/>
      <c r="O82" s="21">
        <f t="shared" si="18"/>
        <v>1</v>
      </c>
      <c r="P82" s="667"/>
      <c r="Q82" s="21">
        <f t="shared" si="19"/>
        <v>1</v>
      </c>
      <c r="R82" s="663">
        <f t="shared" ca="1" si="20"/>
        <v>5241</v>
      </c>
      <c r="S82" s="316">
        <f t="shared" ca="1" si="22"/>
        <v>5</v>
      </c>
    </row>
    <row r="83" spans="1:19">
      <c r="A83" s="150" t="s">
        <v>3622</v>
      </c>
      <c r="B83" s="3482">
        <v>9.1</v>
      </c>
      <c r="C83" s="21">
        <f t="shared" si="12"/>
        <v>1.01</v>
      </c>
      <c r="D83" s="3475" t="s">
        <v>3525</v>
      </c>
      <c r="E83" s="21">
        <f t="shared" si="13"/>
        <v>0.95</v>
      </c>
      <c r="F83" s="3480" t="s">
        <v>4399</v>
      </c>
      <c r="G83" s="21">
        <f t="shared" si="14"/>
        <v>1</v>
      </c>
      <c r="H83" s="667"/>
      <c r="I83" s="21">
        <f t="shared" si="15"/>
        <v>1</v>
      </c>
      <c r="J83" s="667"/>
      <c r="K83" s="21">
        <f t="shared" si="16"/>
        <v>1</v>
      </c>
      <c r="L83" s="667"/>
      <c r="M83" s="21">
        <f t="shared" si="17"/>
        <v>1</v>
      </c>
      <c r="N83" s="667"/>
      <c r="O83" s="21">
        <f t="shared" si="18"/>
        <v>1</v>
      </c>
      <c r="P83" s="667"/>
      <c r="Q83" s="21">
        <f t="shared" si="19"/>
        <v>1</v>
      </c>
      <c r="R83" s="663">
        <f t="shared" ca="1" si="20"/>
        <v>5241</v>
      </c>
      <c r="S83" s="316">
        <f t="shared" ca="1" si="22"/>
        <v>5</v>
      </c>
    </row>
    <row r="84" spans="1:19">
      <c r="A84" s="150" t="s">
        <v>3625</v>
      </c>
      <c r="B84" s="3482">
        <v>9.1</v>
      </c>
      <c r="C84" s="21">
        <f t="shared" si="12"/>
        <v>1.01</v>
      </c>
      <c r="D84" s="3475" t="s">
        <v>3525</v>
      </c>
      <c r="E84" s="21">
        <f t="shared" si="13"/>
        <v>0.95</v>
      </c>
      <c r="F84" s="3480" t="s">
        <v>4399</v>
      </c>
      <c r="G84" s="21">
        <f t="shared" si="14"/>
        <v>1</v>
      </c>
      <c r="H84" s="667"/>
      <c r="I84" s="21">
        <f t="shared" si="15"/>
        <v>1</v>
      </c>
      <c r="J84" s="667"/>
      <c r="K84" s="21">
        <f t="shared" si="16"/>
        <v>1</v>
      </c>
      <c r="L84" s="667"/>
      <c r="M84" s="21">
        <f t="shared" si="17"/>
        <v>1</v>
      </c>
      <c r="N84" s="667"/>
      <c r="O84" s="21">
        <f t="shared" si="18"/>
        <v>1</v>
      </c>
      <c r="P84" s="667"/>
      <c r="Q84" s="21">
        <f t="shared" si="19"/>
        <v>1</v>
      </c>
      <c r="R84" s="663">
        <f t="shared" ca="1" si="20"/>
        <v>5241</v>
      </c>
      <c r="S84" s="316">
        <f t="shared" ca="1" si="22"/>
        <v>5</v>
      </c>
    </row>
    <row r="85" spans="1:19">
      <c r="A85" s="150" t="s">
        <v>3628</v>
      </c>
      <c r="B85" s="3482">
        <v>8.24</v>
      </c>
      <c r="C85" s="21">
        <f t="shared" si="12"/>
        <v>1.01</v>
      </c>
      <c r="D85" s="3475" t="s">
        <v>3525</v>
      </c>
      <c r="E85" s="21">
        <f t="shared" si="13"/>
        <v>0.95</v>
      </c>
      <c r="F85" s="3480" t="s">
        <v>4399</v>
      </c>
      <c r="G85" s="21">
        <f t="shared" si="14"/>
        <v>1</v>
      </c>
      <c r="H85" s="667"/>
      <c r="I85" s="21">
        <f t="shared" si="15"/>
        <v>1</v>
      </c>
      <c r="J85" s="667"/>
      <c r="K85" s="21">
        <f t="shared" si="16"/>
        <v>1</v>
      </c>
      <c r="L85" s="667"/>
      <c r="M85" s="21">
        <f t="shared" si="17"/>
        <v>1</v>
      </c>
      <c r="N85" s="667"/>
      <c r="O85" s="21">
        <f t="shared" si="18"/>
        <v>1</v>
      </c>
      <c r="P85" s="667"/>
      <c r="Q85" s="21">
        <f t="shared" si="19"/>
        <v>1</v>
      </c>
      <c r="R85" s="663">
        <f t="shared" ca="1" si="20"/>
        <v>5241</v>
      </c>
      <c r="S85" s="316">
        <f t="shared" ca="1" si="22"/>
        <v>4</v>
      </c>
    </row>
    <row r="86" spans="1:19">
      <c r="A86" s="150" t="s">
        <v>3631</v>
      </c>
      <c r="B86" s="3482">
        <v>10.69</v>
      </c>
      <c r="C86" s="21">
        <f t="shared" si="12"/>
        <v>1</v>
      </c>
      <c r="D86" s="3475" t="s">
        <v>3525</v>
      </c>
      <c r="E86" s="21">
        <f t="shared" si="13"/>
        <v>0.95</v>
      </c>
      <c r="F86" s="3480" t="s">
        <v>4393</v>
      </c>
      <c r="G86" s="21">
        <f t="shared" si="14"/>
        <v>1.05</v>
      </c>
      <c r="H86" s="667"/>
      <c r="I86" s="21">
        <f t="shared" si="15"/>
        <v>1</v>
      </c>
      <c r="J86" s="667"/>
      <c r="K86" s="21">
        <f t="shared" si="16"/>
        <v>1</v>
      </c>
      <c r="L86" s="667"/>
      <c r="M86" s="21">
        <f t="shared" si="17"/>
        <v>1</v>
      </c>
      <c r="N86" s="667"/>
      <c r="O86" s="21">
        <f t="shared" si="18"/>
        <v>1</v>
      </c>
      <c r="P86" s="667"/>
      <c r="Q86" s="21">
        <f t="shared" si="19"/>
        <v>1</v>
      </c>
      <c r="R86" s="663">
        <f t="shared" ca="1" si="20"/>
        <v>5448</v>
      </c>
      <c r="S86" s="316">
        <f t="shared" ca="1" si="22"/>
        <v>6</v>
      </c>
    </row>
    <row r="87" spans="1:19">
      <c r="A87" s="150" t="s">
        <v>3634</v>
      </c>
      <c r="B87" s="3482">
        <v>8.2200000000000006</v>
      </c>
      <c r="C87" s="21">
        <f t="shared" si="12"/>
        <v>1.01</v>
      </c>
      <c r="D87" s="3475" t="s">
        <v>3525</v>
      </c>
      <c r="E87" s="21">
        <f t="shared" si="13"/>
        <v>0.95</v>
      </c>
      <c r="F87" s="3480" t="s">
        <v>4399</v>
      </c>
      <c r="G87" s="21">
        <f t="shared" si="14"/>
        <v>1</v>
      </c>
      <c r="H87" s="667"/>
      <c r="I87" s="21">
        <f t="shared" si="15"/>
        <v>1</v>
      </c>
      <c r="J87" s="667"/>
      <c r="K87" s="21">
        <f t="shared" si="16"/>
        <v>1</v>
      </c>
      <c r="L87" s="667"/>
      <c r="M87" s="21">
        <f t="shared" si="17"/>
        <v>1</v>
      </c>
      <c r="N87" s="667"/>
      <c r="O87" s="21">
        <f t="shared" si="18"/>
        <v>1</v>
      </c>
      <c r="P87" s="667"/>
      <c r="Q87" s="21">
        <f t="shared" si="19"/>
        <v>1</v>
      </c>
      <c r="R87" s="663">
        <f t="shared" ca="1" si="20"/>
        <v>5241</v>
      </c>
      <c r="S87" s="316">
        <f t="shared" ca="1" si="22"/>
        <v>4</v>
      </c>
    </row>
    <row r="88" spans="1:19">
      <c r="A88" s="150" t="s">
        <v>3637</v>
      </c>
      <c r="B88" s="3482">
        <v>8.35</v>
      </c>
      <c r="C88" s="21">
        <f t="shared" si="12"/>
        <v>1.01</v>
      </c>
      <c r="D88" s="3475" t="s">
        <v>3525</v>
      </c>
      <c r="E88" s="21">
        <f t="shared" si="13"/>
        <v>0.95</v>
      </c>
      <c r="F88" s="3480" t="s">
        <v>4399</v>
      </c>
      <c r="G88" s="21">
        <f t="shared" si="14"/>
        <v>1</v>
      </c>
      <c r="H88" s="667"/>
      <c r="I88" s="21">
        <f t="shared" si="15"/>
        <v>1</v>
      </c>
      <c r="J88" s="667"/>
      <c r="K88" s="21">
        <f t="shared" si="16"/>
        <v>1</v>
      </c>
      <c r="L88" s="667"/>
      <c r="M88" s="21">
        <f t="shared" si="17"/>
        <v>1</v>
      </c>
      <c r="N88" s="667"/>
      <c r="O88" s="21">
        <f t="shared" si="18"/>
        <v>1</v>
      </c>
      <c r="P88" s="667"/>
      <c r="Q88" s="21">
        <f t="shared" si="19"/>
        <v>1</v>
      </c>
      <c r="R88" s="663">
        <f t="shared" ca="1" si="20"/>
        <v>5241</v>
      </c>
      <c r="S88" s="316">
        <f t="shared" ca="1" si="22"/>
        <v>4</v>
      </c>
    </row>
    <row r="89" spans="1:19">
      <c r="A89" s="150" t="s">
        <v>3640</v>
      </c>
      <c r="B89" s="3482">
        <v>10.65</v>
      </c>
      <c r="C89" s="21">
        <f t="shared" si="12"/>
        <v>1</v>
      </c>
      <c r="D89" s="3475" t="s">
        <v>3525</v>
      </c>
      <c r="E89" s="21">
        <f t="shared" si="13"/>
        <v>0.95</v>
      </c>
      <c r="F89" s="3480" t="s">
        <v>4399</v>
      </c>
      <c r="G89" s="21">
        <f t="shared" si="14"/>
        <v>1</v>
      </c>
      <c r="H89" s="667"/>
      <c r="I89" s="21">
        <f t="shared" si="15"/>
        <v>1</v>
      </c>
      <c r="J89" s="667"/>
      <c r="K89" s="21">
        <f t="shared" si="16"/>
        <v>1</v>
      </c>
      <c r="L89" s="667"/>
      <c r="M89" s="21">
        <f t="shared" si="17"/>
        <v>1</v>
      </c>
      <c r="N89" s="667"/>
      <c r="O89" s="21">
        <f t="shared" si="18"/>
        <v>1</v>
      </c>
      <c r="P89" s="667"/>
      <c r="Q89" s="21">
        <f t="shared" si="19"/>
        <v>1</v>
      </c>
      <c r="R89" s="663">
        <f t="shared" ca="1" si="20"/>
        <v>5189</v>
      </c>
      <c r="S89" s="316">
        <f t="shared" ca="1" si="22"/>
        <v>6</v>
      </c>
    </row>
    <row r="90" spans="1:19">
      <c r="A90" s="150" t="s">
        <v>3643</v>
      </c>
      <c r="B90" s="3482">
        <v>10.65</v>
      </c>
      <c r="C90" s="21">
        <f t="shared" ref="C90:C153" si="23">IF(B90="",1,(LOOKUP(B90,$3:$3,$4:$4)-LOOKUP($B$24,$3:$3,$4:$4)+100)/100)</f>
        <v>1</v>
      </c>
      <c r="D90" s="3475" t="s">
        <v>3525</v>
      </c>
      <c r="E90" s="21">
        <f t="shared" ref="E90:E153" si="24">(SUMIF($5:$5,D90,$6:$6)-SUMIF($5:$5,$D$24,$6:$6)+100)/100</f>
        <v>0.95</v>
      </c>
      <c r="F90" s="3480" t="s">
        <v>4399</v>
      </c>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ca="1" si="31">IF(B90="",0,ROUND($R$24*C90*E90*G90*I90*K90*M90*O90*Q90,0))</f>
        <v>5189</v>
      </c>
      <c r="S90" s="316">
        <f t="shared" ca="1" si="22"/>
        <v>6</v>
      </c>
    </row>
    <row r="91" spans="1:19">
      <c r="A91" s="150" t="s">
        <v>3646</v>
      </c>
      <c r="B91" s="3482">
        <v>7.86</v>
      </c>
      <c r="C91" s="21">
        <f t="shared" si="23"/>
        <v>1.01</v>
      </c>
      <c r="D91" s="3475" t="s">
        <v>3525</v>
      </c>
      <c r="E91" s="21">
        <f t="shared" si="24"/>
        <v>0.95</v>
      </c>
      <c r="F91" s="3480" t="s">
        <v>4393</v>
      </c>
      <c r="G91" s="21">
        <f t="shared" si="25"/>
        <v>1.05</v>
      </c>
      <c r="H91" s="667"/>
      <c r="I91" s="21">
        <f t="shared" si="26"/>
        <v>1</v>
      </c>
      <c r="J91" s="667"/>
      <c r="K91" s="21">
        <f t="shared" si="27"/>
        <v>1</v>
      </c>
      <c r="L91" s="667"/>
      <c r="M91" s="21">
        <f t="shared" si="28"/>
        <v>1</v>
      </c>
      <c r="N91" s="667"/>
      <c r="O91" s="21">
        <f t="shared" si="29"/>
        <v>1</v>
      </c>
      <c r="P91" s="667"/>
      <c r="Q91" s="21">
        <f t="shared" si="30"/>
        <v>1</v>
      </c>
      <c r="R91" s="663">
        <f t="shared" ca="1" si="31"/>
        <v>5503</v>
      </c>
      <c r="S91" s="316">
        <f t="shared" ca="1" si="22"/>
        <v>4</v>
      </c>
    </row>
    <row r="92" spans="1:19">
      <c r="A92" s="150" t="s">
        <v>3649</v>
      </c>
      <c r="B92" s="3482">
        <v>7.86</v>
      </c>
      <c r="C92" s="21">
        <f t="shared" si="23"/>
        <v>1.01</v>
      </c>
      <c r="D92" s="3475" t="s">
        <v>3525</v>
      </c>
      <c r="E92" s="21">
        <f t="shared" si="24"/>
        <v>0.95</v>
      </c>
      <c r="F92" s="3480" t="s">
        <v>4399</v>
      </c>
      <c r="G92" s="21">
        <f t="shared" si="25"/>
        <v>1</v>
      </c>
      <c r="H92" s="667"/>
      <c r="I92" s="21">
        <f t="shared" si="26"/>
        <v>1</v>
      </c>
      <c r="J92" s="667"/>
      <c r="K92" s="21">
        <f t="shared" si="27"/>
        <v>1</v>
      </c>
      <c r="L92" s="667"/>
      <c r="M92" s="21">
        <f t="shared" si="28"/>
        <v>1</v>
      </c>
      <c r="N92" s="667"/>
      <c r="O92" s="21">
        <f t="shared" si="29"/>
        <v>1</v>
      </c>
      <c r="P92" s="667"/>
      <c r="Q92" s="21">
        <f t="shared" si="30"/>
        <v>1</v>
      </c>
      <c r="R92" s="663">
        <f t="shared" ca="1" si="31"/>
        <v>5241</v>
      </c>
      <c r="S92" s="316">
        <f t="shared" ca="1" si="22"/>
        <v>4</v>
      </c>
    </row>
    <row r="93" spans="1:19">
      <c r="A93" s="150" t="s">
        <v>3652</v>
      </c>
      <c r="B93" s="3482">
        <v>7.2</v>
      </c>
      <c r="C93" s="21">
        <f t="shared" si="23"/>
        <v>1.01</v>
      </c>
      <c r="D93" s="3475" t="s">
        <v>3525</v>
      </c>
      <c r="E93" s="21">
        <f t="shared" si="24"/>
        <v>0.95</v>
      </c>
      <c r="F93" s="3480" t="s">
        <v>4399</v>
      </c>
      <c r="G93" s="21">
        <f t="shared" si="25"/>
        <v>1</v>
      </c>
      <c r="H93" s="667"/>
      <c r="I93" s="21">
        <f t="shared" si="26"/>
        <v>1</v>
      </c>
      <c r="J93" s="667"/>
      <c r="K93" s="21">
        <f t="shared" si="27"/>
        <v>1</v>
      </c>
      <c r="L93" s="667"/>
      <c r="M93" s="21">
        <f t="shared" si="28"/>
        <v>1</v>
      </c>
      <c r="N93" s="667"/>
      <c r="O93" s="21">
        <f t="shared" si="29"/>
        <v>1</v>
      </c>
      <c r="P93" s="667"/>
      <c r="Q93" s="21">
        <f t="shared" si="30"/>
        <v>1</v>
      </c>
      <c r="R93" s="663">
        <f t="shared" ca="1" si="31"/>
        <v>5241</v>
      </c>
      <c r="S93" s="316">
        <f t="shared" ca="1" si="22"/>
        <v>4</v>
      </c>
    </row>
    <row r="94" spans="1:19">
      <c r="A94" s="150" t="s">
        <v>3655</v>
      </c>
      <c r="B94" s="3482">
        <v>7.5</v>
      </c>
      <c r="C94" s="21">
        <f t="shared" si="23"/>
        <v>1.01</v>
      </c>
      <c r="D94" s="3475" t="s">
        <v>3525</v>
      </c>
      <c r="E94" s="21">
        <f t="shared" si="24"/>
        <v>0.95</v>
      </c>
      <c r="F94" s="3480" t="s">
        <v>4399</v>
      </c>
      <c r="G94" s="21">
        <f t="shared" si="25"/>
        <v>1</v>
      </c>
      <c r="H94" s="667"/>
      <c r="I94" s="21">
        <f t="shared" si="26"/>
        <v>1</v>
      </c>
      <c r="J94" s="667"/>
      <c r="K94" s="21">
        <f t="shared" si="27"/>
        <v>1</v>
      </c>
      <c r="L94" s="667"/>
      <c r="M94" s="21">
        <f t="shared" si="28"/>
        <v>1</v>
      </c>
      <c r="N94" s="667"/>
      <c r="O94" s="21">
        <f t="shared" si="29"/>
        <v>1</v>
      </c>
      <c r="P94" s="667"/>
      <c r="Q94" s="21">
        <f t="shared" si="30"/>
        <v>1</v>
      </c>
      <c r="R94" s="663">
        <f t="shared" ca="1" si="31"/>
        <v>5241</v>
      </c>
      <c r="S94" s="316">
        <f t="shared" ca="1" si="22"/>
        <v>4</v>
      </c>
    </row>
    <row r="95" spans="1:19">
      <c r="A95" s="150" t="s">
        <v>3658</v>
      </c>
      <c r="B95" s="3482">
        <v>7.73</v>
      </c>
      <c r="C95" s="21">
        <f t="shared" si="23"/>
        <v>1.01</v>
      </c>
      <c r="D95" s="3475" t="s">
        <v>3525</v>
      </c>
      <c r="E95" s="21">
        <f t="shared" si="24"/>
        <v>0.95</v>
      </c>
      <c r="F95" s="3480" t="s">
        <v>4399</v>
      </c>
      <c r="G95" s="21">
        <f t="shared" si="25"/>
        <v>1</v>
      </c>
      <c r="H95" s="667"/>
      <c r="I95" s="21">
        <f t="shared" si="26"/>
        <v>1</v>
      </c>
      <c r="J95" s="667"/>
      <c r="K95" s="21">
        <f t="shared" si="27"/>
        <v>1</v>
      </c>
      <c r="L95" s="667"/>
      <c r="M95" s="21">
        <f t="shared" si="28"/>
        <v>1</v>
      </c>
      <c r="N95" s="667"/>
      <c r="O95" s="21">
        <f t="shared" si="29"/>
        <v>1</v>
      </c>
      <c r="P95" s="667"/>
      <c r="Q95" s="21">
        <f t="shared" si="30"/>
        <v>1</v>
      </c>
      <c r="R95" s="663">
        <f t="shared" ca="1" si="31"/>
        <v>5241</v>
      </c>
      <c r="S95" s="316">
        <f t="shared" ca="1" si="22"/>
        <v>4</v>
      </c>
    </row>
    <row r="96" spans="1:19">
      <c r="A96" s="150" t="s">
        <v>3661</v>
      </c>
      <c r="B96" s="3482">
        <v>9.8699999999999992</v>
      </c>
      <c r="C96" s="21">
        <f t="shared" si="23"/>
        <v>1.01</v>
      </c>
      <c r="D96" s="3475" t="s">
        <v>3525</v>
      </c>
      <c r="E96" s="21">
        <f t="shared" si="24"/>
        <v>0.95</v>
      </c>
      <c r="F96" s="3480" t="s">
        <v>4399</v>
      </c>
      <c r="G96" s="21">
        <f t="shared" si="25"/>
        <v>1</v>
      </c>
      <c r="H96" s="667"/>
      <c r="I96" s="21">
        <f t="shared" si="26"/>
        <v>1</v>
      </c>
      <c r="J96" s="667"/>
      <c r="K96" s="21">
        <f t="shared" si="27"/>
        <v>1</v>
      </c>
      <c r="L96" s="667"/>
      <c r="M96" s="21">
        <f t="shared" si="28"/>
        <v>1</v>
      </c>
      <c r="N96" s="667"/>
      <c r="O96" s="21">
        <f t="shared" si="29"/>
        <v>1</v>
      </c>
      <c r="P96" s="667"/>
      <c r="Q96" s="21">
        <f t="shared" si="30"/>
        <v>1</v>
      </c>
      <c r="R96" s="663">
        <f t="shared" ca="1" si="31"/>
        <v>5241</v>
      </c>
      <c r="S96" s="316">
        <f t="shared" ca="1" si="22"/>
        <v>5</v>
      </c>
    </row>
    <row r="97" spans="1:19">
      <c r="A97" s="150" t="s">
        <v>3664</v>
      </c>
      <c r="B97" s="3482">
        <v>9.52</v>
      </c>
      <c r="C97" s="21">
        <f t="shared" si="23"/>
        <v>1.01</v>
      </c>
      <c r="D97" s="3475" t="s">
        <v>3525</v>
      </c>
      <c r="E97" s="21">
        <f t="shared" si="24"/>
        <v>0.95</v>
      </c>
      <c r="F97" s="3480" t="s">
        <v>4399</v>
      </c>
      <c r="G97" s="21">
        <f t="shared" si="25"/>
        <v>1</v>
      </c>
      <c r="H97" s="667"/>
      <c r="I97" s="21">
        <f t="shared" si="26"/>
        <v>1</v>
      </c>
      <c r="J97" s="667"/>
      <c r="K97" s="21">
        <f t="shared" si="27"/>
        <v>1</v>
      </c>
      <c r="L97" s="667"/>
      <c r="M97" s="21">
        <f t="shared" si="28"/>
        <v>1</v>
      </c>
      <c r="N97" s="667"/>
      <c r="O97" s="21">
        <f t="shared" si="29"/>
        <v>1</v>
      </c>
      <c r="P97" s="667"/>
      <c r="Q97" s="21">
        <f t="shared" si="30"/>
        <v>1</v>
      </c>
      <c r="R97" s="663">
        <f t="shared" ca="1" si="31"/>
        <v>5241</v>
      </c>
      <c r="S97" s="316">
        <f t="shared" ca="1" si="22"/>
        <v>5</v>
      </c>
    </row>
    <row r="98" spans="1:19">
      <c r="A98" s="150" t="s">
        <v>3668</v>
      </c>
      <c r="B98" s="3482">
        <v>10.56</v>
      </c>
      <c r="C98" s="21">
        <f t="shared" si="23"/>
        <v>1</v>
      </c>
      <c r="D98" s="3475" t="s">
        <v>3443</v>
      </c>
      <c r="E98" s="21">
        <f t="shared" si="24"/>
        <v>1</v>
      </c>
      <c r="F98" s="3480" t="s">
        <v>4399</v>
      </c>
      <c r="G98" s="21">
        <f t="shared" si="25"/>
        <v>1</v>
      </c>
      <c r="H98" s="667"/>
      <c r="I98" s="21">
        <f t="shared" si="26"/>
        <v>1</v>
      </c>
      <c r="J98" s="667"/>
      <c r="K98" s="21">
        <f t="shared" si="27"/>
        <v>1</v>
      </c>
      <c r="L98" s="667"/>
      <c r="M98" s="21">
        <f t="shared" si="28"/>
        <v>1</v>
      </c>
      <c r="N98" s="667"/>
      <c r="O98" s="21">
        <f t="shared" si="29"/>
        <v>1</v>
      </c>
      <c r="P98" s="667"/>
      <c r="Q98" s="21">
        <f t="shared" si="30"/>
        <v>1</v>
      </c>
      <c r="R98" s="663">
        <f t="shared" ca="1" si="31"/>
        <v>5462</v>
      </c>
      <c r="S98" s="316">
        <f t="shared" ca="1" si="22"/>
        <v>6</v>
      </c>
    </row>
    <row r="99" spans="1:19">
      <c r="A99" s="150" t="s">
        <v>3671</v>
      </c>
      <c r="B99" s="3482">
        <v>8.43</v>
      </c>
      <c r="C99" s="21">
        <f t="shared" si="23"/>
        <v>1.01</v>
      </c>
      <c r="D99" s="3475" t="s">
        <v>3443</v>
      </c>
      <c r="E99" s="21">
        <f t="shared" si="24"/>
        <v>1</v>
      </c>
      <c r="F99" s="3480" t="s">
        <v>4399</v>
      </c>
      <c r="G99" s="21">
        <f t="shared" si="25"/>
        <v>1</v>
      </c>
      <c r="H99" s="667"/>
      <c r="I99" s="21">
        <f t="shared" si="26"/>
        <v>1</v>
      </c>
      <c r="J99" s="667"/>
      <c r="K99" s="21">
        <f t="shared" si="27"/>
        <v>1</v>
      </c>
      <c r="L99" s="667"/>
      <c r="M99" s="21">
        <f t="shared" si="28"/>
        <v>1</v>
      </c>
      <c r="N99" s="667"/>
      <c r="O99" s="21">
        <f t="shared" si="29"/>
        <v>1</v>
      </c>
      <c r="P99" s="667"/>
      <c r="Q99" s="21">
        <f t="shared" si="30"/>
        <v>1</v>
      </c>
      <c r="R99" s="663">
        <f t="shared" ca="1" si="31"/>
        <v>5517</v>
      </c>
      <c r="S99" s="316">
        <f t="shared" ca="1" si="22"/>
        <v>5</v>
      </c>
    </row>
    <row r="100" spans="1:19">
      <c r="A100" s="150" t="s">
        <v>3674</v>
      </c>
      <c r="B100" s="3482">
        <v>10.75</v>
      </c>
      <c r="C100" s="21">
        <f t="shared" si="23"/>
        <v>1</v>
      </c>
      <c r="D100" s="3475" t="s">
        <v>3443</v>
      </c>
      <c r="E100" s="21">
        <f t="shared" si="24"/>
        <v>1</v>
      </c>
      <c r="F100" s="3480" t="s">
        <v>4393</v>
      </c>
      <c r="G100" s="21">
        <f t="shared" si="25"/>
        <v>1.05</v>
      </c>
      <c r="H100" s="667"/>
      <c r="I100" s="21">
        <f t="shared" si="26"/>
        <v>1</v>
      </c>
      <c r="J100" s="667"/>
      <c r="K100" s="21">
        <f t="shared" si="27"/>
        <v>1</v>
      </c>
      <c r="L100" s="667"/>
      <c r="M100" s="21">
        <f t="shared" si="28"/>
        <v>1</v>
      </c>
      <c r="N100" s="667"/>
      <c r="O100" s="21">
        <f t="shared" si="29"/>
        <v>1</v>
      </c>
      <c r="P100" s="667"/>
      <c r="Q100" s="21">
        <f t="shared" si="30"/>
        <v>1</v>
      </c>
      <c r="R100" s="663">
        <f t="shared" ca="1" si="31"/>
        <v>5735</v>
      </c>
      <c r="S100" s="316">
        <f t="shared" ca="1" si="22"/>
        <v>6</v>
      </c>
    </row>
    <row r="101" spans="1:19">
      <c r="A101" s="150" t="s">
        <v>3677</v>
      </c>
      <c r="B101" s="3482">
        <v>10.64</v>
      </c>
      <c r="C101" s="21">
        <f t="shared" si="23"/>
        <v>1</v>
      </c>
      <c r="D101" s="3475" t="s">
        <v>3443</v>
      </c>
      <c r="E101" s="21">
        <f t="shared" si="24"/>
        <v>1</v>
      </c>
      <c r="F101" s="3480" t="s">
        <v>4399</v>
      </c>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ca="1" si="31"/>
        <v>5462</v>
      </c>
      <c r="S101" s="316">
        <f t="shared" ca="1" si="22"/>
        <v>6</v>
      </c>
    </row>
    <row r="102" spans="1:19">
      <c r="A102" s="150" t="s">
        <v>3680</v>
      </c>
      <c r="B102" s="3482">
        <v>10.64</v>
      </c>
      <c r="C102" s="21">
        <f t="shared" si="23"/>
        <v>1</v>
      </c>
      <c r="D102" s="3475" t="s">
        <v>3443</v>
      </c>
      <c r="E102" s="21">
        <f t="shared" si="24"/>
        <v>1</v>
      </c>
      <c r="F102" s="3480" t="s">
        <v>4399</v>
      </c>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ca="1" si="31"/>
        <v>5462</v>
      </c>
      <c r="S102" s="316">
        <f t="shared" ca="1" si="22"/>
        <v>6</v>
      </c>
    </row>
    <row r="103" spans="1:19">
      <c r="A103" s="150" t="s">
        <v>3683</v>
      </c>
      <c r="B103" s="3482">
        <v>10.64</v>
      </c>
      <c r="C103" s="21">
        <f t="shared" si="23"/>
        <v>1</v>
      </c>
      <c r="D103" s="3475" t="s">
        <v>3443</v>
      </c>
      <c r="E103" s="21">
        <f t="shared" si="24"/>
        <v>1</v>
      </c>
      <c r="F103" s="3480" t="s">
        <v>4399</v>
      </c>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ca="1" si="31"/>
        <v>5462</v>
      </c>
      <c r="S103" s="316">
        <f t="shared" ca="1" si="22"/>
        <v>6</v>
      </c>
    </row>
    <row r="104" spans="1:19">
      <c r="A104" s="150" t="s">
        <v>3686</v>
      </c>
      <c r="B104" s="3482">
        <v>10.64</v>
      </c>
      <c r="C104" s="21">
        <f t="shared" si="23"/>
        <v>1</v>
      </c>
      <c r="D104" s="3475" t="s">
        <v>3443</v>
      </c>
      <c r="E104" s="21">
        <f t="shared" si="24"/>
        <v>1</v>
      </c>
      <c r="F104" s="3480" t="s">
        <v>4399</v>
      </c>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ca="1" si="31"/>
        <v>5462</v>
      </c>
      <c r="S104" s="316">
        <f t="shared" ca="1" si="22"/>
        <v>6</v>
      </c>
    </row>
    <row r="105" spans="1:19">
      <c r="A105" s="150" t="s">
        <v>3689</v>
      </c>
      <c r="B105" s="3482">
        <v>8.35</v>
      </c>
      <c r="C105" s="21">
        <f t="shared" si="23"/>
        <v>1.01</v>
      </c>
      <c r="D105" s="3475" t="s">
        <v>3443</v>
      </c>
      <c r="E105" s="21">
        <f t="shared" si="24"/>
        <v>1</v>
      </c>
      <c r="F105" s="3480" t="s">
        <v>4399</v>
      </c>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ca="1" si="31"/>
        <v>5517</v>
      </c>
      <c r="S105" s="316">
        <f t="shared" ca="1" si="22"/>
        <v>5</v>
      </c>
    </row>
    <row r="106" spans="1:19">
      <c r="A106" s="150" t="s">
        <v>3692</v>
      </c>
      <c r="B106" s="3482">
        <v>7.84</v>
      </c>
      <c r="C106" s="21">
        <f t="shared" si="23"/>
        <v>1.01</v>
      </c>
      <c r="D106" s="3475" t="s">
        <v>3443</v>
      </c>
      <c r="E106" s="21">
        <f t="shared" si="24"/>
        <v>1</v>
      </c>
      <c r="F106" s="3480" t="s">
        <v>4399</v>
      </c>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ca="1" si="31"/>
        <v>5517</v>
      </c>
      <c r="S106" s="316">
        <f t="shared" ca="1" si="22"/>
        <v>4</v>
      </c>
    </row>
    <row r="107" spans="1:19">
      <c r="A107" s="150" t="s">
        <v>3695</v>
      </c>
      <c r="B107" s="3482">
        <v>6.43</v>
      </c>
      <c r="C107" s="21">
        <f t="shared" si="23"/>
        <v>1.01</v>
      </c>
      <c r="D107" s="3475" t="s">
        <v>3443</v>
      </c>
      <c r="E107" s="21">
        <f t="shared" si="24"/>
        <v>1</v>
      </c>
      <c r="F107" s="3480" t="s">
        <v>4399</v>
      </c>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ca="1" si="31"/>
        <v>5517</v>
      </c>
      <c r="S107" s="316">
        <f t="shared" ca="1" si="22"/>
        <v>4</v>
      </c>
    </row>
    <row r="108" spans="1:19">
      <c r="A108" s="150" t="s">
        <v>3698</v>
      </c>
      <c r="B108" s="3482">
        <v>7.86</v>
      </c>
      <c r="C108" s="21">
        <f t="shared" si="23"/>
        <v>1.01</v>
      </c>
      <c r="D108" s="3475" t="s">
        <v>3443</v>
      </c>
      <c r="E108" s="21">
        <f t="shared" si="24"/>
        <v>1</v>
      </c>
      <c r="F108" s="3480" t="s">
        <v>4394</v>
      </c>
      <c r="G108" s="21">
        <f t="shared" si="25"/>
        <v>1.05</v>
      </c>
      <c r="H108" s="667"/>
      <c r="I108" s="21">
        <f t="shared" si="26"/>
        <v>1</v>
      </c>
      <c r="J108" s="667"/>
      <c r="K108" s="21">
        <f t="shared" si="27"/>
        <v>1</v>
      </c>
      <c r="L108" s="667"/>
      <c r="M108" s="21">
        <f t="shared" si="28"/>
        <v>1</v>
      </c>
      <c r="N108" s="667"/>
      <c r="O108" s="21">
        <f t="shared" si="29"/>
        <v>1</v>
      </c>
      <c r="P108" s="667"/>
      <c r="Q108" s="21">
        <f t="shared" si="30"/>
        <v>1</v>
      </c>
      <c r="R108" s="663">
        <f t="shared" ca="1" si="31"/>
        <v>5792</v>
      </c>
      <c r="S108" s="316">
        <f t="shared" ca="1" si="22"/>
        <v>5</v>
      </c>
    </row>
    <row r="109" spans="1:19">
      <c r="A109" s="150" t="s">
        <v>3701</v>
      </c>
      <c r="B109" s="3482">
        <v>7.86</v>
      </c>
      <c r="C109" s="21">
        <f t="shared" si="23"/>
        <v>1.01</v>
      </c>
      <c r="D109" s="3475" t="s">
        <v>3443</v>
      </c>
      <c r="E109" s="21">
        <f t="shared" si="24"/>
        <v>1</v>
      </c>
      <c r="F109" s="3480" t="s">
        <v>4393</v>
      </c>
      <c r="G109" s="21">
        <f t="shared" si="25"/>
        <v>1.05</v>
      </c>
      <c r="H109" s="667"/>
      <c r="I109" s="21">
        <f t="shared" si="26"/>
        <v>1</v>
      </c>
      <c r="J109" s="667"/>
      <c r="K109" s="21">
        <f t="shared" si="27"/>
        <v>1</v>
      </c>
      <c r="L109" s="667"/>
      <c r="M109" s="21">
        <f t="shared" si="28"/>
        <v>1</v>
      </c>
      <c r="N109" s="667"/>
      <c r="O109" s="21">
        <f t="shared" si="29"/>
        <v>1</v>
      </c>
      <c r="P109" s="667"/>
      <c r="Q109" s="21">
        <f t="shared" si="30"/>
        <v>1</v>
      </c>
      <c r="R109" s="663">
        <f t="shared" ca="1" si="31"/>
        <v>5792</v>
      </c>
      <c r="S109" s="316">
        <f t="shared" ca="1" si="22"/>
        <v>5</v>
      </c>
    </row>
    <row r="110" spans="1:19">
      <c r="A110" s="150" t="s">
        <v>3704</v>
      </c>
      <c r="B110" s="3482">
        <v>7.86</v>
      </c>
      <c r="C110" s="21">
        <f t="shared" si="23"/>
        <v>1.01</v>
      </c>
      <c r="D110" s="3475" t="s">
        <v>3443</v>
      </c>
      <c r="E110" s="21">
        <f t="shared" si="24"/>
        <v>1</v>
      </c>
      <c r="F110" s="3480" t="s">
        <v>4394</v>
      </c>
      <c r="G110" s="21">
        <f t="shared" si="25"/>
        <v>1.05</v>
      </c>
      <c r="H110" s="667"/>
      <c r="I110" s="21">
        <f t="shared" si="26"/>
        <v>1</v>
      </c>
      <c r="J110" s="667"/>
      <c r="K110" s="21">
        <f t="shared" si="27"/>
        <v>1</v>
      </c>
      <c r="L110" s="667"/>
      <c r="M110" s="21">
        <f t="shared" si="28"/>
        <v>1</v>
      </c>
      <c r="N110" s="667"/>
      <c r="O110" s="21">
        <f t="shared" si="29"/>
        <v>1</v>
      </c>
      <c r="P110" s="667"/>
      <c r="Q110" s="21">
        <f t="shared" si="30"/>
        <v>1</v>
      </c>
      <c r="R110" s="663">
        <f t="shared" ca="1" si="31"/>
        <v>5792</v>
      </c>
      <c r="S110" s="316">
        <f t="shared" ca="1" si="22"/>
        <v>5</v>
      </c>
    </row>
    <row r="111" spans="1:19">
      <c r="A111" s="150" t="s">
        <v>3707</v>
      </c>
      <c r="B111" s="3482">
        <v>10.55</v>
      </c>
      <c r="C111" s="21">
        <f t="shared" si="23"/>
        <v>1</v>
      </c>
      <c r="D111" s="3475" t="s">
        <v>3443</v>
      </c>
      <c r="E111" s="21">
        <f t="shared" si="24"/>
        <v>1</v>
      </c>
      <c r="F111" s="3480" t="s">
        <v>4399</v>
      </c>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ca="1" si="31"/>
        <v>5462</v>
      </c>
      <c r="S111" s="316">
        <f t="shared" ca="1" si="22"/>
        <v>6</v>
      </c>
    </row>
    <row r="112" spans="1:19">
      <c r="A112" s="150" t="s">
        <v>3710</v>
      </c>
      <c r="B112" s="3482">
        <v>4.43</v>
      </c>
      <c r="C112" s="21">
        <f t="shared" si="23"/>
        <v>1.02</v>
      </c>
      <c r="D112" s="3475" t="s">
        <v>3443</v>
      </c>
      <c r="E112" s="21">
        <f t="shared" si="24"/>
        <v>1</v>
      </c>
      <c r="F112" s="3480" t="s">
        <v>4399</v>
      </c>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ca="1" si="31"/>
        <v>5571</v>
      </c>
      <c r="S112" s="316">
        <f t="shared" ca="1" si="22"/>
        <v>2</v>
      </c>
    </row>
    <row r="113" spans="1:19">
      <c r="A113" s="150" t="s">
        <v>3713</v>
      </c>
      <c r="B113" s="3482">
        <v>6.43</v>
      </c>
      <c r="C113" s="21">
        <f t="shared" si="23"/>
        <v>1.01</v>
      </c>
      <c r="D113" s="3475" t="s">
        <v>3443</v>
      </c>
      <c r="E113" s="21">
        <f t="shared" si="24"/>
        <v>1</v>
      </c>
      <c r="F113" s="3480" t="s">
        <v>4399</v>
      </c>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ca="1" si="31"/>
        <v>5517</v>
      </c>
      <c r="S113" s="316">
        <f t="shared" ca="1" si="22"/>
        <v>4</v>
      </c>
    </row>
    <row r="114" spans="1:19">
      <c r="A114" s="150" t="s">
        <v>3716</v>
      </c>
      <c r="B114" s="3482">
        <v>7.84</v>
      </c>
      <c r="C114" s="21">
        <f t="shared" si="23"/>
        <v>1.01</v>
      </c>
      <c r="D114" s="3475" t="s">
        <v>3443</v>
      </c>
      <c r="E114" s="21">
        <f t="shared" si="24"/>
        <v>1</v>
      </c>
      <c r="F114" s="3480" t="s">
        <v>4399</v>
      </c>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ca="1" si="31"/>
        <v>5517</v>
      </c>
      <c r="S114" s="316">
        <f t="shared" ca="1" si="22"/>
        <v>4</v>
      </c>
    </row>
    <row r="115" spans="1:19">
      <c r="A115" s="150" t="s">
        <v>3719</v>
      </c>
      <c r="B115" s="3482">
        <v>8.35</v>
      </c>
      <c r="C115" s="21">
        <f t="shared" si="23"/>
        <v>1.01</v>
      </c>
      <c r="D115" s="3475" t="s">
        <v>3443</v>
      </c>
      <c r="E115" s="21">
        <f t="shared" si="24"/>
        <v>1</v>
      </c>
      <c r="F115" s="3480" t="s">
        <v>4399</v>
      </c>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ca="1" si="31"/>
        <v>5517</v>
      </c>
      <c r="S115" s="316">
        <f t="shared" ca="1" si="22"/>
        <v>5</v>
      </c>
    </row>
    <row r="116" spans="1:19">
      <c r="A116" s="150" t="s">
        <v>3722</v>
      </c>
      <c r="B116" s="3482">
        <v>10.64</v>
      </c>
      <c r="C116" s="21">
        <f t="shared" si="23"/>
        <v>1</v>
      </c>
      <c r="D116" s="3475" t="s">
        <v>3443</v>
      </c>
      <c r="E116" s="21">
        <f t="shared" si="24"/>
        <v>1</v>
      </c>
      <c r="F116" s="3480" t="s">
        <v>4399</v>
      </c>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ca="1" si="31"/>
        <v>5462</v>
      </c>
      <c r="S116" s="316">
        <f t="shared" ca="1" si="22"/>
        <v>6</v>
      </c>
    </row>
    <row r="117" spans="1:19">
      <c r="A117" s="150" t="s">
        <v>3725</v>
      </c>
      <c r="B117" s="3482">
        <v>10.64</v>
      </c>
      <c r="C117" s="21">
        <f t="shared" si="23"/>
        <v>1</v>
      </c>
      <c r="D117" s="3475" t="s">
        <v>3443</v>
      </c>
      <c r="E117" s="21">
        <f t="shared" si="24"/>
        <v>1</v>
      </c>
      <c r="F117" s="3480" t="s">
        <v>4399</v>
      </c>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ca="1" si="31"/>
        <v>5462</v>
      </c>
      <c r="S117" s="316">
        <f t="shared" ca="1" si="22"/>
        <v>6</v>
      </c>
    </row>
    <row r="118" spans="1:19">
      <c r="A118" s="150" t="s">
        <v>3728</v>
      </c>
      <c r="B118" s="3482">
        <v>10.64</v>
      </c>
      <c r="C118" s="21">
        <f t="shared" si="23"/>
        <v>1</v>
      </c>
      <c r="D118" s="3475" t="s">
        <v>3443</v>
      </c>
      <c r="E118" s="21">
        <f t="shared" si="24"/>
        <v>1</v>
      </c>
      <c r="F118" s="3480" t="s">
        <v>4399</v>
      </c>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ca="1" si="31"/>
        <v>5462</v>
      </c>
      <c r="S118" s="316">
        <f t="shared" ca="1" si="22"/>
        <v>6</v>
      </c>
    </row>
    <row r="119" spans="1:19">
      <c r="A119" s="150" t="s">
        <v>3731</v>
      </c>
      <c r="B119" s="3482">
        <v>8.35</v>
      </c>
      <c r="C119" s="21">
        <f t="shared" si="23"/>
        <v>1.01</v>
      </c>
      <c r="D119" s="3475" t="s">
        <v>3443</v>
      </c>
      <c r="E119" s="21">
        <f t="shared" si="24"/>
        <v>1</v>
      </c>
      <c r="F119" s="3480" t="s">
        <v>4399</v>
      </c>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ca="1" si="31"/>
        <v>5517</v>
      </c>
      <c r="S119" s="316">
        <f t="shared" ca="1" si="22"/>
        <v>5</v>
      </c>
    </row>
    <row r="120" spans="1:19">
      <c r="A120" s="150" t="s">
        <v>3734</v>
      </c>
      <c r="B120" s="3482">
        <v>7.84</v>
      </c>
      <c r="C120" s="21">
        <f t="shared" si="23"/>
        <v>1.01</v>
      </c>
      <c r="D120" s="3475" t="s">
        <v>3443</v>
      </c>
      <c r="E120" s="21">
        <f t="shared" si="24"/>
        <v>1</v>
      </c>
      <c r="F120" s="3480" t="s">
        <v>4399</v>
      </c>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ca="1" si="31"/>
        <v>5517</v>
      </c>
      <c r="S120" s="316">
        <f t="shared" ca="1" si="22"/>
        <v>4</v>
      </c>
    </row>
    <row r="121" spans="1:19">
      <c r="A121" s="150" t="s">
        <v>3737</v>
      </c>
      <c r="B121" s="3482">
        <v>10.55</v>
      </c>
      <c r="C121" s="21">
        <f t="shared" si="23"/>
        <v>1</v>
      </c>
      <c r="D121" s="3475" t="s">
        <v>3443</v>
      </c>
      <c r="E121" s="21">
        <f t="shared" si="24"/>
        <v>1</v>
      </c>
      <c r="F121" s="3480" t="s">
        <v>4393</v>
      </c>
      <c r="G121" s="21">
        <f t="shared" si="25"/>
        <v>1.05</v>
      </c>
      <c r="H121" s="667"/>
      <c r="I121" s="21">
        <f t="shared" si="26"/>
        <v>1</v>
      </c>
      <c r="J121" s="667"/>
      <c r="K121" s="21">
        <f t="shared" si="27"/>
        <v>1</v>
      </c>
      <c r="L121" s="667"/>
      <c r="M121" s="21">
        <f t="shared" si="28"/>
        <v>1</v>
      </c>
      <c r="N121" s="667"/>
      <c r="O121" s="21">
        <f t="shared" si="29"/>
        <v>1</v>
      </c>
      <c r="P121" s="667"/>
      <c r="Q121" s="21">
        <f t="shared" si="30"/>
        <v>1</v>
      </c>
      <c r="R121" s="663">
        <f t="shared" ca="1" si="31"/>
        <v>5735</v>
      </c>
      <c r="S121" s="316">
        <f t="shared" ca="1" si="22"/>
        <v>6</v>
      </c>
    </row>
    <row r="122" spans="1:19">
      <c r="A122" s="150" t="s">
        <v>3740</v>
      </c>
      <c r="B122" s="3482">
        <v>10.75</v>
      </c>
      <c r="C122" s="21">
        <f t="shared" si="23"/>
        <v>1</v>
      </c>
      <c r="D122" s="3475" t="s">
        <v>3443</v>
      </c>
      <c r="E122" s="21">
        <f t="shared" si="24"/>
        <v>1</v>
      </c>
      <c r="F122" s="3480" t="s">
        <v>4393</v>
      </c>
      <c r="G122" s="21">
        <f t="shared" si="25"/>
        <v>1.05</v>
      </c>
      <c r="H122" s="667"/>
      <c r="I122" s="21">
        <f t="shared" si="26"/>
        <v>1</v>
      </c>
      <c r="J122" s="667"/>
      <c r="K122" s="21">
        <f t="shared" si="27"/>
        <v>1</v>
      </c>
      <c r="L122" s="667"/>
      <c r="M122" s="21">
        <f t="shared" si="28"/>
        <v>1</v>
      </c>
      <c r="N122" s="667"/>
      <c r="O122" s="21">
        <f t="shared" si="29"/>
        <v>1</v>
      </c>
      <c r="P122" s="667"/>
      <c r="Q122" s="21">
        <f t="shared" si="30"/>
        <v>1</v>
      </c>
      <c r="R122" s="663">
        <f t="shared" ca="1" si="31"/>
        <v>5735</v>
      </c>
      <c r="S122" s="316">
        <f t="shared" ca="1" si="22"/>
        <v>6</v>
      </c>
    </row>
    <row r="123" spans="1:19">
      <c r="A123" s="150" t="s">
        <v>3743</v>
      </c>
      <c r="B123" s="3482">
        <v>8.43</v>
      </c>
      <c r="C123" s="21">
        <f t="shared" si="23"/>
        <v>1.01</v>
      </c>
      <c r="D123" s="3475" t="s">
        <v>3443</v>
      </c>
      <c r="E123" s="21">
        <f t="shared" si="24"/>
        <v>1</v>
      </c>
      <c r="F123" s="3480" t="s">
        <v>4399</v>
      </c>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ca="1" si="31"/>
        <v>5517</v>
      </c>
      <c r="S123" s="316">
        <f t="shared" ref="S123:S186" ca="1" si="32">ROUND(R123*B123/10000,0)</f>
        <v>5</v>
      </c>
    </row>
    <row r="124" spans="1:19">
      <c r="A124" s="150" t="s">
        <v>3746</v>
      </c>
      <c r="B124" s="3482">
        <v>10.56</v>
      </c>
      <c r="C124" s="21">
        <f t="shared" si="23"/>
        <v>1</v>
      </c>
      <c r="D124" s="3475" t="s">
        <v>3443</v>
      </c>
      <c r="E124" s="21">
        <f t="shared" si="24"/>
        <v>1</v>
      </c>
      <c r="F124" s="3480" t="s">
        <v>4399</v>
      </c>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ca="1" si="31"/>
        <v>5462</v>
      </c>
      <c r="S124" s="316">
        <f t="shared" ca="1" si="32"/>
        <v>6</v>
      </c>
    </row>
    <row r="125" spans="1:19">
      <c r="A125" s="150" t="s">
        <v>3749</v>
      </c>
      <c r="B125" s="3482">
        <v>9.0500000000000007</v>
      </c>
      <c r="C125" s="21">
        <f t="shared" si="23"/>
        <v>1.01</v>
      </c>
      <c r="D125" s="3475" t="s">
        <v>3525</v>
      </c>
      <c r="E125" s="21">
        <f t="shared" si="24"/>
        <v>0.95</v>
      </c>
      <c r="F125" s="3480" t="s">
        <v>4399</v>
      </c>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ca="1" si="31"/>
        <v>5241</v>
      </c>
      <c r="S125" s="316">
        <f t="shared" ca="1" si="32"/>
        <v>5</v>
      </c>
    </row>
    <row r="126" spans="1:19">
      <c r="A126" s="150" t="s">
        <v>3752</v>
      </c>
      <c r="B126" s="3482">
        <v>9.0500000000000007</v>
      </c>
      <c r="C126" s="21">
        <f t="shared" si="23"/>
        <v>1.01</v>
      </c>
      <c r="D126" s="3475" t="s">
        <v>3525</v>
      </c>
      <c r="E126" s="21">
        <f t="shared" si="24"/>
        <v>0.95</v>
      </c>
      <c r="F126" s="3480" t="s">
        <v>4399</v>
      </c>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ca="1" si="31"/>
        <v>5241</v>
      </c>
      <c r="S126" s="316">
        <f t="shared" ca="1" si="32"/>
        <v>5</v>
      </c>
    </row>
    <row r="127" spans="1:19">
      <c r="A127" s="150" t="s">
        <v>3755</v>
      </c>
      <c r="B127" s="3482">
        <v>9.0500000000000007</v>
      </c>
      <c r="C127" s="21">
        <f t="shared" si="23"/>
        <v>1.01</v>
      </c>
      <c r="D127" s="3475" t="s">
        <v>3525</v>
      </c>
      <c r="E127" s="21">
        <f t="shared" si="24"/>
        <v>0.95</v>
      </c>
      <c r="F127" s="3480" t="s">
        <v>4399</v>
      </c>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ca="1" si="31"/>
        <v>5241</v>
      </c>
      <c r="S127" s="316">
        <f t="shared" ca="1" si="32"/>
        <v>5</v>
      </c>
    </row>
    <row r="128" spans="1:19">
      <c r="A128" s="150" t="s">
        <v>3758</v>
      </c>
      <c r="B128" s="3482">
        <v>8.1999999999999993</v>
      </c>
      <c r="C128" s="21">
        <f t="shared" si="23"/>
        <v>1.01</v>
      </c>
      <c r="D128" s="3475" t="s">
        <v>3525</v>
      </c>
      <c r="E128" s="21">
        <f t="shared" si="24"/>
        <v>0.95</v>
      </c>
      <c r="F128" s="3480" t="s">
        <v>4399</v>
      </c>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ca="1" si="31"/>
        <v>5241</v>
      </c>
      <c r="S128" s="316">
        <f t="shared" ca="1" si="32"/>
        <v>4</v>
      </c>
    </row>
    <row r="129" spans="1:19">
      <c r="A129" s="150" t="s">
        <v>3761</v>
      </c>
      <c r="B129" s="3482">
        <v>10.59</v>
      </c>
      <c r="C129" s="21">
        <f t="shared" si="23"/>
        <v>1</v>
      </c>
      <c r="D129" s="3475" t="s">
        <v>3525</v>
      </c>
      <c r="E129" s="21">
        <f t="shared" si="24"/>
        <v>0.95</v>
      </c>
      <c r="F129" s="3480" t="s">
        <v>4399</v>
      </c>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ca="1" si="31"/>
        <v>5189</v>
      </c>
      <c r="S129" s="316">
        <f t="shared" ca="1" si="32"/>
        <v>5</v>
      </c>
    </row>
    <row r="130" spans="1:19">
      <c r="A130" s="150" t="s">
        <v>3764</v>
      </c>
      <c r="B130" s="3482">
        <v>10.59</v>
      </c>
      <c r="C130" s="21">
        <f t="shared" si="23"/>
        <v>1</v>
      </c>
      <c r="D130" s="3475" t="s">
        <v>3525</v>
      </c>
      <c r="E130" s="21">
        <f t="shared" si="24"/>
        <v>0.95</v>
      </c>
      <c r="F130" s="3480" t="s">
        <v>4399</v>
      </c>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ca="1" si="31"/>
        <v>5189</v>
      </c>
      <c r="S130" s="316">
        <f t="shared" ca="1" si="32"/>
        <v>5</v>
      </c>
    </row>
    <row r="131" spans="1:19">
      <c r="A131" s="150" t="s">
        <v>3767</v>
      </c>
      <c r="B131" s="3482">
        <v>10.59</v>
      </c>
      <c r="C131" s="21">
        <f t="shared" si="23"/>
        <v>1</v>
      </c>
      <c r="D131" s="3475" t="s">
        <v>3525</v>
      </c>
      <c r="E131" s="21">
        <f t="shared" si="24"/>
        <v>0.95</v>
      </c>
      <c r="F131" s="3480" t="s">
        <v>4399</v>
      </c>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ca="1" si="31"/>
        <v>5189</v>
      </c>
      <c r="S131" s="316">
        <f t="shared" ca="1" si="32"/>
        <v>5</v>
      </c>
    </row>
    <row r="132" spans="1:19">
      <c r="A132" s="150" t="s">
        <v>3770</v>
      </c>
      <c r="B132" s="3482">
        <v>8.31</v>
      </c>
      <c r="C132" s="21">
        <f t="shared" si="23"/>
        <v>1.01</v>
      </c>
      <c r="D132" s="3475" t="s">
        <v>3525</v>
      </c>
      <c r="E132" s="21">
        <f t="shared" si="24"/>
        <v>0.95</v>
      </c>
      <c r="F132" s="3480" t="s">
        <v>4399</v>
      </c>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ca="1" si="31"/>
        <v>5241</v>
      </c>
      <c r="S132" s="316">
        <f t="shared" ca="1" si="32"/>
        <v>4</v>
      </c>
    </row>
    <row r="133" spans="1:19">
      <c r="A133" s="150" t="s">
        <v>3773</v>
      </c>
      <c r="B133" s="3482">
        <v>8.18</v>
      </c>
      <c r="C133" s="21">
        <f t="shared" si="23"/>
        <v>1.01</v>
      </c>
      <c r="D133" s="3475" t="s">
        <v>3525</v>
      </c>
      <c r="E133" s="21">
        <f t="shared" si="24"/>
        <v>0.95</v>
      </c>
      <c r="F133" s="3480" t="s">
        <v>4399</v>
      </c>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ca="1" si="31"/>
        <v>5241</v>
      </c>
      <c r="S133" s="316">
        <f t="shared" ca="1" si="32"/>
        <v>4</v>
      </c>
    </row>
    <row r="134" spans="1:19">
      <c r="A134" s="150" t="s">
        <v>3776</v>
      </c>
      <c r="B134" s="3482">
        <v>7.82</v>
      </c>
      <c r="C134" s="21">
        <f t="shared" si="23"/>
        <v>1.01</v>
      </c>
      <c r="D134" s="3475" t="s">
        <v>3525</v>
      </c>
      <c r="E134" s="21">
        <f t="shared" si="24"/>
        <v>0.95</v>
      </c>
      <c r="F134" s="3480" t="s">
        <v>4393</v>
      </c>
      <c r="G134" s="21">
        <f t="shared" si="25"/>
        <v>1.05</v>
      </c>
      <c r="H134" s="667"/>
      <c r="I134" s="21">
        <f t="shared" si="26"/>
        <v>1</v>
      </c>
      <c r="J134" s="667"/>
      <c r="K134" s="21">
        <f t="shared" si="27"/>
        <v>1</v>
      </c>
      <c r="L134" s="667"/>
      <c r="M134" s="21">
        <f t="shared" si="28"/>
        <v>1</v>
      </c>
      <c r="N134" s="667"/>
      <c r="O134" s="21">
        <f t="shared" si="29"/>
        <v>1</v>
      </c>
      <c r="P134" s="667"/>
      <c r="Q134" s="21">
        <f t="shared" si="30"/>
        <v>1</v>
      </c>
      <c r="R134" s="663">
        <f t="shared" ca="1" si="31"/>
        <v>5503</v>
      </c>
      <c r="S134" s="316">
        <f t="shared" ca="1" si="32"/>
        <v>4</v>
      </c>
    </row>
    <row r="135" spans="1:19">
      <c r="A135" s="150" t="s">
        <v>3779</v>
      </c>
      <c r="B135" s="3482">
        <v>7.82</v>
      </c>
      <c r="C135" s="21">
        <f t="shared" si="23"/>
        <v>1.01</v>
      </c>
      <c r="D135" s="3475" t="s">
        <v>3525</v>
      </c>
      <c r="E135" s="21">
        <f t="shared" si="24"/>
        <v>0.95</v>
      </c>
      <c r="F135" s="3480" t="s">
        <v>4393</v>
      </c>
      <c r="G135" s="21">
        <f t="shared" si="25"/>
        <v>1.05</v>
      </c>
      <c r="H135" s="667"/>
      <c r="I135" s="21">
        <f t="shared" si="26"/>
        <v>1</v>
      </c>
      <c r="J135" s="667"/>
      <c r="K135" s="21">
        <f t="shared" si="27"/>
        <v>1</v>
      </c>
      <c r="L135" s="667"/>
      <c r="M135" s="21">
        <f t="shared" si="28"/>
        <v>1</v>
      </c>
      <c r="N135" s="667"/>
      <c r="O135" s="21">
        <f t="shared" si="29"/>
        <v>1</v>
      </c>
      <c r="P135" s="667"/>
      <c r="Q135" s="21">
        <f t="shared" si="30"/>
        <v>1</v>
      </c>
      <c r="R135" s="663">
        <f t="shared" ca="1" si="31"/>
        <v>5503</v>
      </c>
      <c r="S135" s="316">
        <f t="shared" ca="1" si="32"/>
        <v>4</v>
      </c>
    </row>
    <row r="136" spans="1:19">
      <c r="A136" s="150" t="s">
        <v>3782</v>
      </c>
      <c r="B136" s="3482">
        <v>9.82</v>
      </c>
      <c r="C136" s="21">
        <f t="shared" si="23"/>
        <v>1.01</v>
      </c>
      <c r="D136" s="3475" t="s">
        <v>3525</v>
      </c>
      <c r="E136" s="21">
        <f t="shared" si="24"/>
        <v>0.95</v>
      </c>
      <c r="F136" s="3480" t="s">
        <v>4399</v>
      </c>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ca="1" si="31"/>
        <v>5241</v>
      </c>
      <c r="S136" s="316">
        <f t="shared" ca="1" si="32"/>
        <v>5</v>
      </c>
    </row>
    <row r="137" spans="1:19">
      <c r="A137" s="150" t="s">
        <v>3785</v>
      </c>
      <c r="B137" s="3482">
        <v>7.69</v>
      </c>
      <c r="C137" s="21">
        <f t="shared" si="23"/>
        <v>1.01</v>
      </c>
      <c r="D137" s="3475" t="s">
        <v>3525</v>
      </c>
      <c r="E137" s="21">
        <f t="shared" si="24"/>
        <v>0.95</v>
      </c>
      <c r="F137" s="3480" t="s">
        <v>4399</v>
      </c>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ca="1" si="31"/>
        <v>5241</v>
      </c>
      <c r="S137" s="316">
        <f t="shared" ca="1" si="32"/>
        <v>4</v>
      </c>
    </row>
    <row r="138" spans="1:19">
      <c r="A138" s="150" t="s">
        <v>3788</v>
      </c>
      <c r="B138" s="3482">
        <v>7.69</v>
      </c>
      <c r="C138" s="21">
        <f t="shared" si="23"/>
        <v>1.01</v>
      </c>
      <c r="D138" s="3475" t="s">
        <v>3525</v>
      </c>
      <c r="E138" s="21">
        <f t="shared" si="24"/>
        <v>0.95</v>
      </c>
      <c r="F138" s="3480" t="s">
        <v>4399</v>
      </c>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ca="1" si="31"/>
        <v>5241</v>
      </c>
      <c r="S138" s="316">
        <f t="shared" ca="1" si="32"/>
        <v>4</v>
      </c>
    </row>
    <row r="139" spans="1:19">
      <c r="A139" s="150" t="s">
        <v>3791</v>
      </c>
      <c r="B139" s="3482">
        <v>7.69</v>
      </c>
      <c r="C139" s="21">
        <f t="shared" si="23"/>
        <v>1.01</v>
      </c>
      <c r="D139" s="3475" t="s">
        <v>3525</v>
      </c>
      <c r="E139" s="21">
        <f t="shared" si="24"/>
        <v>0.95</v>
      </c>
      <c r="F139" s="3480" t="s">
        <v>4399</v>
      </c>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ca="1" si="31"/>
        <v>5241</v>
      </c>
      <c r="S139" s="316">
        <f t="shared" ca="1" si="32"/>
        <v>4</v>
      </c>
    </row>
    <row r="140" spans="1:19">
      <c r="A140" s="150" t="s">
        <v>3794</v>
      </c>
      <c r="B140" s="3482">
        <v>7.69</v>
      </c>
      <c r="C140" s="21">
        <f t="shared" si="23"/>
        <v>1.01</v>
      </c>
      <c r="D140" s="3475" t="s">
        <v>3525</v>
      </c>
      <c r="E140" s="21">
        <f t="shared" si="24"/>
        <v>0.95</v>
      </c>
      <c r="F140" s="3480" t="s">
        <v>4399</v>
      </c>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ca="1" si="31"/>
        <v>5241</v>
      </c>
      <c r="S140" s="316">
        <f t="shared" ca="1" si="32"/>
        <v>4</v>
      </c>
    </row>
    <row r="141" spans="1:19">
      <c r="A141" s="150" t="s">
        <v>3797</v>
      </c>
      <c r="B141" s="3482">
        <v>9.82</v>
      </c>
      <c r="C141" s="21">
        <f t="shared" si="23"/>
        <v>1.01</v>
      </c>
      <c r="D141" s="3475" t="s">
        <v>3525</v>
      </c>
      <c r="E141" s="21">
        <f t="shared" si="24"/>
        <v>0.95</v>
      </c>
      <c r="F141" s="3480" t="s">
        <v>4399</v>
      </c>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ca="1" si="31"/>
        <v>5241</v>
      </c>
      <c r="S141" s="316">
        <f t="shared" ca="1" si="32"/>
        <v>5</v>
      </c>
    </row>
    <row r="142" spans="1:19">
      <c r="A142" s="150" t="s">
        <v>3800</v>
      </c>
      <c r="B142" s="3482">
        <v>7.82</v>
      </c>
      <c r="C142" s="21">
        <f t="shared" si="23"/>
        <v>1.01</v>
      </c>
      <c r="D142" s="3475" t="s">
        <v>3525</v>
      </c>
      <c r="E142" s="21">
        <f t="shared" si="24"/>
        <v>0.95</v>
      </c>
      <c r="F142" s="3480" t="s">
        <v>4393</v>
      </c>
      <c r="G142" s="21">
        <f t="shared" si="25"/>
        <v>1.05</v>
      </c>
      <c r="H142" s="667"/>
      <c r="I142" s="21">
        <f t="shared" si="26"/>
        <v>1</v>
      </c>
      <c r="J142" s="667"/>
      <c r="K142" s="21">
        <f t="shared" si="27"/>
        <v>1</v>
      </c>
      <c r="L142" s="667"/>
      <c r="M142" s="21">
        <f t="shared" si="28"/>
        <v>1</v>
      </c>
      <c r="N142" s="667"/>
      <c r="O142" s="21">
        <f t="shared" si="29"/>
        <v>1</v>
      </c>
      <c r="P142" s="667"/>
      <c r="Q142" s="21">
        <f t="shared" si="30"/>
        <v>1</v>
      </c>
      <c r="R142" s="663">
        <f t="shared" ca="1" si="31"/>
        <v>5503</v>
      </c>
      <c r="S142" s="316">
        <f t="shared" ca="1" si="32"/>
        <v>4</v>
      </c>
    </row>
    <row r="143" spans="1:19">
      <c r="A143" s="150" t="s">
        <v>3803</v>
      </c>
      <c r="B143" s="3482">
        <v>7.82</v>
      </c>
      <c r="C143" s="21">
        <f t="shared" si="23"/>
        <v>1.01</v>
      </c>
      <c r="D143" s="3475" t="s">
        <v>3525</v>
      </c>
      <c r="E143" s="21">
        <f t="shared" si="24"/>
        <v>0.95</v>
      </c>
      <c r="F143" s="3480" t="s">
        <v>4393</v>
      </c>
      <c r="G143" s="21">
        <f t="shared" si="25"/>
        <v>1.05</v>
      </c>
      <c r="H143" s="667"/>
      <c r="I143" s="21">
        <f t="shared" si="26"/>
        <v>1</v>
      </c>
      <c r="J143" s="667"/>
      <c r="K143" s="21">
        <f t="shared" si="27"/>
        <v>1</v>
      </c>
      <c r="L143" s="667"/>
      <c r="M143" s="21">
        <f t="shared" si="28"/>
        <v>1</v>
      </c>
      <c r="N143" s="667"/>
      <c r="O143" s="21">
        <f t="shared" si="29"/>
        <v>1</v>
      </c>
      <c r="P143" s="667"/>
      <c r="Q143" s="21">
        <f t="shared" si="30"/>
        <v>1</v>
      </c>
      <c r="R143" s="663">
        <f t="shared" ca="1" si="31"/>
        <v>5503</v>
      </c>
      <c r="S143" s="316">
        <f t="shared" ca="1" si="32"/>
        <v>4</v>
      </c>
    </row>
    <row r="144" spans="1:19">
      <c r="A144" s="150" t="s">
        <v>3806</v>
      </c>
      <c r="B144" s="3482">
        <v>6.79</v>
      </c>
      <c r="C144" s="21">
        <f t="shared" si="23"/>
        <v>1.01</v>
      </c>
      <c r="D144" s="3475" t="s">
        <v>3525</v>
      </c>
      <c r="E144" s="21">
        <f t="shared" si="24"/>
        <v>0.95</v>
      </c>
      <c r="F144" s="3480" t="s">
        <v>4399</v>
      </c>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ca="1" si="31"/>
        <v>5241</v>
      </c>
      <c r="S144" s="316">
        <f t="shared" ca="1" si="32"/>
        <v>4</v>
      </c>
    </row>
    <row r="145" spans="1:19">
      <c r="A145" s="150" t="s">
        <v>3809</v>
      </c>
      <c r="B145" s="3482">
        <v>8.18</v>
      </c>
      <c r="C145" s="21">
        <f t="shared" si="23"/>
        <v>1.01</v>
      </c>
      <c r="D145" s="3475" t="s">
        <v>3525</v>
      </c>
      <c r="E145" s="21">
        <f t="shared" si="24"/>
        <v>0.95</v>
      </c>
      <c r="F145" s="3480" t="s">
        <v>4399</v>
      </c>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ca="1" si="31"/>
        <v>5241</v>
      </c>
      <c r="S145" s="316">
        <f t="shared" ca="1" si="32"/>
        <v>4</v>
      </c>
    </row>
    <row r="146" spans="1:19">
      <c r="A146" s="150" t="s">
        <v>3812</v>
      </c>
      <c r="B146" s="3482">
        <v>8.31</v>
      </c>
      <c r="C146" s="21">
        <f t="shared" si="23"/>
        <v>1.01</v>
      </c>
      <c r="D146" s="3475" t="s">
        <v>3525</v>
      </c>
      <c r="E146" s="21">
        <f t="shared" si="24"/>
        <v>0.95</v>
      </c>
      <c r="F146" s="3480" t="s">
        <v>4399</v>
      </c>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ca="1" si="31"/>
        <v>5241</v>
      </c>
      <c r="S146" s="316">
        <f t="shared" ca="1" si="32"/>
        <v>4</v>
      </c>
    </row>
    <row r="147" spans="1:19">
      <c r="A147" s="150" t="s">
        <v>3815</v>
      </c>
      <c r="B147" s="3482">
        <v>10.59</v>
      </c>
      <c r="C147" s="21">
        <f t="shared" si="23"/>
        <v>1</v>
      </c>
      <c r="D147" s="3475" t="s">
        <v>3525</v>
      </c>
      <c r="E147" s="21">
        <f t="shared" si="24"/>
        <v>0.95</v>
      </c>
      <c r="F147" s="3480" t="s">
        <v>4399</v>
      </c>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ca="1" si="31"/>
        <v>5189</v>
      </c>
      <c r="S147" s="316">
        <f t="shared" ca="1" si="32"/>
        <v>5</v>
      </c>
    </row>
    <row r="148" spans="1:19">
      <c r="A148" s="150" t="s">
        <v>3818</v>
      </c>
      <c r="B148" s="3482">
        <v>10.59</v>
      </c>
      <c r="C148" s="21">
        <f t="shared" si="23"/>
        <v>1</v>
      </c>
      <c r="D148" s="3475" t="s">
        <v>3525</v>
      </c>
      <c r="E148" s="21">
        <f t="shared" si="24"/>
        <v>0.95</v>
      </c>
      <c r="F148" s="3480" t="s">
        <v>4399</v>
      </c>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ca="1" si="31"/>
        <v>5189</v>
      </c>
      <c r="S148" s="316">
        <f t="shared" ca="1" si="32"/>
        <v>5</v>
      </c>
    </row>
    <row r="149" spans="1:19">
      <c r="A149" s="150" t="s">
        <v>3821</v>
      </c>
      <c r="B149" s="3482">
        <v>10.59</v>
      </c>
      <c r="C149" s="21">
        <f t="shared" si="23"/>
        <v>1</v>
      </c>
      <c r="D149" s="3475" t="s">
        <v>3525</v>
      </c>
      <c r="E149" s="21">
        <f t="shared" si="24"/>
        <v>0.95</v>
      </c>
      <c r="F149" s="3480" t="s">
        <v>4399</v>
      </c>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ca="1" si="31"/>
        <v>5189</v>
      </c>
      <c r="S149" s="316">
        <f t="shared" ca="1" si="32"/>
        <v>5</v>
      </c>
    </row>
    <row r="150" spans="1:19">
      <c r="A150" s="150" t="s">
        <v>3824</v>
      </c>
      <c r="B150" s="3482">
        <v>8.31</v>
      </c>
      <c r="C150" s="21">
        <f t="shared" si="23"/>
        <v>1.01</v>
      </c>
      <c r="D150" s="3475" t="s">
        <v>3525</v>
      </c>
      <c r="E150" s="21">
        <f t="shared" si="24"/>
        <v>0.95</v>
      </c>
      <c r="F150" s="3480" t="s">
        <v>4399</v>
      </c>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ca="1" si="31"/>
        <v>5241</v>
      </c>
      <c r="S150" s="316">
        <f t="shared" ca="1" si="32"/>
        <v>4</v>
      </c>
    </row>
    <row r="151" spans="1:19">
      <c r="A151" s="150" t="s">
        <v>3827</v>
      </c>
      <c r="B151" s="3482">
        <v>8.18</v>
      </c>
      <c r="C151" s="21">
        <f t="shared" si="23"/>
        <v>1.01</v>
      </c>
      <c r="D151" s="3475" t="s">
        <v>3525</v>
      </c>
      <c r="E151" s="21">
        <f t="shared" si="24"/>
        <v>0.95</v>
      </c>
      <c r="F151" s="3480" t="s">
        <v>4399</v>
      </c>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ca="1" si="31"/>
        <v>5241</v>
      </c>
      <c r="S151" s="316">
        <f t="shared" ca="1" si="32"/>
        <v>4</v>
      </c>
    </row>
    <row r="152" spans="1:19">
      <c r="A152" s="150" t="s">
        <v>3830</v>
      </c>
      <c r="B152" s="3482">
        <v>9.0500000000000007</v>
      </c>
      <c r="C152" s="21">
        <f t="shared" si="23"/>
        <v>1.01</v>
      </c>
      <c r="D152" s="3475" t="s">
        <v>3525</v>
      </c>
      <c r="E152" s="21">
        <f t="shared" si="24"/>
        <v>0.95</v>
      </c>
      <c r="F152" s="3480" t="s">
        <v>4399</v>
      </c>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ca="1" si="31"/>
        <v>5241</v>
      </c>
      <c r="S152" s="316">
        <f t="shared" ca="1" si="32"/>
        <v>5</v>
      </c>
    </row>
    <row r="153" spans="1:19">
      <c r="A153" s="150" t="s">
        <v>3833</v>
      </c>
      <c r="B153" s="3482">
        <v>9.0500000000000007</v>
      </c>
      <c r="C153" s="21">
        <f t="shared" si="23"/>
        <v>1.01</v>
      </c>
      <c r="D153" s="3475" t="s">
        <v>3525</v>
      </c>
      <c r="E153" s="21">
        <f t="shared" si="24"/>
        <v>0.95</v>
      </c>
      <c r="F153" s="3480" t="s">
        <v>4399</v>
      </c>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ca="1" si="31"/>
        <v>5241</v>
      </c>
      <c r="S153" s="316">
        <f t="shared" ca="1" si="32"/>
        <v>5</v>
      </c>
    </row>
    <row r="154" spans="1:19">
      <c r="A154" s="150" t="s">
        <v>3836</v>
      </c>
      <c r="B154" s="3482">
        <v>9.0500000000000007</v>
      </c>
      <c r="C154" s="21">
        <f t="shared" ref="C154:C217" si="33">IF(B154="",1,(LOOKUP(B154,$3:$3,$4:$4)-LOOKUP($B$24,$3:$3,$4:$4)+100)/100)</f>
        <v>1.01</v>
      </c>
      <c r="D154" s="3475" t="s">
        <v>3525</v>
      </c>
      <c r="E154" s="21">
        <f t="shared" ref="E154:E217" si="34">(SUMIF($5:$5,D154,$6:$6)-SUMIF($5:$5,$D$24,$6:$6)+100)/100</f>
        <v>0.95</v>
      </c>
      <c r="F154" s="3480" t="s">
        <v>4399</v>
      </c>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ca="1" si="41">IF(B154="",0,ROUND($R$24*C154*E154*G154*I154*K154*M154*O154*Q154,0))</f>
        <v>5241</v>
      </c>
      <c r="S154" s="316">
        <f t="shared" ca="1" si="32"/>
        <v>5</v>
      </c>
    </row>
    <row r="155" spans="1:19">
      <c r="A155" s="150" t="s">
        <v>3839</v>
      </c>
      <c r="B155" s="3482">
        <v>10.63</v>
      </c>
      <c r="C155" s="21">
        <f t="shared" si="33"/>
        <v>1</v>
      </c>
      <c r="D155" s="3475" t="s">
        <v>3525</v>
      </c>
      <c r="E155" s="21">
        <f t="shared" si="34"/>
        <v>0.95</v>
      </c>
      <c r="F155" s="3480" t="s">
        <v>4393</v>
      </c>
      <c r="G155" s="21">
        <f t="shared" si="35"/>
        <v>1.05</v>
      </c>
      <c r="H155" s="667"/>
      <c r="I155" s="21">
        <f t="shared" si="36"/>
        <v>1</v>
      </c>
      <c r="J155" s="667"/>
      <c r="K155" s="21">
        <f t="shared" si="37"/>
        <v>1</v>
      </c>
      <c r="L155" s="667"/>
      <c r="M155" s="21">
        <f t="shared" si="38"/>
        <v>1</v>
      </c>
      <c r="N155" s="667"/>
      <c r="O155" s="21">
        <f t="shared" si="39"/>
        <v>1</v>
      </c>
      <c r="P155" s="667"/>
      <c r="Q155" s="21">
        <f t="shared" si="40"/>
        <v>1</v>
      </c>
      <c r="R155" s="663">
        <f t="shared" ca="1" si="41"/>
        <v>5448</v>
      </c>
      <c r="S155" s="316">
        <f t="shared" ca="1" si="32"/>
        <v>6</v>
      </c>
    </row>
    <row r="156" spans="1:19">
      <c r="A156" s="150" t="s">
        <v>3842</v>
      </c>
      <c r="B156" s="3482">
        <v>8.1999999999999993</v>
      </c>
      <c r="C156" s="21">
        <f t="shared" si="33"/>
        <v>1.01</v>
      </c>
      <c r="D156" s="3475" t="s">
        <v>3525</v>
      </c>
      <c r="E156" s="21">
        <f t="shared" si="34"/>
        <v>0.95</v>
      </c>
      <c r="F156" s="3480" t="s">
        <v>4399</v>
      </c>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ca="1" si="41"/>
        <v>5241</v>
      </c>
      <c r="S156" s="316">
        <f t="shared" ca="1" si="32"/>
        <v>4</v>
      </c>
    </row>
    <row r="157" spans="1:19">
      <c r="A157" s="150" t="s">
        <v>3845</v>
      </c>
      <c r="B157" s="3482">
        <v>10.32</v>
      </c>
      <c r="C157" s="21">
        <f t="shared" si="33"/>
        <v>1</v>
      </c>
      <c r="D157" s="3475" t="s">
        <v>3525</v>
      </c>
      <c r="E157" s="21">
        <f t="shared" si="34"/>
        <v>0.95</v>
      </c>
      <c r="F157" s="3480" t="s">
        <v>4399</v>
      </c>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ca="1" si="41"/>
        <v>5189</v>
      </c>
      <c r="S157" s="316">
        <f t="shared" ca="1" si="32"/>
        <v>5</v>
      </c>
    </row>
    <row r="158" spans="1:19">
      <c r="A158" s="150" t="s">
        <v>3849</v>
      </c>
      <c r="B158" s="3482">
        <v>6.94</v>
      </c>
      <c r="C158" s="21">
        <f t="shared" si="33"/>
        <v>1.01</v>
      </c>
      <c r="D158" s="3475" t="s">
        <v>3443</v>
      </c>
      <c r="E158" s="21">
        <f t="shared" si="34"/>
        <v>1</v>
      </c>
      <c r="F158" s="3480" t="s">
        <v>4399</v>
      </c>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ca="1" si="41"/>
        <v>5517</v>
      </c>
      <c r="S158" s="316">
        <f t="shared" ca="1" si="32"/>
        <v>4</v>
      </c>
    </row>
    <row r="159" spans="1:19">
      <c r="A159" s="150" t="s">
        <v>3852</v>
      </c>
      <c r="B159" s="3482">
        <v>8.3000000000000007</v>
      </c>
      <c r="C159" s="21">
        <f t="shared" si="33"/>
        <v>1.01</v>
      </c>
      <c r="D159" s="3475" t="s">
        <v>3443</v>
      </c>
      <c r="E159" s="21">
        <f t="shared" si="34"/>
        <v>1</v>
      </c>
      <c r="F159" s="3480" t="s">
        <v>4399</v>
      </c>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ca="1" si="41"/>
        <v>5517</v>
      </c>
      <c r="S159" s="316">
        <f t="shared" ca="1" si="32"/>
        <v>5</v>
      </c>
    </row>
    <row r="160" spans="1:19">
      <c r="A160" s="150" t="s">
        <v>3854</v>
      </c>
      <c r="B160" s="3482">
        <v>8.42</v>
      </c>
      <c r="C160" s="21">
        <f t="shared" si="33"/>
        <v>1.01</v>
      </c>
      <c r="D160" s="3475" t="s">
        <v>3443</v>
      </c>
      <c r="E160" s="21">
        <f t="shared" si="34"/>
        <v>1</v>
      </c>
      <c r="F160" s="3480" t="s">
        <v>4399</v>
      </c>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ca="1" si="41"/>
        <v>5517</v>
      </c>
      <c r="S160" s="316">
        <f t="shared" ca="1" si="32"/>
        <v>5</v>
      </c>
    </row>
    <row r="161" spans="1:19">
      <c r="A161" s="150" t="s">
        <v>3856</v>
      </c>
      <c r="B161" s="3482">
        <v>8.42</v>
      </c>
      <c r="C161" s="21">
        <f t="shared" si="33"/>
        <v>1.01</v>
      </c>
      <c r="D161" s="3475" t="s">
        <v>3443</v>
      </c>
      <c r="E161" s="21">
        <f t="shared" si="34"/>
        <v>1</v>
      </c>
      <c r="F161" s="3480" t="s">
        <v>4399</v>
      </c>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ca="1" si="41"/>
        <v>5517</v>
      </c>
      <c r="S161" s="316">
        <f t="shared" ca="1" si="32"/>
        <v>5</v>
      </c>
    </row>
    <row r="162" spans="1:19">
      <c r="A162" s="150" t="s">
        <v>3858</v>
      </c>
      <c r="B162" s="3482">
        <v>8.3000000000000007</v>
      </c>
      <c r="C162" s="21">
        <f t="shared" si="33"/>
        <v>1.01</v>
      </c>
      <c r="D162" s="3475" t="s">
        <v>3443</v>
      </c>
      <c r="E162" s="21">
        <f t="shared" si="34"/>
        <v>1</v>
      </c>
      <c r="F162" s="3480" t="s">
        <v>4399</v>
      </c>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ca="1" si="41"/>
        <v>5517</v>
      </c>
      <c r="S162" s="316">
        <f t="shared" ca="1" si="32"/>
        <v>5</v>
      </c>
    </row>
    <row r="163" spans="1:19">
      <c r="A163" s="150" t="s">
        <v>3861</v>
      </c>
      <c r="B163" s="3482">
        <v>11.48</v>
      </c>
      <c r="C163" s="21">
        <f t="shared" si="33"/>
        <v>1</v>
      </c>
      <c r="D163" s="3475" t="s">
        <v>3443</v>
      </c>
      <c r="E163" s="21">
        <f t="shared" si="34"/>
        <v>1</v>
      </c>
      <c r="F163" s="3480" t="s">
        <v>4394</v>
      </c>
      <c r="G163" s="21">
        <f t="shared" si="35"/>
        <v>1.05</v>
      </c>
      <c r="H163" s="667"/>
      <c r="I163" s="21">
        <f t="shared" si="36"/>
        <v>1</v>
      </c>
      <c r="J163" s="667"/>
      <c r="K163" s="21">
        <f t="shared" si="37"/>
        <v>1</v>
      </c>
      <c r="L163" s="667"/>
      <c r="M163" s="21">
        <f t="shared" si="38"/>
        <v>1</v>
      </c>
      <c r="N163" s="667"/>
      <c r="O163" s="21">
        <f t="shared" si="39"/>
        <v>1</v>
      </c>
      <c r="P163" s="667"/>
      <c r="Q163" s="21">
        <f t="shared" si="40"/>
        <v>1</v>
      </c>
      <c r="R163" s="663">
        <f t="shared" ca="1" si="41"/>
        <v>5735</v>
      </c>
      <c r="S163" s="316">
        <f t="shared" ca="1" si="32"/>
        <v>7</v>
      </c>
    </row>
    <row r="164" spans="1:19">
      <c r="A164" s="150" t="s">
        <v>3864</v>
      </c>
      <c r="B164" s="3482">
        <v>8.86</v>
      </c>
      <c r="C164" s="21">
        <f t="shared" si="33"/>
        <v>1.01</v>
      </c>
      <c r="D164" s="3475" t="s">
        <v>3443</v>
      </c>
      <c r="E164" s="21">
        <f t="shared" si="34"/>
        <v>1</v>
      </c>
      <c r="F164" s="3480" t="s">
        <v>4399</v>
      </c>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ca="1" si="41"/>
        <v>5517</v>
      </c>
      <c r="S164" s="316">
        <f t="shared" ca="1" si="32"/>
        <v>5</v>
      </c>
    </row>
    <row r="165" spans="1:19">
      <c r="A165" s="150" t="s">
        <v>3868</v>
      </c>
      <c r="B165" s="3482">
        <v>8.1300000000000008</v>
      </c>
      <c r="C165" s="21">
        <f t="shared" si="33"/>
        <v>1.01</v>
      </c>
      <c r="D165" s="3475" t="s">
        <v>3443</v>
      </c>
      <c r="E165" s="21">
        <f t="shared" si="34"/>
        <v>1</v>
      </c>
      <c r="F165" s="3480" t="s">
        <v>4399</v>
      </c>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ca="1" si="41"/>
        <v>5517</v>
      </c>
      <c r="S165" s="316">
        <f t="shared" ca="1" si="32"/>
        <v>4</v>
      </c>
    </row>
    <row r="166" spans="1:19">
      <c r="A166" s="150" t="s">
        <v>3871</v>
      </c>
      <c r="B166" s="3482">
        <v>10.54</v>
      </c>
      <c r="C166" s="21">
        <f t="shared" si="33"/>
        <v>1</v>
      </c>
      <c r="D166" s="3475" t="s">
        <v>3443</v>
      </c>
      <c r="E166" s="21">
        <f t="shared" si="34"/>
        <v>1</v>
      </c>
      <c r="F166" s="3480" t="s">
        <v>4393</v>
      </c>
      <c r="G166" s="21">
        <f t="shared" si="35"/>
        <v>1.05</v>
      </c>
      <c r="H166" s="667"/>
      <c r="I166" s="21">
        <f t="shared" si="36"/>
        <v>1</v>
      </c>
      <c r="J166" s="667"/>
      <c r="K166" s="21">
        <f t="shared" si="37"/>
        <v>1</v>
      </c>
      <c r="L166" s="667"/>
      <c r="M166" s="21">
        <f t="shared" si="38"/>
        <v>1</v>
      </c>
      <c r="N166" s="667"/>
      <c r="O166" s="21">
        <f t="shared" si="39"/>
        <v>1</v>
      </c>
      <c r="P166" s="667"/>
      <c r="Q166" s="21">
        <f t="shared" si="40"/>
        <v>1</v>
      </c>
      <c r="R166" s="663">
        <f t="shared" ca="1" si="41"/>
        <v>5735</v>
      </c>
      <c r="S166" s="316">
        <f t="shared" ca="1" si="32"/>
        <v>6</v>
      </c>
    </row>
    <row r="167" spans="1:19">
      <c r="A167" s="150" t="s">
        <v>3874</v>
      </c>
      <c r="B167" s="3482">
        <v>7.61</v>
      </c>
      <c r="C167" s="21">
        <f t="shared" si="33"/>
        <v>1.01</v>
      </c>
      <c r="D167" s="3475" t="s">
        <v>3443</v>
      </c>
      <c r="E167" s="21">
        <f t="shared" si="34"/>
        <v>1</v>
      </c>
      <c r="F167" s="3480" t="s">
        <v>4399</v>
      </c>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ca="1" si="41"/>
        <v>5517</v>
      </c>
      <c r="S167" s="316">
        <f t="shared" ca="1" si="32"/>
        <v>4</v>
      </c>
    </row>
    <row r="168" spans="1:19">
      <c r="A168" s="150" t="s">
        <v>3877</v>
      </c>
      <c r="B168" s="3482">
        <v>8.24</v>
      </c>
      <c r="C168" s="21">
        <f t="shared" si="33"/>
        <v>1.01</v>
      </c>
      <c r="D168" s="3475" t="s">
        <v>3443</v>
      </c>
      <c r="E168" s="21">
        <f t="shared" si="34"/>
        <v>1</v>
      </c>
      <c r="F168" s="3480" t="s">
        <v>4399</v>
      </c>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ca="1" si="41"/>
        <v>5517</v>
      </c>
      <c r="S168" s="316">
        <f t="shared" ca="1" si="32"/>
        <v>5</v>
      </c>
    </row>
    <row r="169" spans="1:19">
      <c r="A169" s="150" t="s">
        <v>3880</v>
      </c>
      <c r="B169" s="3482">
        <v>10.51</v>
      </c>
      <c r="C169" s="21">
        <f t="shared" si="33"/>
        <v>1</v>
      </c>
      <c r="D169" s="3475" t="s">
        <v>3443</v>
      </c>
      <c r="E169" s="21">
        <f t="shared" si="34"/>
        <v>1</v>
      </c>
      <c r="F169" s="3480" t="s">
        <v>4399</v>
      </c>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ca="1" si="41"/>
        <v>5462</v>
      </c>
      <c r="S169" s="316">
        <f t="shared" ca="1" si="32"/>
        <v>6</v>
      </c>
    </row>
    <row r="170" spans="1:19">
      <c r="A170" s="150" t="s">
        <v>3883</v>
      </c>
      <c r="B170" s="3482">
        <v>10.51</v>
      </c>
      <c r="C170" s="21">
        <f t="shared" si="33"/>
        <v>1</v>
      </c>
      <c r="D170" s="3475" t="s">
        <v>3443</v>
      </c>
      <c r="E170" s="21">
        <f t="shared" si="34"/>
        <v>1</v>
      </c>
      <c r="F170" s="3480" t="s">
        <v>4399</v>
      </c>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ca="1" si="41"/>
        <v>5462</v>
      </c>
      <c r="S170" s="316">
        <f t="shared" ca="1" si="32"/>
        <v>6</v>
      </c>
    </row>
    <row r="171" spans="1:19">
      <c r="A171" s="150" t="s">
        <v>3886</v>
      </c>
      <c r="B171" s="3482">
        <v>6.38</v>
      </c>
      <c r="C171" s="21">
        <f t="shared" si="33"/>
        <v>1.01</v>
      </c>
      <c r="D171" s="3475" t="s">
        <v>3443</v>
      </c>
      <c r="E171" s="21">
        <f t="shared" si="34"/>
        <v>1</v>
      </c>
      <c r="F171" s="3480" t="s">
        <v>4399</v>
      </c>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ca="1" si="41"/>
        <v>5517</v>
      </c>
      <c r="S171" s="316">
        <f t="shared" ca="1" si="32"/>
        <v>4</v>
      </c>
    </row>
    <row r="172" spans="1:19">
      <c r="A172" s="150" t="s">
        <v>3889</v>
      </c>
      <c r="B172" s="3482">
        <v>4.3899999999999997</v>
      </c>
      <c r="C172" s="21">
        <f t="shared" si="33"/>
        <v>1.02</v>
      </c>
      <c r="D172" s="3475" t="s">
        <v>3443</v>
      </c>
      <c r="E172" s="21">
        <f t="shared" si="34"/>
        <v>1</v>
      </c>
      <c r="F172" s="3480" t="s">
        <v>4399</v>
      </c>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ca="1" si="41"/>
        <v>5571</v>
      </c>
      <c r="S172" s="316">
        <f t="shared" ca="1" si="32"/>
        <v>2</v>
      </c>
    </row>
    <row r="173" spans="1:19">
      <c r="A173" s="150" t="s">
        <v>3892</v>
      </c>
      <c r="B173" s="3482">
        <v>7.1</v>
      </c>
      <c r="C173" s="21">
        <f t="shared" si="33"/>
        <v>1.01</v>
      </c>
      <c r="D173" s="3475" t="s">
        <v>3443</v>
      </c>
      <c r="E173" s="21">
        <f t="shared" si="34"/>
        <v>1</v>
      </c>
      <c r="F173" s="3480" t="s">
        <v>4399</v>
      </c>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ca="1" si="41"/>
        <v>5517</v>
      </c>
      <c r="S173" s="316">
        <f t="shared" ca="1" si="32"/>
        <v>4</v>
      </c>
    </row>
    <row r="174" spans="1:19">
      <c r="A174" s="150" t="s">
        <v>3895</v>
      </c>
      <c r="B174" s="3482">
        <v>6.88</v>
      </c>
      <c r="C174" s="21">
        <f t="shared" si="33"/>
        <v>1.01</v>
      </c>
      <c r="D174" s="3475" t="s">
        <v>3443</v>
      </c>
      <c r="E174" s="21">
        <f t="shared" si="34"/>
        <v>1</v>
      </c>
      <c r="F174" s="3480" t="s">
        <v>4399</v>
      </c>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ca="1" si="41"/>
        <v>5517</v>
      </c>
      <c r="S174" s="316">
        <f t="shared" ca="1" si="32"/>
        <v>4</v>
      </c>
    </row>
    <row r="175" spans="1:19">
      <c r="A175" s="150" t="s">
        <v>3898</v>
      </c>
      <c r="B175" s="3482">
        <v>10.23</v>
      </c>
      <c r="C175" s="21">
        <f t="shared" si="33"/>
        <v>1</v>
      </c>
      <c r="D175" s="3475" t="s">
        <v>3525</v>
      </c>
      <c r="E175" s="21">
        <f t="shared" si="34"/>
        <v>0.95</v>
      </c>
      <c r="F175" s="3480" t="s">
        <v>4399</v>
      </c>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ca="1" si="41"/>
        <v>5189</v>
      </c>
      <c r="S175" s="316">
        <f t="shared" ca="1" si="32"/>
        <v>5</v>
      </c>
    </row>
    <row r="176" spans="1:19">
      <c r="A176" s="150" t="s">
        <v>3901</v>
      </c>
      <c r="B176" s="3482">
        <v>8.9700000000000006</v>
      </c>
      <c r="C176" s="21">
        <f t="shared" si="33"/>
        <v>1.01</v>
      </c>
      <c r="D176" s="3475" t="s">
        <v>3525</v>
      </c>
      <c r="E176" s="21">
        <f t="shared" si="34"/>
        <v>0.95</v>
      </c>
      <c r="F176" s="3480" t="s">
        <v>4399</v>
      </c>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ca="1" si="41"/>
        <v>5241</v>
      </c>
      <c r="S176" s="316">
        <f t="shared" ca="1" si="32"/>
        <v>5</v>
      </c>
    </row>
    <row r="177" spans="1:19">
      <c r="A177" s="150" t="s">
        <v>3904</v>
      </c>
      <c r="B177" s="3482">
        <v>8.9700000000000006</v>
      </c>
      <c r="C177" s="21">
        <f t="shared" si="33"/>
        <v>1.01</v>
      </c>
      <c r="D177" s="3475" t="s">
        <v>3525</v>
      </c>
      <c r="E177" s="21">
        <f t="shared" si="34"/>
        <v>0.95</v>
      </c>
      <c r="F177" s="3480" t="s">
        <v>4399</v>
      </c>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ca="1" si="41"/>
        <v>5241</v>
      </c>
      <c r="S177" s="316">
        <f t="shared" ca="1" si="32"/>
        <v>5</v>
      </c>
    </row>
    <row r="178" spans="1:19">
      <c r="A178" s="150" t="s">
        <v>3907</v>
      </c>
      <c r="B178" s="3482">
        <v>8.9700000000000006</v>
      </c>
      <c r="C178" s="21">
        <f t="shared" si="33"/>
        <v>1.01</v>
      </c>
      <c r="D178" s="3475" t="s">
        <v>3525</v>
      </c>
      <c r="E178" s="21">
        <f t="shared" si="34"/>
        <v>0.95</v>
      </c>
      <c r="F178" s="3480" t="s">
        <v>4394</v>
      </c>
      <c r="G178" s="21">
        <f t="shared" si="35"/>
        <v>1.05</v>
      </c>
      <c r="H178" s="667"/>
      <c r="I178" s="21">
        <f t="shared" si="36"/>
        <v>1</v>
      </c>
      <c r="J178" s="667"/>
      <c r="K178" s="21">
        <f t="shared" si="37"/>
        <v>1</v>
      </c>
      <c r="L178" s="667"/>
      <c r="M178" s="21">
        <f t="shared" si="38"/>
        <v>1</v>
      </c>
      <c r="N178" s="667"/>
      <c r="O178" s="21">
        <f t="shared" si="39"/>
        <v>1</v>
      </c>
      <c r="P178" s="667"/>
      <c r="Q178" s="21">
        <f t="shared" si="40"/>
        <v>1</v>
      </c>
      <c r="R178" s="663">
        <f t="shared" ca="1" si="41"/>
        <v>5503</v>
      </c>
      <c r="S178" s="316">
        <f t="shared" ca="1" si="32"/>
        <v>5</v>
      </c>
    </row>
    <row r="179" spans="1:19">
      <c r="A179" s="150" t="s">
        <v>3910</v>
      </c>
      <c r="B179" s="3482">
        <v>8.1300000000000008</v>
      </c>
      <c r="C179" s="21">
        <f t="shared" si="33"/>
        <v>1.01</v>
      </c>
      <c r="D179" s="3475" t="s">
        <v>3525</v>
      </c>
      <c r="E179" s="21">
        <f t="shared" si="34"/>
        <v>0.95</v>
      </c>
      <c r="F179" s="3480" t="s">
        <v>4399</v>
      </c>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ca="1" si="41"/>
        <v>5241</v>
      </c>
      <c r="S179" s="316">
        <f t="shared" ca="1" si="32"/>
        <v>4</v>
      </c>
    </row>
    <row r="180" spans="1:19">
      <c r="A180" s="150" t="s">
        <v>3913</v>
      </c>
      <c r="B180" s="3482">
        <v>10.54</v>
      </c>
      <c r="C180" s="21">
        <f t="shared" si="33"/>
        <v>1</v>
      </c>
      <c r="D180" s="3475" t="s">
        <v>3525</v>
      </c>
      <c r="E180" s="21">
        <f t="shared" si="34"/>
        <v>0.95</v>
      </c>
      <c r="F180" s="3480" t="s">
        <v>4393</v>
      </c>
      <c r="G180" s="21">
        <f t="shared" si="35"/>
        <v>1.05</v>
      </c>
      <c r="H180" s="667"/>
      <c r="I180" s="21">
        <f t="shared" si="36"/>
        <v>1</v>
      </c>
      <c r="J180" s="667"/>
      <c r="K180" s="21">
        <f t="shared" si="37"/>
        <v>1</v>
      </c>
      <c r="L180" s="667"/>
      <c r="M180" s="21">
        <f t="shared" si="38"/>
        <v>1</v>
      </c>
      <c r="N180" s="667"/>
      <c r="O180" s="21">
        <f t="shared" si="39"/>
        <v>1</v>
      </c>
      <c r="P180" s="667"/>
      <c r="Q180" s="21">
        <f t="shared" si="40"/>
        <v>1</v>
      </c>
      <c r="R180" s="663">
        <f t="shared" ca="1" si="41"/>
        <v>5448</v>
      </c>
      <c r="S180" s="316">
        <f t="shared" ca="1" si="32"/>
        <v>6</v>
      </c>
    </row>
    <row r="181" spans="1:19">
      <c r="A181" s="150" t="s">
        <v>3916</v>
      </c>
      <c r="B181" s="3482">
        <v>9.2200000000000006</v>
      </c>
      <c r="C181" s="21">
        <f t="shared" si="33"/>
        <v>1.01</v>
      </c>
      <c r="D181" s="3475" t="s">
        <v>3525</v>
      </c>
      <c r="E181" s="21">
        <f t="shared" si="34"/>
        <v>0.95</v>
      </c>
      <c r="F181" s="3480" t="s">
        <v>4399</v>
      </c>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ca="1" si="41"/>
        <v>5241</v>
      </c>
      <c r="S181" s="316">
        <f t="shared" ca="1" si="32"/>
        <v>5</v>
      </c>
    </row>
    <row r="182" spans="1:19">
      <c r="A182" s="150" t="s">
        <v>3919</v>
      </c>
      <c r="B182" s="3482">
        <v>6.46</v>
      </c>
      <c r="C182" s="21">
        <f t="shared" si="33"/>
        <v>1.01</v>
      </c>
      <c r="D182" s="3475" t="s">
        <v>3525</v>
      </c>
      <c r="E182" s="21">
        <f t="shared" si="34"/>
        <v>0.95</v>
      </c>
      <c r="F182" s="3480" t="s">
        <v>4399</v>
      </c>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ca="1" si="41"/>
        <v>5241</v>
      </c>
      <c r="S182" s="316">
        <f t="shared" ca="1" si="32"/>
        <v>3</v>
      </c>
    </row>
    <row r="183" spans="1:19">
      <c r="A183" s="150" t="s">
        <v>3922</v>
      </c>
      <c r="B183" s="3482">
        <v>6.74</v>
      </c>
      <c r="C183" s="21">
        <f t="shared" si="33"/>
        <v>1.01</v>
      </c>
      <c r="D183" s="3475" t="s">
        <v>3525</v>
      </c>
      <c r="E183" s="21">
        <f t="shared" si="34"/>
        <v>0.95</v>
      </c>
      <c r="F183" s="3480" t="s">
        <v>4399</v>
      </c>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ca="1" si="41"/>
        <v>5241</v>
      </c>
      <c r="S183" s="316">
        <f t="shared" ca="1" si="32"/>
        <v>4</v>
      </c>
    </row>
    <row r="184" spans="1:19">
      <c r="A184" s="150" t="s">
        <v>3925</v>
      </c>
      <c r="B184" s="3482">
        <v>8.07</v>
      </c>
      <c r="C184" s="21">
        <f t="shared" si="33"/>
        <v>1.01</v>
      </c>
      <c r="D184" s="3475" t="s">
        <v>3525</v>
      </c>
      <c r="E184" s="21">
        <f t="shared" si="34"/>
        <v>0.95</v>
      </c>
      <c r="F184" s="3480" t="s">
        <v>4399</v>
      </c>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ca="1" si="41"/>
        <v>5241</v>
      </c>
      <c r="S184" s="316">
        <f t="shared" ca="1" si="32"/>
        <v>4</v>
      </c>
    </row>
    <row r="185" spans="1:19">
      <c r="A185" s="150" t="s">
        <v>3928</v>
      </c>
      <c r="B185" s="3482">
        <v>5.23</v>
      </c>
      <c r="C185" s="21">
        <f t="shared" si="33"/>
        <v>1.01</v>
      </c>
      <c r="D185" s="3475" t="s">
        <v>3525</v>
      </c>
      <c r="E185" s="21">
        <f t="shared" si="34"/>
        <v>0.95</v>
      </c>
      <c r="F185" s="3480" t="s">
        <v>4399</v>
      </c>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ca="1" si="41"/>
        <v>5241</v>
      </c>
      <c r="S185" s="316">
        <f t="shared" ca="1" si="32"/>
        <v>3</v>
      </c>
    </row>
    <row r="186" spans="1:19">
      <c r="A186" s="150" t="s">
        <v>3931</v>
      </c>
      <c r="B186" s="3482">
        <v>7.75</v>
      </c>
      <c r="C186" s="21">
        <f t="shared" si="33"/>
        <v>1.01</v>
      </c>
      <c r="D186" s="3475" t="s">
        <v>3525</v>
      </c>
      <c r="E186" s="21">
        <f t="shared" si="34"/>
        <v>0.95</v>
      </c>
      <c r="F186" s="3480" t="s">
        <v>4393</v>
      </c>
      <c r="G186" s="21">
        <f t="shared" si="35"/>
        <v>1.05</v>
      </c>
      <c r="H186" s="667"/>
      <c r="I186" s="21">
        <f t="shared" si="36"/>
        <v>1</v>
      </c>
      <c r="J186" s="667"/>
      <c r="K186" s="21">
        <f t="shared" si="37"/>
        <v>1</v>
      </c>
      <c r="L186" s="667"/>
      <c r="M186" s="21">
        <f t="shared" si="38"/>
        <v>1</v>
      </c>
      <c r="N186" s="667"/>
      <c r="O186" s="21">
        <f t="shared" si="39"/>
        <v>1</v>
      </c>
      <c r="P186" s="667"/>
      <c r="Q186" s="21">
        <f t="shared" si="40"/>
        <v>1</v>
      </c>
      <c r="R186" s="663">
        <f t="shared" ca="1" si="41"/>
        <v>5503</v>
      </c>
      <c r="S186" s="316">
        <f t="shared" ca="1" si="32"/>
        <v>4</v>
      </c>
    </row>
    <row r="187" spans="1:19">
      <c r="A187" s="150" t="s">
        <v>3934</v>
      </c>
      <c r="B187" s="3482">
        <v>8.2100000000000009</v>
      </c>
      <c r="C187" s="21">
        <f t="shared" si="33"/>
        <v>1.01</v>
      </c>
      <c r="D187" s="3475" t="s">
        <v>3525</v>
      </c>
      <c r="E187" s="21">
        <f t="shared" si="34"/>
        <v>0.95</v>
      </c>
      <c r="F187" s="3480" t="s">
        <v>4399</v>
      </c>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ca="1" si="41"/>
        <v>5241</v>
      </c>
      <c r="S187" s="316">
        <f t="shared" ref="S187:S222" ca="1" si="42">ROUND(R187*B187/10000,0)</f>
        <v>4</v>
      </c>
    </row>
    <row r="188" spans="1:19">
      <c r="A188" s="150" t="s">
        <v>3937</v>
      </c>
      <c r="B188" s="3482">
        <v>7.83</v>
      </c>
      <c r="C188" s="21">
        <f t="shared" si="33"/>
        <v>1.01</v>
      </c>
      <c r="D188" s="3475" t="s">
        <v>3525</v>
      </c>
      <c r="E188" s="21">
        <f t="shared" si="34"/>
        <v>0.95</v>
      </c>
      <c r="F188" s="3480" t="s">
        <v>4393</v>
      </c>
      <c r="G188" s="21">
        <f t="shared" si="35"/>
        <v>1.05</v>
      </c>
      <c r="H188" s="667"/>
      <c r="I188" s="21">
        <f t="shared" si="36"/>
        <v>1</v>
      </c>
      <c r="J188" s="667"/>
      <c r="K188" s="21">
        <f t="shared" si="37"/>
        <v>1</v>
      </c>
      <c r="L188" s="667"/>
      <c r="M188" s="21">
        <f t="shared" si="38"/>
        <v>1</v>
      </c>
      <c r="N188" s="667"/>
      <c r="O188" s="21">
        <f t="shared" si="39"/>
        <v>1</v>
      </c>
      <c r="P188" s="667"/>
      <c r="Q188" s="21">
        <f t="shared" si="40"/>
        <v>1</v>
      </c>
      <c r="R188" s="663">
        <f t="shared" ca="1" si="41"/>
        <v>5503</v>
      </c>
      <c r="S188" s="316">
        <f t="shared" ca="1" si="42"/>
        <v>4</v>
      </c>
    </row>
    <row r="189" spans="1:19">
      <c r="A189" s="150" t="s">
        <v>3940</v>
      </c>
      <c r="B189" s="3482">
        <v>7.59</v>
      </c>
      <c r="C189" s="21">
        <f t="shared" si="33"/>
        <v>1.01</v>
      </c>
      <c r="D189" s="3475" t="s">
        <v>3525</v>
      </c>
      <c r="E189" s="21">
        <f t="shared" si="34"/>
        <v>0.95</v>
      </c>
      <c r="F189" s="3480" t="s">
        <v>4399</v>
      </c>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ca="1" si="41"/>
        <v>5241</v>
      </c>
      <c r="S189" s="316">
        <f t="shared" ca="1" si="42"/>
        <v>4</v>
      </c>
    </row>
    <row r="190" spans="1:19">
      <c r="A190" s="150" t="s">
        <v>3944</v>
      </c>
      <c r="B190" s="3482">
        <v>10.11</v>
      </c>
      <c r="C190" s="21">
        <f t="shared" si="33"/>
        <v>1</v>
      </c>
      <c r="D190" s="3475" t="s">
        <v>3525</v>
      </c>
      <c r="E190" s="21">
        <f t="shared" si="34"/>
        <v>0.95</v>
      </c>
      <c r="F190" s="3480" t="s">
        <v>4399</v>
      </c>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ca="1" si="41"/>
        <v>5189</v>
      </c>
      <c r="S190" s="316">
        <f t="shared" ca="1" si="42"/>
        <v>5</v>
      </c>
    </row>
    <row r="191" spans="1:19">
      <c r="A191" s="150" t="s">
        <v>3947</v>
      </c>
      <c r="B191" s="3482">
        <v>8.8699999999999992</v>
      </c>
      <c r="C191" s="21">
        <f t="shared" si="33"/>
        <v>1.01</v>
      </c>
      <c r="D191" s="3475" t="s">
        <v>3525</v>
      </c>
      <c r="E191" s="21">
        <f t="shared" si="34"/>
        <v>0.95</v>
      </c>
      <c r="F191" s="3480" t="s">
        <v>4399</v>
      </c>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ca="1" si="41"/>
        <v>5241</v>
      </c>
      <c r="S191" s="316">
        <f t="shared" ca="1" si="42"/>
        <v>5</v>
      </c>
    </row>
    <row r="192" spans="1:19">
      <c r="A192" s="150" t="s">
        <v>3950</v>
      </c>
      <c r="B192" s="3482">
        <v>8.8699999999999992</v>
      </c>
      <c r="C192" s="21">
        <f t="shared" si="33"/>
        <v>1.01</v>
      </c>
      <c r="D192" s="3475" t="s">
        <v>3525</v>
      </c>
      <c r="E192" s="21">
        <f t="shared" si="34"/>
        <v>0.95</v>
      </c>
      <c r="F192" s="3480" t="s">
        <v>4399</v>
      </c>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ca="1" si="41"/>
        <v>5241</v>
      </c>
      <c r="S192" s="316">
        <f t="shared" ca="1" si="42"/>
        <v>5</v>
      </c>
    </row>
    <row r="193" spans="1:19">
      <c r="A193" s="150" t="s">
        <v>3953</v>
      </c>
      <c r="B193" s="3482">
        <v>8.8699999999999992</v>
      </c>
      <c r="C193" s="21">
        <f t="shared" si="33"/>
        <v>1.01</v>
      </c>
      <c r="D193" s="3475" t="s">
        <v>3525</v>
      </c>
      <c r="E193" s="21">
        <f t="shared" si="34"/>
        <v>0.95</v>
      </c>
      <c r="F193" s="3480" t="s">
        <v>4399</v>
      </c>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ca="1" si="41"/>
        <v>5241</v>
      </c>
      <c r="S193" s="316">
        <f t="shared" ca="1" si="42"/>
        <v>5</v>
      </c>
    </row>
    <row r="194" spans="1:19">
      <c r="A194" s="150" t="s">
        <v>3956</v>
      </c>
      <c r="B194" s="3482">
        <v>8.0399999999999991</v>
      </c>
      <c r="C194" s="21">
        <f t="shared" si="33"/>
        <v>1.01</v>
      </c>
      <c r="D194" s="3475" t="s">
        <v>3525</v>
      </c>
      <c r="E194" s="21">
        <f t="shared" si="34"/>
        <v>0.95</v>
      </c>
      <c r="F194" s="3480" t="s">
        <v>4399</v>
      </c>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ca="1" si="41"/>
        <v>5241</v>
      </c>
      <c r="S194" s="316">
        <f t="shared" ca="1" si="42"/>
        <v>4</v>
      </c>
    </row>
    <row r="195" spans="1:19">
      <c r="A195" s="150" t="s">
        <v>3959</v>
      </c>
      <c r="B195" s="3482">
        <v>10.42</v>
      </c>
      <c r="C195" s="21">
        <f t="shared" si="33"/>
        <v>1</v>
      </c>
      <c r="D195" s="3475" t="s">
        <v>3525</v>
      </c>
      <c r="E195" s="21">
        <f t="shared" si="34"/>
        <v>0.95</v>
      </c>
      <c r="F195" s="3480" t="s">
        <v>4393</v>
      </c>
      <c r="G195" s="21">
        <f t="shared" si="35"/>
        <v>1.05</v>
      </c>
      <c r="H195" s="667"/>
      <c r="I195" s="21">
        <f t="shared" si="36"/>
        <v>1</v>
      </c>
      <c r="J195" s="667"/>
      <c r="K195" s="21">
        <f t="shared" si="37"/>
        <v>1</v>
      </c>
      <c r="L195" s="667"/>
      <c r="M195" s="21">
        <f t="shared" si="38"/>
        <v>1</v>
      </c>
      <c r="N195" s="667"/>
      <c r="O195" s="21">
        <f t="shared" si="39"/>
        <v>1</v>
      </c>
      <c r="P195" s="667"/>
      <c r="Q195" s="21">
        <f t="shared" si="40"/>
        <v>1</v>
      </c>
      <c r="R195" s="663">
        <f t="shared" ca="1" si="41"/>
        <v>5448</v>
      </c>
      <c r="S195" s="316">
        <f t="shared" ca="1" si="42"/>
        <v>6</v>
      </c>
    </row>
    <row r="196" spans="1:19">
      <c r="A196" s="150" t="s">
        <v>3962</v>
      </c>
      <c r="B196" s="3482">
        <v>8.1</v>
      </c>
      <c r="C196" s="21">
        <f t="shared" si="33"/>
        <v>1.01</v>
      </c>
      <c r="D196" s="3475" t="s">
        <v>3525</v>
      </c>
      <c r="E196" s="21">
        <f t="shared" si="34"/>
        <v>0.95</v>
      </c>
      <c r="F196" s="3480" t="s">
        <v>4399</v>
      </c>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ca="1" si="41"/>
        <v>5241</v>
      </c>
      <c r="S196" s="316">
        <f t="shared" ca="1" si="42"/>
        <v>4</v>
      </c>
    </row>
    <row r="197" spans="1:19">
      <c r="A197" s="150" t="s">
        <v>3965</v>
      </c>
      <c r="B197" s="3482">
        <v>7.97</v>
      </c>
      <c r="C197" s="21">
        <f t="shared" si="33"/>
        <v>1.01</v>
      </c>
      <c r="D197" s="3475" t="s">
        <v>3525</v>
      </c>
      <c r="E197" s="21">
        <f t="shared" si="34"/>
        <v>0.95</v>
      </c>
      <c r="F197" s="3480" t="s">
        <v>4399</v>
      </c>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ca="1" si="41"/>
        <v>5241</v>
      </c>
      <c r="S197" s="316">
        <f t="shared" ca="1" si="42"/>
        <v>4</v>
      </c>
    </row>
    <row r="198" spans="1:19">
      <c r="A198" s="150" t="s">
        <v>3968</v>
      </c>
      <c r="B198" s="3482">
        <v>9.6199999999999992</v>
      </c>
      <c r="C198" s="21">
        <f t="shared" si="33"/>
        <v>1.01</v>
      </c>
      <c r="D198" s="3475" t="s">
        <v>3525</v>
      </c>
      <c r="E198" s="21">
        <f t="shared" si="34"/>
        <v>0.95</v>
      </c>
      <c r="F198" s="3480" t="s">
        <v>4399</v>
      </c>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ca="1" si="41"/>
        <v>5241</v>
      </c>
      <c r="S198" s="316">
        <f t="shared" ca="1" si="42"/>
        <v>5</v>
      </c>
    </row>
    <row r="199" spans="1:19">
      <c r="A199" s="150" t="s">
        <v>3971</v>
      </c>
      <c r="B199" s="3482">
        <v>9.2799999999999994</v>
      </c>
      <c r="C199" s="21">
        <f t="shared" si="33"/>
        <v>1.01</v>
      </c>
      <c r="D199" s="3475" t="s">
        <v>3525</v>
      </c>
      <c r="E199" s="21">
        <f t="shared" si="34"/>
        <v>0.95</v>
      </c>
      <c r="F199" s="3480" t="s">
        <v>4399</v>
      </c>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ca="1" si="41"/>
        <v>5241</v>
      </c>
      <c r="S199" s="316">
        <f t="shared" ca="1" si="42"/>
        <v>5</v>
      </c>
    </row>
    <row r="200" spans="1:19">
      <c r="A200" s="150" t="s">
        <v>3974</v>
      </c>
      <c r="B200" s="3482">
        <v>8.02</v>
      </c>
      <c r="C200" s="21">
        <f t="shared" si="33"/>
        <v>1.01</v>
      </c>
      <c r="D200" s="3475" t="s">
        <v>3525</v>
      </c>
      <c r="E200" s="21">
        <f t="shared" si="34"/>
        <v>0.95</v>
      </c>
      <c r="F200" s="3480" t="s">
        <v>4399</v>
      </c>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ca="1" si="41"/>
        <v>5241</v>
      </c>
      <c r="S200" s="316">
        <f t="shared" ca="1" si="42"/>
        <v>4</v>
      </c>
    </row>
    <row r="201" spans="1:19">
      <c r="A201" s="150" t="s">
        <v>3977</v>
      </c>
      <c r="B201" s="3482">
        <v>8.14</v>
      </c>
      <c r="C201" s="21">
        <f t="shared" si="33"/>
        <v>1.01</v>
      </c>
      <c r="D201" s="3475" t="s">
        <v>3525</v>
      </c>
      <c r="E201" s="21">
        <f t="shared" si="34"/>
        <v>0.95</v>
      </c>
      <c r="F201" s="3480" t="s">
        <v>4399</v>
      </c>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ca="1" si="41"/>
        <v>5241</v>
      </c>
      <c r="S201" s="316">
        <f t="shared" ca="1" si="42"/>
        <v>4</v>
      </c>
    </row>
    <row r="202" spans="1:19">
      <c r="A202" s="150" t="s">
        <v>3980</v>
      </c>
      <c r="B202" s="3482">
        <v>8.14</v>
      </c>
      <c r="C202" s="21">
        <f t="shared" si="33"/>
        <v>1.01</v>
      </c>
      <c r="D202" s="3475" t="s">
        <v>3525</v>
      </c>
      <c r="E202" s="21">
        <f t="shared" si="34"/>
        <v>0.95</v>
      </c>
      <c r="F202" s="3480" t="s">
        <v>4399</v>
      </c>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ca="1" si="41"/>
        <v>5241</v>
      </c>
      <c r="S202" s="316">
        <f t="shared" ca="1" si="42"/>
        <v>4</v>
      </c>
    </row>
    <row r="203" spans="1:19">
      <c r="A203" s="150" t="s">
        <v>3983</v>
      </c>
      <c r="B203" s="3482">
        <v>8.02</v>
      </c>
      <c r="C203" s="21">
        <f t="shared" si="33"/>
        <v>1.01</v>
      </c>
      <c r="D203" s="3475" t="s">
        <v>3525</v>
      </c>
      <c r="E203" s="21">
        <f t="shared" si="34"/>
        <v>0.95</v>
      </c>
      <c r="F203" s="3480" t="s">
        <v>4399</v>
      </c>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ca="1" si="41"/>
        <v>5241</v>
      </c>
      <c r="S203" s="316">
        <f t="shared" ca="1" si="42"/>
        <v>4</v>
      </c>
    </row>
    <row r="204" spans="1:19">
      <c r="A204" s="150" t="s">
        <v>3986</v>
      </c>
      <c r="B204" s="3482">
        <v>11.06</v>
      </c>
      <c r="C204" s="21">
        <f t="shared" si="33"/>
        <v>1</v>
      </c>
      <c r="D204" s="3475" t="s">
        <v>3525</v>
      </c>
      <c r="E204" s="21">
        <f t="shared" si="34"/>
        <v>0.95</v>
      </c>
      <c r="F204" s="3480" t="s">
        <v>4394</v>
      </c>
      <c r="G204" s="21">
        <f t="shared" si="35"/>
        <v>1.05</v>
      </c>
      <c r="H204" s="667"/>
      <c r="I204" s="21">
        <f t="shared" si="36"/>
        <v>1</v>
      </c>
      <c r="J204" s="667"/>
      <c r="K204" s="21">
        <f t="shared" si="37"/>
        <v>1</v>
      </c>
      <c r="L204" s="667"/>
      <c r="M204" s="21">
        <f t="shared" si="38"/>
        <v>1</v>
      </c>
      <c r="N204" s="667"/>
      <c r="O204" s="21">
        <f t="shared" si="39"/>
        <v>1</v>
      </c>
      <c r="P204" s="667"/>
      <c r="Q204" s="21">
        <f t="shared" si="40"/>
        <v>1</v>
      </c>
      <c r="R204" s="663">
        <f t="shared" ca="1" si="41"/>
        <v>5448</v>
      </c>
      <c r="S204" s="316">
        <f t="shared" ca="1" si="42"/>
        <v>6</v>
      </c>
    </row>
    <row r="205" spans="1:19">
      <c r="A205" s="150" t="s">
        <v>3989</v>
      </c>
      <c r="B205" s="3482">
        <v>8.8699999999999992</v>
      </c>
      <c r="C205" s="21">
        <f t="shared" si="33"/>
        <v>1.01</v>
      </c>
      <c r="D205" s="3475" t="s">
        <v>3525</v>
      </c>
      <c r="E205" s="21">
        <f t="shared" si="34"/>
        <v>0.95</v>
      </c>
      <c r="F205" s="3480" t="s">
        <v>4399</v>
      </c>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ca="1" si="41"/>
        <v>5241</v>
      </c>
      <c r="S205" s="316">
        <f t="shared" ca="1" si="42"/>
        <v>5</v>
      </c>
    </row>
    <row r="206" spans="1:19">
      <c r="A206" s="150" t="s">
        <v>3992</v>
      </c>
      <c r="B206" s="3482">
        <v>8.8699999999999992</v>
      </c>
      <c r="C206" s="21">
        <f t="shared" si="33"/>
        <v>1.01</v>
      </c>
      <c r="D206" s="3475" t="s">
        <v>3525</v>
      </c>
      <c r="E206" s="21">
        <f t="shared" si="34"/>
        <v>0.95</v>
      </c>
      <c r="F206" s="3480" t="s">
        <v>4399</v>
      </c>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ca="1" si="41"/>
        <v>5241</v>
      </c>
      <c r="S206" s="316">
        <f t="shared" ca="1" si="42"/>
        <v>5</v>
      </c>
    </row>
    <row r="207" spans="1:19">
      <c r="A207" s="150" t="s">
        <v>3995</v>
      </c>
      <c r="B207" s="3482">
        <v>8.8699999999999992</v>
      </c>
      <c r="C207" s="21">
        <f t="shared" si="33"/>
        <v>1.01</v>
      </c>
      <c r="D207" s="3475" t="s">
        <v>3525</v>
      </c>
      <c r="E207" s="21">
        <f t="shared" si="34"/>
        <v>0.95</v>
      </c>
      <c r="F207" s="3480" t="s">
        <v>4399</v>
      </c>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ca="1" si="41"/>
        <v>5241</v>
      </c>
      <c r="S207" s="316">
        <f t="shared" ca="1" si="42"/>
        <v>5</v>
      </c>
    </row>
    <row r="208" spans="1:19">
      <c r="A208" s="150" t="s">
        <v>3998</v>
      </c>
      <c r="B208" s="3482">
        <v>9.18</v>
      </c>
      <c r="C208" s="21">
        <f t="shared" si="33"/>
        <v>1.01</v>
      </c>
      <c r="D208" s="3475" t="s">
        <v>3525</v>
      </c>
      <c r="E208" s="21">
        <f t="shared" si="34"/>
        <v>0.95</v>
      </c>
      <c r="F208" s="3480" t="s">
        <v>4399</v>
      </c>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ca="1" si="41"/>
        <v>5241</v>
      </c>
      <c r="S208" s="316">
        <f t="shared" ca="1" si="42"/>
        <v>5</v>
      </c>
    </row>
    <row r="209" spans="1:19">
      <c r="A209" s="150" t="s">
        <v>4001</v>
      </c>
      <c r="B209" s="3482">
        <v>10.92</v>
      </c>
      <c r="C209" s="21">
        <f t="shared" si="33"/>
        <v>1</v>
      </c>
      <c r="D209" s="3475" t="s">
        <v>3525</v>
      </c>
      <c r="E209" s="21">
        <f t="shared" si="34"/>
        <v>0.95</v>
      </c>
      <c r="F209" s="3480" t="s">
        <v>4399</v>
      </c>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ca="1" si="41"/>
        <v>5189</v>
      </c>
      <c r="S209" s="316">
        <f t="shared" ca="1" si="42"/>
        <v>6</v>
      </c>
    </row>
    <row r="210" spans="1:19">
      <c r="A210" s="150" t="s">
        <v>4005</v>
      </c>
      <c r="B210" s="3482">
        <v>8.94</v>
      </c>
      <c r="C210" s="21">
        <f t="shared" si="33"/>
        <v>1.01</v>
      </c>
      <c r="D210" s="3475" t="s">
        <v>3443</v>
      </c>
      <c r="E210" s="21">
        <f t="shared" si="34"/>
        <v>1</v>
      </c>
      <c r="F210" s="3480" t="s">
        <v>4399</v>
      </c>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ca="1" si="41"/>
        <v>5517</v>
      </c>
      <c r="S210" s="316">
        <f t="shared" ca="1" si="42"/>
        <v>5</v>
      </c>
    </row>
    <row r="211" spans="1:19">
      <c r="A211" s="150" t="s">
        <v>4008</v>
      </c>
      <c r="B211" s="3482">
        <v>10.65</v>
      </c>
      <c r="C211" s="21">
        <f t="shared" si="33"/>
        <v>1</v>
      </c>
      <c r="D211" s="3475" t="s">
        <v>3443</v>
      </c>
      <c r="E211" s="21">
        <f t="shared" si="34"/>
        <v>1</v>
      </c>
      <c r="F211" s="3480" t="s">
        <v>4394</v>
      </c>
      <c r="G211" s="21">
        <f t="shared" si="35"/>
        <v>1.05</v>
      </c>
      <c r="H211" s="667"/>
      <c r="I211" s="21">
        <f t="shared" si="36"/>
        <v>1</v>
      </c>
      <c r="J211" s="667"/>
      <c r="K211" s="21">
        <f t="shared" si="37"/>
        <v>1</v>
      </c>
      <c r="L211" s="667"/>
      <c r="M211" s="21">
        <f t="shared" si="38"/>
        <v>1</v>
      </c>
      <c r="N211" s="667"/>
      <c r="O211" s="21">
        <f t="shared" si="39"/>
        <v>1</v>
      </c>
      <c r="P211" s="667"/>
      <c r="Q211" s="21">
        <f t="shared" si="40"/>
        <v>1</v>
      </c>
      <c r="R211" s="663">
        <f t="shared" ca="1" si="41"/>
        <v>5735</v>
      </c>
      <c r="S211" s="316">
        <f t="shared" ca="1" si="42"/>
        <v>6</v>
      </c>
    </row>
    <row r="212" spans="1:19">
      <c r="A212" s="150" t="s">
        <v>4011</v>
      </c>
      <c r="B212" s="3482">
        <v>7.6</v>
      </c>
      <c r="C212" s="21">
        <f t="shared" si="33"/>
        <v>1.01</v>
      </c>
      <c r="D212" s="3475" t="s">
        <v>3443</v>
      </c>
      <c r="E212" s="21">
        <f t="shared" si="34"/>
        <v>1</v>
      </c>
      <c r="F212" s="3480" t="s">
        <v>4399</v>
      </c>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ca="1" si="41"/>
        <v>5517</v>
      </c>
      <c r="S212" s="316">
        <f t="shared" ca="1" si="42"/>
        <v>4</v>
      </c>
    </row>
    <row r="213" spans="1:19">
      <c r="A213" s="150" t="s">
        <v>4014</v>
      </c>
      <c r="B213" s="3482">
        <v>7.72</v>
      </c>
      <c r="C213" s="21">
        <f t="shared" si="33"/>
        <v>1.01</v>
      </c>
      <c r="D213" s="3475" t="s">
        <v>3443</v>
      </c>
      <c r="E213" s="21">
        <f t="shared" si="34"/>
        <v>1</v>
      </c>
      <c r="F213" s="3480" t="s">
        <v>4399</v>
      </c>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ca="1" si="41"/>
        <v>5517</v>
      </c>
      <c r="S213" s="316">
        <f t="shared" ca="1" si="42"/>
        <v>4</v>
      </c>
    </row>
    <row r="214" spans="1:19">
      <c r="A214" s="150" t="s">
        <v>4016</v>
      </c>
      <c r="B214" s="3482">
        <v>7.72</v>
      </c>
      <c r="C214" s="21">
        <f t="shared" si="33"/>
        <v>1.01</v>
      </c>
      <c r="D214" s="3475" t="s">
        <v>3443</v>
      </c>
      <c r="E214" s="21">
        <f t="shared" si="34"/>
        <v>1</v>
      </c>
      <c r="F214" s="3480" t="s">
        <v>4399</v>
      </c>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ca="1" si="41"/>
        <v>5517</v>
      </c>
      <c r="S214" s="316">
        <f t="shared" ca="1" si="42"/>
        <v>4</v>
      </c>
    </row>
    <row r="215" spans="1:19">
      <c r="A215" s="150" t="s">
        <v>4018</v>
      </c>
      <c r="B215" s="3482">
        <v>7.6</v>
      </c>
      <c r="C215" s="21">
        <f t="shared" si="33"/>
        <v>1.01</v>
      </c>
      <c r="D215" s="3475" t="s">
        <v>3443</v>
      </c>
      <c r="E215" s="21">
        <f t="shared" si="34"/>
        <v>1</v>
      </c>
      <c r="F215" s="3480" t="s">
        <v>4399</v>
      </c>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ca="1" si="41"/>
        <v>5517</v>
      </c>
      <c r="S215" s="316">
        <f t="shared" ca="1" si="42"/>
        <v>4</v>
      </c>
    </row>
    <row r="216" spans="1:19">
      <c r="A216" s="150" t="s">
        <v>4021</v>
      </c>
      <c r="B216" s="3482">
        <v>4.3499999999999996</v>
      </c>
      <c r="C216" s="21">
        <f t="shared" si="33"/>
        <v>1.02</v>
      </c>
      <c r="D216" s="3475" t="s">
        <v>3443</v>
      </c>
      <c r="E216" s="21">
        <f t="shared" si="34"/>
        <v>1</v>
      </c>
      <c r="F216" s="3480" t="s">
        <v>4399</v>
      </c>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ca="1" si="41"/>
        <v>5571</v>
      </c>
      <c r="S216" s="316">
        <f t="shared" ca="1" si="42"/>
        <v>2</v>
      </c>
    </row>
    <row r="217" spans="1:19">
      <c r="A217" s="150" t="s">
        <v>4024</v>
      </c>
      <c r="B217" s="3482">
        <v>8.1999999999999993</v>
      </c>
      <c r="C217" s="21">
        <f t="shared" si="33"/>
        <v>1.01</v>
      </c>
      <c r="D217" s="3475" t="s">
        <v>3443</v>
      </c>
      <c r="E217" s="21">
        <f t="shared" si="34"/>
        <v>1</v>
      </c>
      <c r="F217" s="3480" t="s">
        <v>4399</v>
      </c>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ca="1" si="41"/>
        <v>5517</v>
      </c>
      <c r="S217" s="316">
        <f t="shared" ca="1" si="42"/>
        <v>5</v>
      </c>
    </row>
    <row r="218" spans="1:19">
      <c r="A218" s="150" t="s">
        <v>4027</v>
      </c>
      <c r="B218" s="3482">
        <v>7.58</v>
      </c>
      <c r="C218" s="21">
        <f t="shared" ref="C218:C281" si="43">IF(B218="",1,(LOOKUP(B218,$3:$3,$4:$4)-LOOKUP($B$24,$3:$3,$4:$4)+100)/100)</f>
        <v>1.01</v>
      </c>
      <c r="D218" s="3475" t="s">
        <v>3443</v>
      </c>
      <c r="E218" s="21">
        <f t="shared" ref="E218:E281" si="44">(SUMIF($5:$5,D218,$6:$6)-SUMIF($5:$5,$D$24,$6:$6)+100)/100</f>
        <v>1</v>
      </c>
      <c r="F218" s="3480" t="s">
        <v>4399</v>
      </c>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ca="1" si="51">IF(B218="",0,ROUND($R$24*C218*E218*G218*I218*K218*M218*O218*Q218,0))</f>
        <v>5517</v>
      </c>
      <c r="S218" s="316">
        <f t="shared" ca="1" si="42"/>
        <v>4</v>
      </c>
    </row>
    <row r="219" spans="1:19">
      <c r="A219" s="150" t="s">
        <v>4030</v>
      </c>
      <c r="B219" s="3482">
        <v>11.03</v>
      </c>
      <c r="C219" s="21">
        <f t="shared" si="43"/>
        <v>1</v>
      </c>
      <c r="D219" s="3475" t="s">
        <v>3525</v>
      </c>
      <c r="E219" s="21">
        <f t="shared" si="44"/>
        <v>0.95</v>
      </c>
      <c r="F219" s="3480" t="s">
        <v>4399</v>
      </c>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ca="1" si="51"/>
        <v>5189</v>
      </c>
      <c r="S219" s="316">
        <f t="shared" ca="1" si="42"/>
        <v>6</v>
      </c>
    </row>
    <row r="220" spans="1:19">
      <c r="A220" s="150" t="s">
        <v>4033</v>
      </c>
      <c r="B220" s="3482">
        <v>8.94</v>
      </c>
      <c r="C220" s="21">
        <f t="shared" si="43"/>
        <v>1.01</v>
      </c>
      <c r="D220" s="3475" t="s">
        <v>3525</v>
      </c>
      <c r="E220" s="21">
        <f t="shared" si="44"/>
        <v>0.95</v>
      </c>
      <c r="F220" s="3480" t="s">
        <v>4399</v>
      </c>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ca="1" si="51"/>
        <v>5241</v>
      </c>
      <c r="S220" s="316">
        <f t="shared" ca="1" si="42"/>
        <v>5</v>
      </c>
    </row>
    <row r="221" spans="1:19">
      <c r="A221" s="150" t="s">
        <v>4036</v>
      </c>
      <c r="B221" s="3482">
        <v>10.65</v>
      </c>
      <c r="C221" s="21">
        <f t="shared" si="43"/>
        <v>1</v>
      </c>
      <c r="D221" s="3475" t="s">
        <v>3525</v>
      </c>
      <c r="E221" s="21">
        <f t="shared" si="44"/>
        <v>0.95</v>
      </c>
      <c r="F221" s="3480" t="s">
        <v>4393</v>
      </c>
      <c r="G221" s="21">
        <f t="shared" si="45"/>
        <v>1.05</v>
      </c>
      <c r="H221" s="667"/>
      <c r="I221" s="21">
        <f t="shared" si="46"/>
        <v>1</v>
      </c>
      <c r="J221" s="667"/>
      <c r="K221" s="21">
        <f t="shared" si="47"/>
        <v>1</v>
      </c>
      <c r="L221" s="667"/>
      <c r="M221" s="21">
        <f t="shared" si="48"/>
        <v>1</v>
      </c>
      <c r="N221" s="667"/>
      <c r="O221" s="21">
        <f t="shared" si="49"/>
        <v>1</v>
      </c>
      <c r="P221" s="667"/>
      <c r="Q221" s="21">
        <f t="shared" si="50"/>
        <v>1</v>
      </c>
      <c r="R221" s="663">
        <f t="shared" ca="1" si="51"/>
        <v>5448</v>
      </c>
      <c r="S221" s="316">
        <f t="shared" ca="1" si="42"/>
        <v>6</v>
      </c>
    </row>
    <row r="222" spans="1:19">
      <c r="A222" s="150" t="s">
        <v>4039</v>
      </c>
      <c r="B222" s="3482">
        <v>9.07</v>
      </c>
      <c r="C222" s="21">
        <f t="shared" si="43"/>
        <v>1.01</v>
      </c>
      <c r="D222" s="3475" t="s">
        <v>3525</v>
      </c>
      <c r="E222" s="21">
        <f t="shared" si="44"/>
        <v>0.95</v>
      </c>
      <c r="F222" s="3480" t="s">
        <v>4399</v>
      </c>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ca="1" si="51"/>
        <v>5241</v>
      </c>
      <c r="S222" s="316">
        <f t="shared" ca="1" si="42"/>
        <v>5</v>
      </c>
    </row>
    <row r="223" spans="1:19">
      <c r="A223" s="150" t="s">
        <v>4042</v>
      </c>
      <c r="B223" s="3482">
        <v>9.07</v>
      </c>
      <c r="C223" s="21">
        <f t="shared" si="43"/>
        <v>1.01</v>
      </c>
      <c r="D223" s="3475" t="s">
        <v>3525</v>
      </c>
      <c r="E223" s="21">
        <f t="shared" si="44"/>
        <v>0.95</v>
      </c>
      <c r="F223" s="3480" t="s">
        <v>4399</v>
      </c>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ca="1" si="51"/>
        <v>5241</v>
      </c>
      <c r="S223" s="316">
        <f t="shared" ref="S223:S286" ca="1" si="52">ROUND(R223*B223/10000,0)</f>
        <v>5</v>
      </c>
    </row>
    <row r="224" spans="1:19">
      <c r="A224" s="150" t="s">
        <v>4045</v>
      </c>
      <c r="B224" s="3482">
        <v>9.07</v>
      </c>
      <c r="C224" s="21">
        <f t="shared" si="43"/>
        <v>1.01</v>
      </c>
      <c r="D224" s="3475" t="s">
        <v>3525</v>
      </c>
      <c r="E224" s="21">
        <f t="shared" si="44"/>
        <v>0.95</v>
      </c>
      <c r="F224" s="3480" t="s">
        <v>4399</v>
      </c>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ca="1" si="51"/>
        <v>5241</v>
      </c>
      <c r="S224" s="316">
        <f t="shared" ca="1" si="52"/>
        <v>5</v>
      </c>
    </row>
    <row r="225" spans="1:19">
      <c r="A225" s="150" t="s">
        <v>4048</v>
      </c>
      <c r="B225" s="3482">
        <v>7.6</v>
      </c>
      <c r="C225" s="21">
        <f t="shared" si="43"/>
        <v>1.01</v>
      </c>
      <c r="D225" s="3475" t="s">
        <v>3525</v>
      </c>
      <c r="E225" s="21">
        <f t="shared" si="44"/>
        <v>0.95</v>
      </c>
      <c r="F225" s="3480" t="s">
        <v>4399</v>
      </c>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ca="1" si="51"/>
        <v>5241</v>
      </c>
      <c r="S225" s="316">
        <f t="shared" ca="1" si="52"/>
        <v>4</v>
      </c>
    </row>
    <row r="226" spans="1:19">
      <c r="A226" s="150" t="s">
        <v>4051</v>
      </c>
      <c r="B226" s="3482">
        <v>7.72</v>
      </c>
      <c r="C226" s="21">
        <f t="shared" si="43"/>
        <v>1.01</v>
      </c>
      <c r="D226" s="3475" t="s">
        <v>3525</v>
      </c>
      <c r="E226" s="21">
        <f t="shared" si="44"/>
        <v>0.95</v>
      </c>
      <c r="F226" s="3480" t="s">
        <v>4399</v>
      </c>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ca="1" si="51"/>
        <v>5241</v>
      </c>
      <c r="S226" s="316">
        <f t="shared" ca="1" si="52"/>
        <v>4</v>
      </c>
    </row>
    <row r="227" spans="1:19">
      <c r="A227" s="150" t="s">
        <v>4054</v>
      </c>
      <c r="B227" s="3482">
        <v>10.49</v>
      </c>
      <c r="C227" s="21">
        <f t="shared" si="43"/>
        <v>1</v>
      </c>
      <c r="D227" s="3475" t="s">
        <v>3525</v>
      </c>
      <c r="E227" s="21">
        <f t="shared" si="44"/>
        <v>0.95</v>
      </c>
      <c r="F227" s="3480" t="s">
        <v>4399</v>
      </c>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ca="1" si="51"/>
        <v>5189</v>
      </c>
      <c r="S227" s="316">
        <f t="shared" ca="1" si="52"/>
        <v>5</v>
      </c>
    </row>
    <row r="228" spans="1:19">
      <c r="A228" s="150" t="s">
        <v>4057</v>
      </c>
      <c r="B228" s="3482">
        <v>10.49</v>
      </c>
      <c r="C228" s="21">
        <f t="shared" si="43"/>
        <v>1</v>
      </c>
      <c r="D228" s="3475" t="s">
        <v>3525</v>
      </c>
      <c r="E228" s="21">
        <f t="shared" si="44"/>
        <v>0.95</v>
      </c>
      <c r="F228" s="3480" t="s">
        <v>4399</v>
      </c>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ca="1" si="51"/>
        <v>5189</v>
      </c>
      <c r="S228" s="316">
        <f t="shared" ca="1" si="52"/>
        <v>5</v>
      </c>
    </row>
    <row r="229" spans="1:19">
      <c r="A229" s="150" t="s">
        <v>4060</v>
      </c>
      <c r="B229" s="3482">
        <v>10.49</v>
      </c>
      <c r="C229" s="21">
        <f t="shared" si="43"/>
        <v>1</v>
      </c>
      <c r="D229" s="3475" t="s">
        <v>3525</v>
      </c>
      <c r="E229" s="21">
        <f t="shared" si="44"/>
        <v>0.95</v>
      </c>
      <c r="F229" s="3480" t="s">
        <v>4399</v>
      </c>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ca="1" si="51"/>
        <v>5189</v>
      </c>
      <c r="S229" s="316">
        <f t="shared" ca="1" si="52"/>
        <v>5</v>
      </c>
    </row>
    <row r="230" spans="1:19">
      <c r="A230" s="150" t="s">
        <v>4063</v>
      </c>
      <c r="B230" s="3482">
        <v>7.72</v>
      </c>
      <c r="C230" s="21">
        <f t="shared" si="43"/>
        <v>1.01</v>
      </c>
      <c r="D230" s="3475" t="s">
        <v>3525</v>
      </c>
      <c r="E230" s="21">
        <f t="shared" si="44"/>
        <v>0.95</v>
      </c>
      <c r="F230" s="3480" t="s">
        <v>4399</v>
      </c>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ca="1" si="51"/>
        <v>5241</v>
      </c>
      <c r="S230" s="316">
        <f t="shared" ca="1" si="52"/>
        <v>4</v>
      </c>
    </row>
    <row r="231" spans="1:19">
      <c r="A231" s="150" t="s">
        <v>4066</v>
      </c>
      <c r="B231" s="3482">
        <v>7.6</v>
      </c>
      <c r="C231" s="21">
        <f t="shared" si="43"/>
        <v>1.01</v>
      </c>
      <c r="D231" s="3475" t="s">
        <v>3525</v>
      </c>
      <c r="E231" s="21">
        <f t="shared" si="44"/>
        <v>0.95</v>
      </c>
      <c r="F231" s="3480" t="s">
        <v>4399</v>
      </c>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ca="1" si="51"/>
        <v>5241</v>
      </c>
      <c r="S231" s="316">
        <f t="shared" ca="1" si="52"/>
        <v>4</v>
      </c>
    </row>
    <row r="232" spans="1:19">
      <c r="A232" s="150" t="s">
        <v>4069</v>
      </c>
      <c r="B232" s="3482">
        <v>8.1999999999999993</v>
      </c>
      <c r="C232" s="21">
        <f t="shared" si="43"/>
        <v>1.01</v>
      </c>
      <c r="D232" s="3475" t="s">
        <v>3525</v>
      </c>
      <c r="E232" s="21">
        <f t="shared" si="44"/>
        <v>0.95</v>
      </c>
      <c r="F232" s="3480" t="s">
        <v>4399</v>
      </c>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ca="1" si="51"/>
        <v>5241</v>
      </c>
      <c r="S232" s="316">
        <f t="shared" ca="1" si="52"/>
        <v>4</v>
      </c>
    </row>
    <row r="233" spans="1:19">
      <c r="A233" s="150" t="s">
        <v>4072</v>
      </c>
      <c r="B233" s="3482">
        <v>8.1999999999999993</v>
      </c>
      <c r="C233" s="21">
        <f t="shared" si="43"/>
        <v>1.01</v>
      </c>
      <c r="D233" s="3475" t="s">
        <v>3525</v>
      </c>
      <c r="E233" s="21">
        <f t="shared" si="44"/>
        <v>0.95</v>
      </c>
      <c r="F233" s="3480" t="s">
        <v>4399</v>
      </c>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ca="1" si="51"/>
        <v>5241</v>
      </c>
      <c r="S233" s="316">
        <f t="shared" ca="1" si="52"/>
        <v>4</v>
      </c>
    </row>
    <row r="234" spans="1:19">
      <c r="A234" s="150" t="s">
        <v>4075</v>
      </c>
      <c r="B234" s="3482">
        <v>7.74</v>
      </c>
      <c r="C234" s="21">
        <f t="shared" si="43"/>
        <v>1.01</v>
      </c>
      <c r="D234" s="3475" t="s">
        <v>3525</v>
      </c>
      <c r="E234" s="21">
        <f t="shared" si="44"/>
        <v>0.95</v>
      </c>
      <c r="F234" s="3480" t="s">
        <v>4393</v>
      </c>
      <c r="G234" s="21">
        <f t="shared" si="45"/>
        <v>1.05</v>
      </c>
      <c r="H234" s="667"/>
      <c r="I234" s="21">
        <f t="shared" si="46"/>
        <v>1</v>
      </c>
      <c r="J234" s="667"/>
      <c r="K234" s="21">
        <f t="shared" si="47"/>
        <v>1</v>
      </c>
      <c r="L234" s="667"/>
      <c r="M234" s="21">
        <f t="shared" si="48"/>
        <v>1</v>
      </c>
      <c r="N234" s="667"/>
      <c r="O234" s="21">
        <f t="shared" si="49"/>
        <v>1</v>
      </c>
      <c r="P234" s="667"/>
      <c r="Q234" s="21">
        <f t="shared" si="50"/>
        <v>1</v>
      </c>
      <c r="R234" s="663">
        <f t="shared" ca="1" si="51"/>
        <v>5503</v>
      </c>
      <c r="S234" s="316">
        <f t="shared" ca="1" si="52"/>
        <v>4</v>
      </c>
    </row>
    <row r="235" spans="1:19">
      <c r="A235" s="150" t="s">
        <v>4078</v>
      </c>
      <c r="B235" s="3482">
        <v>7.58</v>
      </c>
      <c r="C235" s="21">
        <f t="shared" si="43"/>
        <v>1.01</v>
      </c>
      <c r="D235" s="3475" t="s">
        <v>3525</v>
      </c>
      <c r="E235" s="21">
        <f t="shared" si="44"/>
        <v>0.95</v>
      </c>
      <c r="F235" s="3480" t="s">
        <v>4399</v>
      </c>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ca="1" si="51"/>
        <v>5241</v>
      </c>
      <c r="S235" s="316">
        <f t="shared" ca="1" si="52"/>
        <v>4</v>
      </c>
    </row>
    <row r="236" spans="1:19">
      <c r="A236" s="150" t="s">
        <v>4081</v>
      </c>
      <c r="B236" s="3482">
        <v>7.38</v>
      </c>
      <c r="C236" s="21">
        <f t="shared" si="43"/>
        <v>1.01</v>
      </c>
      <c r="D236" s="3475" t="s">
        <v>3525</v>
      </c>
      <c r="E236" s="21">
        <f t="shared" si="44"/>
        <v>0.95</v>
      </c>
      <c r="F236" s="3480" t="s">
        <v>4399</v>
      </c>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ca="1" si="51"/>
        <v>5241</v>
      </c>
      <c r="S236" s="316">
        <f t="shared" ca="1" si="52"/>
        <v>4</v>
      </c>
    </row>
    <row r="237" spans="1:19">
      <c r="A237" s="150" t="s">
        <v>4085</v>
      </c>
      <c r="B237" s="3482">
        <v>11.23</v>
      </c>
      <c r="C237" s="21">
        <f t="shared" si="43"/>
        <v>1</v>
      </c>
      <c r="D237" s="3475" t="s">
        <v>3443</v>
      </c>
      <c r="E237" s="21">
        <f t="shared" si="44"/>
        <v>1</v>
      </c>
      <c r="F237" s="3480" t="s">
        <v>4399</v>
      </c>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ca="1" si="51"/>
        <v>5462</v>
      </c>
      <c r="S237" s="316">
        <f t="shared" ca="1" si="52"/>
        <v>6</v>
      </c>
    </row>
    <row r="238" spans="1:19">
      <c r="A238" s="150" t="s">
        <v>4088</v>
      </c>
      <c r="B238" s="3482">
        <v>7.95</v>
      </c>
      <c r="C238" s="21">
        <f t="shared" si="43"/>
        <v>1.01</v>
      </c>
      <c r="D238" s="3475" t="s">
        <v>3443</v>
      </c>
      <c r="E238" s="21">
        <f t="shared" si="44"/>
        <v>1</v>
      </c>
      <c r="F238" s="3480" t="s">
        <v>4399</v>
      </c>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ca="1" si="51"/>
        <v>5517</v>
      </c>
      <c r="S238" s="316">
        <f t="shared" ca="1" si="52"/>
        <v>4</v>
      </c>
    </row>
    <row r="239" spans="1:19">
      <c r="A239" s="150" t="s">
        <v>4091</v>
      </c>
      <c r="B239" s="3482">
        <v>12.19</v>
      </c>
      <c r="C239" s="21">
        <f t="shared" si="43"/>
        <v>1</v>
      </c>
      <c r="D239" s="3475" t="s">
        <v>3443</v>
      </c>
      <c r="E239" s="21">
        <f t="shared" si="44"/>
        <v>1</v>
      </c>
      <c r="F239" s="3480" t="s">
        <v>4393</v>
      </c>
      <c r="G239" s="21">
        <f t="shared" si="45"/>
        <v>1.05</v>
      </c>
      <c r="H239" s="667"/>
      <c r="I239" s="21">
        <f t="shared" si="46"/>
        <v>1</v>
      </c>
      <c r="J239" s="667"/>
      <c r="K239" s="21">
        <f t="shared" si="47"/>
        <v>1</v>
      </c>
      <c r="L239" s="667"/>
      <c r="M239" s="21">
        <f t="shared" si="48"/>
        <v>1</v>
      </c>
      <c r="N239" s="667"/>
      <c r="O239" s="21">
        <f t="shared" si="49"/>
        <v>1</v>
      </c>
      <c r="P239" s="667"/>
      <c r="Q239" s="21">
        <f t="shared" si="50"/>
        <v>1</v>
      </c>
      <c r="R239" s="663">
        <f t="shared" ca="1" si="51"/>
        <v>5735</v>
      </c>
      <c r="S239" s="316">
        <f t="shared" ca="1" si="52"/>
        <v>7</v>
      </c>
    </row>
    <row r="240" spans="1:19">
      <c r="A240" s="150" t="s">
        <v>4094</v>
      </c>
      <c r="B240" s="3482">
        <v>8.3800000000000008</v>
      </c>
      <c r="C240" s="21">
        <f t="shared" si="43"/>
        <v>1.01</v>
      </c>
      <c r="D240" s="3475" t="s">
        <v>3443</v>
      </c>
      <c r="E240" s="21">
        <f t="shared" si="44"/>
        <v>1</v>
      </c>
      <c r="F240" s="3480" t="s">
        <v>4399</v>
      </c>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ca="1" si="51"/>
        <v>5517</v>
      </c>
      <c r="S240" s="316">
        <f t="shared" ca="1" si="52"/>
        <v>5</v>
      </c>
    </row>
    <row r="241" spans="1:19">
      <c r="A241" s="150" t="s">
        <v>4097</v>
      </c>
      <c r="B241" s="3482">
        <v>8.3800000000000008</v>
      </c>
      <c r="C241" s="21">
        <f t="shared" si="43"/>
        <v>1.01</v>
      </c>
      <c r="D241" s="3475" t="s">
        <v>3443</v>
      </c>
      <c r="E241" s="21">
        <f t="shared" si="44"/>
        <v>1</v>
      </c>
      <c r="F241" s="3480" t="s">
        <v>4399</v>
      </c>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ca="1" si="51"/>
        <v>5517</v>
      </c>
      <c r="S241" s="316">
        <f t="shared" ca="1" si="52"/>
        <v>5</v>
      </c>
    </row>
    <row r="242" spans="1:19">
      <c r="A242" s="150" t="s">
        <v>4100</v>
      </c>
      <c r="B242" s="3482">
        <v>7.75</v>
      </c>
      <c r="C242" s="21">
        <f t="shared" si="43"/>
        <v>1.01</v>
      </c>
      <c r="D242" s="3475" t="s">
        <v>3443</v>
      </c>
      <c r="E242" s="21">
        <f t="shared" si="44"/>
        <v>1</v>
      </c>
      <c r="F242" s="3480" t="s">
        <v>4399</v>
      </c>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ca="1" si="51"/>
        <v>5517</v>
      </c>
      <c r="S242" s="316">
        <f t="shared" ca="1" si="52"/>
        <v>4</v>
      </c>
    </row>
    <row r="243" spans="1:19">
      <c r="A243" s="150" t="s">
        <v>4103</v>
      </c>
      <c r="B243" s="3482">
        <v>7.22</v>
      </c>
      <c r="C243" s="21">
        <f t="shared" si="43"/>
        <v>1.01</v>
      </c>
      <c r="D243" s="3475" t="s">
        <v>3443</v>
      </c>
      <c r="E243" s="21">
        <f t="shared" si="44"/>
        <v>1</v>
      </c>
      <c r="F243" s="3480" t="s">
        <v>4399</v>
      </c>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ca="1" si="51"/>
        <v>5517</v>
      </c>
      <c r="S243" s="316">
        <f t="shared" ca="1" si="52"/>
        <v>4</v>
      </c>
    </row>
    <row r="244" spans="1:19">
      <c r="A244" s="150" t="s">
        <v>4106</v>
      </c>
      <c r="B244" s="3482">
        <v>7.22</v>
      </c>
      <c r="C244" s="21">
        <f t="shared" si="43"/>
        <v>1.01</v>
      </c>
      <c r="D244" s="3475" t="s">
        <v>3443</v>
      </c>
      <c r="E244" s="21">
        <f t="shared" si="44"/>
        <v>1</v>
      </c>
      <c r="F244" s="3480" t="s">
        <v>4399</v>
      </c>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ca="1" si="51"/>
        <v>5517</v>
      </c>
      <c r="S244" s="316">
        <f t="shared" ca="1" si="52"/>
        <v>4</v>
      </c>
    </row>
    <row r="245" spans="1:19">
      <c r="A245" s="150" t="s">
        <v>4109</v>
      </c>
      <c r="B245" s="3482">
        <v>10.64</v>
      </c>
      <c r="C245" s="21">
        <f t="shared" si="43"/>
        <v>1</v>
      </c>
      <c r="D245" s="3475" t="s">
        <v>3443</v>
      </c>
      <c r="E245" s="21">
        <f t="shared" si="44"/>
        <v>1</v>
      </c>
      <c r="F245" s="3480" t="s">
        <v>4394</v>
      </c>
      <c r="G245" s="21">
        <f t="shared" si="45"/>
        <v>1.05</v>
      </c>
      <c r="H245" s="667"/>
      <c r="I245" s="21">
        <f t="shared" si="46"/>
        <v>1</v>
      </c>
      <c r="J245" s="667"/>
      <c r="K245" s="21">
        <f t="shared" si="47"/>
        <v>1</v>
      </c>
      <c r="L245" s="667"/>
      <c r="M245" s="21">
        <f t="shared" si="48"/>
        <v>1</v>
      </c>
      <c r="N245" s="667"/>
      <c r="O245" s="21">
        <f t="shared" si="49"/>
        <v>1</v>
      </c>
      <c r="P245" s="667"/>
      <c r="Q245" s="21">
        <f t="shared" si="50"/>
        <v>1</v>
      </c>
      <c r="R245" s="663">
        <f t="shared" ca="1" si="51"/>
        <v>5735</v>
      </c>
      <c r="S245" s="316">
        <f t="shared" ca="1" si="52"/>
        <v>6</v>
      </c>
    </row>
    <row r="246" spans="1:19">
      <c r="A246" s="150" t="s">
        <v>4112</v>
      </c>
      <c r="B246" s="3482">
        <v>8.3800000000000008</v>
      </c>
      <c r="C246" s="21">
        <f t="shared" si="43"/>
        <v>1.01</v>
      </c>
      <c r="D246" s="3475" t="s">
        <v>3443</v>
      </c>
      <c r="E246" s="21">
        <f t="shared" si="44"/>
        <v>1</v>
      </c>
      <c r="F246" s="3480" t="s">
        <v>4399</v>
      </c>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ca="1" si="51"/>
        <v>5517</v>
      </c>
      <c r="S246" s="316">
        <f t="shared" ca="1" si="52"/>
        <v>5</v>
      </c>
    </row>
    <row r="247" spans="1:19">
      <c r="A247" s="150" t="s">
        <v>4115</v>
      </c>
      <c r="B247" s="3482">
        <v>10.38</v>
      </c>
      <c r="C247" s="21">
        <f t="shared" si="43"/>
        <v>1</v>
      </c>
      <c r="D247" s="3475" t="s">
        <v>3443</v>
      </c>
      <c r="E247" s="21">
        <f t="shared" si="44"/>
        <v>1</v>
      </c>
      <c r="F247" s="3480" t="s">
        <v>4399</v>
      </c>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ca="1" si="51"/>
        <v>5462</v>
      </c>
      <c r="S247" s="316">
        <f t="shared" ca="1" si="52"/>
        <v>6</v>
      </c>
    </row>
    <row r="248" spans="1:19">
      <c r="A248" s="150" t="s">
        <v>4118</v>
      </c>
      <c r="B248" s="3482">
        <v>10.98</v>
      </c>
      <c r="C248" s="21">
        <f t="shared" si="43"/>
        <v>1</v>
      </c>
      <c r="D248" s="3475" t="s">
        <v>3443</v>
      </c>
      <c r="E248" s="21">
        <f t="shared" si="44"/>
        <v>1</v>
      </c>
      <c r="F248" s="3480" t="s">
        <v>4399</v>
      </c>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ca="1" si="51"/>
        <v>5462</v>
      </c>
      <c r="S248" s="316">
        <f t="shared" ca="1" si="52"/>
        <v>6</v>
      </c>
    </row>
    <row r="249" spans="1:19">
      <c r="A249" s="150" t="s">
        <v>4121</v>
      </c>
      <c r="B249" s="3482">
        <v>10.98</v>
      </c>
      <c r="C249" s="21">
        <f t="shared" si="43"/>
        <v>1</v>
      </c>
      <c r="D249" s="3475" t="s">
        <v>3443</v>
      </c>
      <c r="E249" s="21">
        <f t="shared" si="44"/>
        <v>1</v>
      </c>
      <c r="F249" s="3480" t="s">
        <v>4399</v>
      </c>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ca="1" si="51"/>
        <v>5462</v>
      </c>
      <c r="S249" s="316">
        <f t="shared" ca="1" si="52"/>
        <v>6</v>
      </c>
    </row>
    <row r="250" spans="1:19">
      <c r="A250" s="150" t="s">
        <v>4124</v>
      </c>
      <c r="B250" s="3482">
        <v>10.38</v>
      </c>
      <c r="C250" s="21">
        <f t="shared" si="43"/>
        <v>1</v>
      </c>
      <c r="D250" s="3475" t="s">
        <v>3443</v>
      </c>
      <c r="E250" s="21">
        <f t="shared" si="44"/>
        <v>1</v>
      </c>
      <c r="F250" s="3480" t="s">
        <v>4399</v>
      </c>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ca="1" si="51"/>
        <v>5462</v>
      </c>
      <c r="S250" s="316">
        <f t="shared" ca="1" si="52"/>
        <v>6</v>
      </c>
    </row>
    <row r="251" spans="1:19">
      <c r="A251" s="150" t="s">
        <v>4127</v>
      </c>
      <c r="B251" s="3482">
        <v>8.3800000000000008</v>
      </c>
      <c r="C251" s="21">
        <f t="shared" si="43"/>
        <v>1.01</v>
      </c>
      <c r="D251" s="3475" t="s">
        <v>3443</v>
      </c>
      <c r="E251" s="21">
        <f t="shared" si="44"/>
        <v>1</v>
      </c>
      <c r="F251" s="3480" t="s">
        <v>4399</v>
      </c>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ca="1" si="51"/>
        <v>5517</v>
      </c>
      <c r="S251" s="316">
        <f t="shared" ca="1" si="52"/>
        <v>5</v>
      </c>
    </row>
    <row r="252" spans="1:19">
      <c r="A252" s="150" t="s">
        <v>4130</v>
      </c>
      <c r="B252" s="3482">
        <v>10.64</v>
      </c>
      <c r="C252" s="21">
        <f t="shared" si="43"/>
        <v>1</v>
      </c>
      <c r="D252" s="3475" t="s">
        <v>3443</v>
      </c>
      <c r="E252" s="21">
        <f t="shared" si="44"/>
        <v>1</v>
      </c>
      <c r="F252" s="3480" t="s">
        <v>4394</v>
      </c>
      <c r="G252" s="21">
        <f t="shared" si="45"/>
        <v>1.05</v>
      </c>
      <c r="H252" s="667"/>
      <c r="I252" s="21">
        <f t="shared" si="46"/>
        <v>1</v>
      </c>
      <c r="J252" s="667"/>
      <c r="K252" s="21">
        <f t="shared" si="47"/>
        <v>1</v>
      </c>
      <c r="L252" s="667"/>
      <c r="M252" s="21">
        <f t="shared" si="48"/>
        <v>1</v>
      </c>
      <c r="N252" s="667"/>
      <c r="O252" s="21">
        <f t="shared" si="49"/>
        <v>1</v>
      </c>
      <c r="P252" s="667"/>
      <c r="Q252" s="21">
        <f t="shared" si="50"/>
        <v>1</v>
      </c>
      <c r="R252" s="663">
        <f t="shared" ca="1" si="51"/>
        <v>5735</v>
      </c>
      <c r="S252" s="316">
        <f t="shared" ca="1" si="52"/>
        <v>6</v>
      </c>
    </row>
    <row r="253" spans="1:19">
      <c r="A253" s="150" t="s">
        <v>4133</v>
      </c>
      <c r="B253" s="3482">
        <v>12.03</v>
      </c>
      <c r="C253" s="21">
        <f t="shared" si="43"/>
        <v>1</v>
      </c>
      <c r="D253" s="3475" t="s">
        <v>3443</v>
      </c>
      <c r="E253" s="21">
        <f t="shared" si="44"/>
        <v>1</v>
      </c>
      <c r="F253" s="3480" t="s">
        <v>4393</v>
      </c>
      <c r="G253" s="21">
        <f t="shared" si="45"/>
        <v>1.05</v>
      </c>
      <c r="H253" s="667"/>
      <c r="I253" s="21">
        <f t="shared" si="46"/>
        <v>1</v>
      </c>
      <c r="J253" s="667"/>
      <c r="K253" s="21">
        <f t="shared" si="47"/>
        <v>1</v>
      </c>
      <c r="L253" s="667"/>
      <c r="M253" s="21">
        <f t="shared" si="48"/>
        <v>1</v>
      </c>
      <c r="N253" s="667"/>
      <c r="O253" s="21">
        <f t="shared" si="49"/>
        <v>1</v>
      </c>
      <c r="P253" s="667"/>
      <c r="Q253" s="21">
        <f t="shared" si="50"/>
        <v>1</v>
      </c>
      <c r="R253" s="663">
        <f t="shared" ca="1" si="51"/>
        <v>5735</v>
      </c>
      <c r="S253" s="316">
        <f t="shared" ca="1" si="52"/>
        <v>7</v>
      </c>
    </row>
    <row r="254" spans="1:19">
      <c r="A254" s="150" t="s">
        <v>4136</v>
      </c>
      <c r="B254" s="3482">
        <v>10.41</v>
      </c>
      <c r="C254" s="21">
        <f t="shared" si="43"/>
        <v>1</v>
      </c>
      <c r="D254" s="3475" t="s">
        <v>3443</v>
      </c>
      <c r="E254" s="21">
        <f t="shared" si="44"/>
        <v>1</v>
      </c>
      <c r="F254" s="3480" t="s">
        <v>4399</v>
      </c>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ca="1" si="51"/>
        <v>5462</v>
      </c>
      <c r="S254" s="316">
        <f t="shared" ca="1" si="52"/>
        <v>6</v>
      </c>
    </row>
    <row r="255" spans="1:19">
      <c r="A255" s="150" t="s">
        <v>4140</v>
      </c>
      <c r="B255" s="3482">
        <v>7.38</v>
      </c>
      <c r="C255" s="21">
        <f t="shared" si="43"/>
        <v>1.01</v>
      </c>
      <c r="D255" s="3475" t="s">
        <v>3443</v>
      </c>
      <c r="E255" s="21">
        <f t="shared" si="44"/>
        <v>1</v>
      </c>
      <c r="F255" s="3480" t="s">
        <v>4399</v>
      </c>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ca="1" si="51"/>
        <v>5517</v>
      </c>
      <c r="S255" s="316">
        <f t="shared" ca="1" si="52"/>
        <v>4</v>
      </c>
    </row>
    <row r="256" spans="1:19">
      <c r="A256" s="150" t="s">
        <v>4143</v>
      </c>
      <c r="B256" s="3482">
        <v>5.23</v>
      </c>
      <c r="C256" s="21">
        <f t="shared" si="43"/>
        <v>1.01</v>
      </c>
      <c r="D256" s="3475" t="s">
        <v>3443</v>
      </c>
      <c r="E256" s="21">
        <f t="shared" si="44"/>
        <v>1</v>
      </c>
      <c r="F256" s="3480" t="s">
        <v>4393</v>
      </c>
      <c r="G256" s="21">
        <f t="shared" si="45"/>
        <v>1.05</v>
      </c>
      <c r="H256" s="667"/>
      <c r="I256" s="21">
        <f t="shared" si="46"/>
        <v>1</v>
      </c>
      <c r="J256" s="667"/>
      <c r="K256" s="21">
        <f t="shared" si="47"/>
        <v>1</v>
      </c>
      <c r="L256" s="667"/>
      <c r="M256" s="21">
        <f t="shared" si="48"/>
        <v>1</v>
      </c>
      <c r="N256" s="667"/>
      <c r="O256" s="21">
        <f t="shared" si="49"/>
        <v>1</v>
      </c>
      <c r="P256" s="667"/>
      <c r="Q256" s="21">
        <f t="shared" si="50"/>
        <v>1</v>
      </c>
      <c r="R256" s="663">
        <f t="shared" ca="1" si="51"/>
        <v>5792</v>
      </c>
      <c r="S256" s="316">
        <f t="shared" ca="1" si="52"/>
        <v>3</v>
      </c>
    </row>
    <row r="257" spans="1:19">
      <c r="A257" s="150" t="s">
        <v>4146</v>
      </c>
      <c r="B257" s="3482">
        <v>4.3499999999999996</v>
      </c>
      <c r="C257" s="21">
        <f t="shared" si="43"/>
        <v>1.02</v>
      </c>
      <c r="D257" s="3475" t="s">
        <v>3443</v>
      </c>
      <c r="E257" s="21">
        <f t="shared" si="44"/>
        <v>1</v>
      </c>
      <c r="F257" s="3480" t="s">
        <v>4399</v>
      </c>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ca="1" si="51"/>
        <v>5571</v>
      </c>
      <c r="S257" s="316">
        <f t="shared" ca="1" si="52"/>
        <v>2</v>
      </c>
    </row>
    <row r="258" spans="1:19">
      <c r="A258" s="150" t="s">
        <v>4149</v>
      </c>
      <c r="B258" s="3482">
        <v>10.49</v>
      </c>
      <c r="C258" s="21">
        <f t="shared" si="43"/>
        <v>1</v>
      </c>
      <c r="D258" s="3475" t="s">
        <v>3443</v>
      </c>
      <c r="E258" s="21">
        <f t="shared" si="44"/>
        <v>1</v>
      </c>
      <c r="F258" s="3480" t="s">
        <v>4399</v>
      </c>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ca="1" si="51"/>
        <v>5462</v>
      </c>
      <c r="S258" s="316">
        <f t="shared" ca="1" si="52"/>
        <v>6</v>
      </c>
    </row>
    <row r="259" spans="1:19">
      <c r="A259" s="150" t="s">
        <v>4152</v>
      </c>
      <c r="B259" s="3482">
        <v>10.49</v>
      </c>
      <c r="C259" s="21">
        <f t="shared" si="43"/>
        <v>1</v>
      </c>
      <c r="D259" s="3475" t="s">
        <v>3443</v>
      </c>
      <c r="E259" s="21">
        <f t="shared" si="44"/>
        <v>1</v>
      </c>
      <c r="F259" s="3480" t="s">
        <v>4399</v>
      </c>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ca="1" si="51"/>
        <v>5462</v>
      </c>
      <c r="S259" s="316">
        <f t="shared" ca="1" si="52"/>
        <v>6</v>
      </c>
    </row>
    <row r="260" spans="1:19">
      <c r="A260" s="150" t="s">
        <v>4155</v>
      </c>
      <c r="B260" s="3482">
        <v>10.43</v>
      </c>
      <c r="C260" s="21">
        <f t="shared" si="43"/>
        <v>1</v>
      </c>
      <c r="D260" s="3475" t="s">
        <v>3443</v>
      </c>
      <c r="E260" s="21">
        <f t="shared" si="44"/>
        <v>1</v>
      </c>
      <c r="F260" s="3480" t="s">
        <v>4399</v>
      </c>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ca="1" si="51"/>
        <v>5462</v>
      </c>
      <c r="S260" s="316">
        <f t="shared" ca="1" si="52"/>
        <v>6</v>
      </c>
    </row>
    <row r="261" spans="1:19">
      <c r="A261" s="150" t="s">
        <v>4158</v>
      </c>
      <c r="B261" s="3482">
        <v>10.58</v>
      </c>
      <c r="C261" s="21">
        <f t="shared" si="43"/>
        <v>1</v>
      </c>
      <c r="D261" s="3475" t="s">
        <v>3443</v>
      </c>
      <c r="E261" s="21">
        <f t="shared" si="44"/>
        <v>1</v>
      </c>
      <c r="F261" s="3480" t="s">
        <v>4393</v>
      </c>
      <c r="G261" s="21">
        <f t="shared" si="45"/>
        <v>1.05</v>
      </c>
      <c r="H261" s="667"/>
      <c r="I261" s="21">
        <f t="shared" si="46"/>
        <v>1</v>
      </c>
      <c r="J261" s="667"/>
      <c r="K261" s="21">
        <f t="shared" si="47"/>
        <v>1</v>
      </c>
      <c r="L261" s="667"/>
      <c r="M261" s="21">
        <f t="shared" si="48"/>
        <v>1</v>
      </c>
      <c r="N261" s="667"/>
      <c r="O261" s="21">
        <f t="shared" si="49"/>
        <v>1</v>
      </c>
      <c r="P261" s="667"/>
      <c r="Q261" s="21">
        <f t="shared" si="50"/>
        <v>1</v>
      </c>
      <c r="R261" s="663">
        <f t="shared" ca="1" si="51"/>
        <v>5735</v>
      </c>
      <c r="S261" s="316">
        <f t="shared" ca="1" si="52"/>
        <v>6</v>
      </c>
    </row>
    <row r="262" spans="1:19">
      <c r="A262" s="150" t="s">
        <v>4161</v>
      </c>
      <c r="B262" s="3482">
        <v>8.23</v>
      </c>
      <c r="C262" s="21">
        <f t="shared" si="43"/>
        <v>1.01</v>
      </c>
      <c r="D262" s="3475" t="s">
        <v>3443</v>
      </c>
      <c r="E262" s="21">
        <f t="shared" si="44"/>
        <v>1</v>
      </c>
      <c r="F262" s="3480" t="s">
        <v>4399</v>
      </c>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ca="1" si="51"/>
        <v>5517</v>
      </c>
      <c r="S262" s="316">
        <f t="shared" ca="1" si="52"/>
        <v>5</v>
      </c>
    </row>
    <row r="263" spans="1:19">
      <c r="A263" s="150" t="s">
        <v>4164</v>
      </c>
      <c r="B263" s="3482">
        <v>7.38</v>
      </c>
      <c r="C263" s="21">
        <f t="shared" si="43"/>
        <v>1.01</v>
      </c>
      <c r="D263" s="3475" t="s">
        <v>3525</v>
      </c>
      <c r="E263" s="21">
        <f t="shared" si="44"/>
        <v>0.95</v>
      </c>
      <c r="F263" s="3480" t="s">
        <v>4399</v>
      </c>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ca="1" si="51"/>
        <v>5241</v>
      </c>
      <c r="S263" s="316">
        <f t="shared" ca="1" si="52"/>
        <v>4</v>
      </c>
    </row>
    <row r="264" spans="1:19">
      <c r="A264" s="150" t="s">
        <v>4167</v>
      </c>
      <c r="B264" s="3482">
        <v>7.65</v>
      </c>
      <c r="C264" s="21">
        <f t="shared" si="43"/>
        <v>1.01</v>
      </c>
      <c r="D264" s="3475" t="s">
        <v>3525</v>
      </c>
      <c r="E264" s="21">
        <f t="shared" si="44"/>
        <v>0.95</v>
      </c>
      <c r="F264" s="3480" t="s">
        <v>4399</v>
      </c>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ca="1" si="51"/>
        <v>5241</v>
      </c>
      <c r="S264" s="316">
        <f t="shared" ca="1" si="52"/>
        <v>4</v>
      </c>
    </row>
    <row r="265" spans="1:19">
      <c r="A265" s="150" t="s">
        <v>4170</v>
      </c>
      <c r="B265" s="3482">
        <v>8.25</v>
      </c>
      <c r="C265" s="21">
        <f t="shared" si="43"/>
        <v>1.01</v>
      </c>
      <c r="D265" s="3475" t="s">
        <v>3525</v>
      </c>
      <c r="E265" s="21">
        <f t="shared" si="44"/>
        <v>0.95</v>
      </c>
      <c r="F265" s="3480" t="s">
        <v>4399</v>
      </c>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ca="1" si="51"/>
        <v>5241</v>
      </c>
      <c r="S265" s="316">
        <f t="shared" ca="1" si="52"/>
        <v>4</v>
      </c>
    </row>
    <row r="266" spans="1:19">
      <c r="A266" s="150" t="s">
        <v>4173</v>
      </c>
      <c r="B266" s="3482">
        <v>8.1999999999999993</v>
      </c>
      <c r="C266" s="21">
        <f t="shared" si="43"/>
        <v>1.01</v>
      </c>
      <c r="D266" s="3475" t="s">
        <v>3525</v>
      </c>
      <c r="E266" s="21">
        <f t="shared" si="44"/>
        <v>0.95</v>
      </c>
      <c r="F266" s="3480" t="s">
        <v>4399</v>
      </c>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ca="1" si="51"/>
        <v>5241</v>
      </c>
      <c r="S266" s="316">
        <f t="shared" ca="1" si="52"/>
        <v>4</v>
      </c>
    </row>
    <row r="267" spans="1:19">
      <c r="A267" s="150" t="s">
        <v>4176</v>
      </c>
      <c r="B267" s="3482">
        <v>6.87</v>
      </c>
      <c r="C267" s="21">
        <f t="shared" si="43"/>
        <v>1.01</v>
      </c>
      <c r="D267" s="3475" t="s">
        <v>3525</v>
      </c>
      <c r="E267" s="21">
        <f t="shared" si="44"/>
        <v>0.95</v>
      </c>
      <c r="F267" s="3480" t="s">
        <v>4399</v>
      </c>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ca="1" si="51"/>
        <v>5241</v>
      </c>
      <c r="S267" s="316">
        <f t="shared" ca="1" si="52"/>
        <v>4</v>
      </c>
    </row>
    <row r="268" spans="1:19">
      <c r="A268" s="150" t="s">
        <v>4179</v>
      </c>
      <c r="B268" s="3482">
        <v>7.74</v>
      </c>
      <c r="C268" s="21">
        <f t="shared" si="43"/>
        <v>1.01</v>
      </c>
      <c r="D268" s="3475" t="s">
        <v>3525</v>
      </c>
      <c r="E268" s="21">
        <f t="shared" si="44"/>
        <v>0.95</v>
      </c>
      <c r="F268" s="3480" t="s">
        <v>4393</v>
      </c>
      <c r="G268" s="21">
        <f t="shared" si="45"/>
        <v>1.05</v>
      </c>
      <c r="H268" s="667"/>
      <c r="I268" s="21">
        <f t="shared" si="46"/>
        <v>1</v>
      </c>
      <c r="J268" s="667"/>
      <c r="K268" s="21">
        <f t="shared" si="47"/>
        <v>1</v>
      </c>
      <c r="L268" s="667"/>
      <c r="M268" s="21">
        <f t="shared" si="48"/>
        <v>1</v>
      </c>
      <c r="N268" s="667"/>
      <c r="O268" s="21">
        <f t="shared" si="49"/>
        <v>1</v>
      </c>
      <c r="P268" s="667"/>
      <c r="Q268" s="21">
        <f t="shared" si="50"/>
        <v>1</v>
      </c>
      <c r="R268" s="663">
        <f t="shared" ca="1" si="51"/>
        <v>5503</v>
      </c>
      <c r="S268" s="316">
        <f t="shared" ca="1" si="52"/>
        <v>4</v>
      </c>
    </row>
    <row r="269" spans="1:19">
      <c r="A269" s="150" t="s">
        <v>4182</v>
      </c>
      <c r="B269" s="3482">
        <v>7.74</v>
      </c>
      <c r="C269" s="21">
        <f t="shared" si="43"/>
        <v>1.01</v>
      </c>
      <c r="D269" s="3475" t="s">
        <v>3525</v>
      </c>
      <c r="E269" s="21">
        <f t="shared" si="44"/>
        <v>0.95</v>
      </c>
      <c r="F269" s="3480" t="s">
        <v>4393</v>
      </c>
      <c r="G269" s="21">
        <f t="shared" si="45"/>
        <v>1.05</v>
      </c>
      <c r="H269" s="667"/>
      <c r="I269" s="21">
        <f t="shared" si="46"/>
        <v>1</v>
      </c>
      <c r="J269" s="667"/>
      <c r="K269" s="21">
        <f t="shared" si="47"/>
        <v>1</v>
      </c>
      <c r="L269" s="667"/>
      <c r="M269" s="21">
        <f t="shared" si="48"/>
        <v>1</v>
      </c>
      <c r="N269" s="667"/>
      <c r="O269" s="21">
        <f t="shared" si="49"/>
        <v>1</v>
      </c>
      <c r="P269" s="667"/>
      <c r="Q269" s="21">
        <f t="shared" si="50"/>
        <v>1</v>
      </c>
      <c r="R269" s="663">
        <f t="shared" ca="1" si="51"/>
        <v>5503</v>
      </c>
      <c r="S269" s="316">
        <f t="shared" ca="1" si="52"/>
        <v>4</v>
      </c>
    </row>
    <row r="270" spans="1:19">
      <c r="A270" s="150" t="s">
        <v>4185</v>
      </c>
      <c r="B270" s="3482">
        <v>7.6</v>
      </c>
      <c r="C270" s="21">
        <f t="shared" si="43"/>
        <v>1.01</v>
      </c>
      <c r="D270" s="3475" t="s">
        <v>3525</v>
      </c>
      <c r="E270" s="21">
        <f t="shared" si="44"/>
        <v>0.95</v>
      </c>
      <c r="F270" s="3480" t="s">
        <v>4399</v>
      </c>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ca="1" si="51"/>
        <v>5241</v>
      </c>
      <c r="S270" s="316">
        <f t="shared" ca="1" si="52"/>
        <v>4</v>
      </c>
    </row>
    <row r="271" spans="1:19">
      <c r="A271" s="150" t="s">
        <v>4188</v>
      </c>
      <c r="B271" s="3482">
        <v>7.71</v>
      </c>
      <c r="C271" s="21">
        <f t="shared" si="43"/>
        <v>1.01</v>
      </c>
      <c r="D271" s="3475" t="s">
        <v>3525</v>
      </c>
      <c r="E271" s="21">
        <f t="shared" si="44"/>
        <v>0.95</v>
      </c>
      <c r="F271" s="3480" t="s">
        <v>4399</v>
      </c>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ca="1" si="51"/>
        <v>5241</v>
      </c>
      <c r="S271" s="316">
        <f t="shared" ca="1" si="52"/>
        <v>4</v>
      </c>
    </row>
    <row r="272" spans="1:19">
      <c r="A272" s="150" t="s">
        <v>4191</v>
      </c>
      <c r="B272" s="3482">
        <v>10.49</v>
      </c>
      <c r="C272" s="21">
        <f t="shared" si="43"/>
        <v>1</v>
      </c>
      <c r="D272" s="3475" t="s">
        <v>3525</v>
      </c>
      <c r="E272" s="21">
        <f t="shared" si="44"/>
        <v>0.95</v>
      </c>
      <c r="F272" s="3480" t="s">
        <v>4399</v>
      </c>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ca="1" si="51"/>
        <v>5189</v>
      </c>
      <c r="S272" s="316">
        <f t="shared" ca="1" si="52"/>
        <v>5</v>
      </c>
    </row>
    <row r="273" spans="1:19">
      <c r="A273" s="150" t="s">
        <v>4194</v>
      </c>
      <c r="B273" s="3482">
        <v>10.49</v>
      </c>
      <c r="C273" s="21">
        <f t="shared" si="43"/>
        <v>1</v>
      </c>
      <c r="D273" s="3475" t="s">
        <v>3525</v>
      </c>
      <c r="E273" s="21">
        <f t="shared" si="44"/>
        <v>0.95</v>
      </c>
      <c r="F273" s="3480" t="s">
        <v>4399</v>
      </c>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ca="1" si="51"/>
        <v>5189</v>
      </c>
      <c r="S273" s="316">
        <f t="shared" ca="1" si="52"/>
        <v>5</v>
      </c>
    </row>
    <row r="274" spans="1:19">
      <c r="A274" s="150" t="s">
        <v>4197</v>
      </c>
      <c r="B274" s="3482">
        <v>10.49</v>
      </c>
      <c r="C274" s="21">
        <f t="shared" si="43"/>
        <v>1</v>
      </c>
      <c r="D274" s="3475" t="s">
        <v>3525</v>
      </c>
      <c r="E274" s="21">
        <f t="shared" si="44"/>
        <v>0.95</v>
      </c>
      <c r="F274" s="3480" t="s">
        <v>4399</v>
      </c>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ca="1" si="51"/>
        <v>5189</v>
      </c>
      <c r="S274" s="316">
        <f t="shared" ca="1" si="52"/>
        <v>5</v>
      </c>
    </row>
    <row r="275" spans="1:19">
      <c r="A275" s="150" t="s">
        <v>4200</v>
      </c>
      <c r="B275" s="3482">
        <v>10.49</v>
      </c>
      <c r="C275" s="21">
        <f t="shared" si="43"/>
        <v>1</v>
      </c>
      <c r="D275" s="3475" t="s">
        <v>3525</v>
      </c>
      <c r="E275" s="21">
        <f t="shared" si="44"/>
        <v>0.95</v>
      </c>
      <c r="F275" s="3480" t="s">
        <v>4399</v>
      </c>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ca="1" si="51"/>
        <v>5189</v>
      </c>
      <c r="S275" s="316">
        <f t="shared" ca="1" si="52"/>
        <v>5</v>
      </c>
    </row>
    <row r="276" spans="1:19">
      <c r="A276" s="150" t="s">
        <v>4203</v>
      </c>
      <c r="B276" s="3482">
        <v>7.71</v>
      </c>
      <c r="C276" s="21">
        <f t="shared" si="43"/>
        <v>1.01</v>
      </c>
      <c r="D276" s="3475" t="s">
        <v>3525</v>
      </c>
      <c r="E276" s="21">
        <f t="shared" si="44"/>
        <v>0.95</v>
      </c>
      <c r="F276" s="3480" t="s">
        <v>4399</v>
      </c>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ca="1" si="51"/>
        <v>5241</v>
      </c>
      <c r="S276" s="316">
        <f t="shared" ca="1" si="52"/>
        <v>4</v>
      </c>
    </row>
    <row r="277" spans="1:19">
      <c r="A277" s="150" t="s">
        <v>4206</v>
      </c>
      <c r="B277" s="3482">
        <v>7.6</v>
      </c>
      <c r="C277" s="21">
        <f t="shared" si="43"/>
        <v>1.01</v>
      </c>
      <c r="D277" s="3475" t="s">
        <v>3525</v>
      </c>
      <c r="E277" s="21">
        <f t="shared" si="44"/>
        <v>0.95</v>
      </c>
      <c r="F277" s="3480" t="s">
        <v>4399</v>
      </c>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ca="1" si="51"/>
        <v>5241</v>
      </c>
      <c r="S277" s="316">
        <f t="shared" ca="1" si="52"/>
        <v>4</v>
      </c>
    </row>
    <row r="278" spans="1:19">
      <c r="A278" s="150" t="s">
        <v>4209</v>
      </c>
      <c r="B278" s="3482">
        <v>9.06</v>
      </c>
      <c r="C278" s="21">
        <f t="shared" si="43"/>
        <v>1.01</v>
      </c>
      <c r="D278" s="3475" t="s">
        <v>3525</v>
      </c>
      <c r="E278" s="21">
        <f t="shared" si="44"/>
        <v>0.95</v>
      </c>
      <c r="F278" s="3480" t="s">
        <v>4399</v>
      </c>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ca="1" si="51"/>
        <v>5241</v>
      </c>
      <c r="S278" s="316">
        <f t="shared" ca="1" si="52"/>
        <v>5</v>
      </c>
    </row>
    <row r="279" spans="1:19">
      <c r="A279" s="150" t="s">
        <v>4212</v>
      </c>
      <c r="B279" s="3482">
        <v>9.06</v>
      </c>
      <c r="C279" s="21">
        <f t="shared" si="43"/>
        <v>1.01</v>
      </c>
      <c r="D279" s="3475" t="s">
        <v>3525</v>
      </c>
      <c r="E279" s="21">
        <f t="shared" si="44"/>
        <v>0.95</v>
      </c>
      <c r="F279" s="3480" t="s">
        <v>4399</v>
      </c>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ca="1" si="51"/>
        <v>5241</v>
      </c>
      <c r="S279" s="316">
        <f t="shared" ca="1" si="52"/>
        <v>5</v>
      </c>
    </row>
    <row r="280" spans="1:19">
      <c r="A280" s="150" t="s">
        <v>4215</v>
      </c>
      <c r="B280" s="3482">
        <v>9.06</v>
      </c>
      <c r="C280" s="21">
        <f t="shared" si="43"/>
        <v>1.01</v>
      </c>
      <c r="D280" s="3475" t="s">
        <v>3525</v>
      </c>
      <c r="E280" s="21">
        <f t="shared" si="44"/>
        <v>0.95</v>
      </c>
      <c r="F280" s="3480" t="s">
        <v>4399</v>
      </c>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ca="1" si="51"/>
        <v>5241</v>
      </c>
      <c r="S280" s="316">
        <f t="shared" ca="1" si="52"/>
        <v>5</v>
      </c>
    </row>
    <row r="281" spans="1:19">
      <c r="A281" s="150" t="s">
        <v>4218</v>
      </c>
      <c r="B281" s="3482">
        <v>10.58</v>
      </c>
      <c r="C281" s="21">
        <f t="shared" si="43"/>
        <v>1</v>
      </c>
      <c r="D281" s="3475" t="s">
        <v>3525</v>
      </c>
      <c r="E281" s="21">
        <f t="shared" si="44"/>
        <v>0.95</v>
      </c>
      <c r="F281" s="3480" t="s">
        <v>4393</v>
      </c>
      <c r="G281" s="21">
        <f t="shared" si="45"/>
        <v>1.05</v>
      </c>
      <c r="H281" s="667"/>
      <c r="I281" s="21">
        <f t="shared" si="46"/>
        <v>1</v>
      </c>
      <c r="J281" s="667"/>
      <c r="K281" s="21">
        <f t="shared" si="47"/>
        <v>1</v>
      </c>
      <c r="L281" s="667"/>
      <c r="M281" s="21">
        <f t="shared" si="48"/>
        <v>1</v>
      </c>
      <c r="N281" s="667"/>
      <c r="O281" s="21">
        <f t="shared" si="49"/>
        <v>1</v>
      </c>
      <c r="P281" s="667"/>
      <c r="Q281" s="21">
        <f t="shared" si="50"/>
        <v>1</v>
      </c>
      <c r="R281" s="663">
        <f t="shared" ca="1" si="51"/>
        <v>5448</v>
      </c>
      <c r="S281" s="316">
        <f t="shared" ca="1" si="52"/>
        <v>6</v>
      </c>
    </row>
    <row r="282" spans="1:19">
      <c r="A282" s="150" t="s">
        <v>4221</v>
      </c>
      <c r="B282" s="3482">
        <v>8.23</v>
      </c>
      <c r="C282" s="21">
        <f t="shared" ref="C282:C345" si="53">IF(B282="",1,(LOOKUP(B282,$3:$3,$4:$4)-LOOKUP($B$24,$3:$3,$4:$4)+100)/100)</f>
        <v>1.01</v>
      </c>
      <c r="D282" s="3475" t="s">
        <v>3525</v>
      </c>
      <c r="E282" s="21">
        <f t="shared" ref="E282:E345" si="54">(SUMIF($5:$5,D282,$6:$6)-SUMIF($5:$5,$D$24,$6:$6)+100)/100</f>
        <v>0.95</v>
      </c>
      <c r="F282" s="3480" t="s">
        <v>4399</v>
      </c>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ca="1" si="61">IF(B282="",0,ROUND($R$24*C282*E282*G282*I282*K282*M282*O282*Q282,0))</f>
        <v>5241</v>
      </c>
      <c r="S282" s="316">
        <f t="shared" ca="1" si="52"/>
        <v>4</v>
      </c>
    </row>
    <row r="283" spans="1:19">
      <c r="A283" s="150" t="s">
        <v>4225</v>
      </c>
      <c r="B283" s="3482">
        <v>10.45</v>
      </c>
      <c r="C283" s="21">
        <f t="shared" si="53"/>
        <v>1</v>
      </c>
      <c r="D283" s="3475" t="s">
        <v>3443</v>
      </c>
      <c r="E283" s="21">
        <f t="shared" si="54"/>
        <v>1</v>
      </c>
      <c r="F283" s="3480" t="s">
        <v>4399</v>
      </c>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ca="1" si="61"/>
        <v>5462</v>
      </c>
      <c r="S283" s="316">
        <f t="shared" ca="1" si="52"/>
        <v>6</v>
      </c>
    </row>
    <row r="284" spans="1:19">
      <c r="A284" s="150" t="s">
        <v>4228</v>
      </c>
      <c r="B284" s="3482">
        <v>10.45</v>
      </c>
      <c r="C284" s="21">
        <f t="shared" si="53"/>
        <v>1</v>
      </c>
      <c r="D284" s="3475" t="s">
        <v>3443</v>
      </c>
      <c r="E284" s="21">
        <f t="shared" si="54"/>
        <v>1</v>
      </c>
      <c r="F284" s="3480" t="s">
        <v>4399</v>
      </c>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ca="1" si="61"/>
        <v>5462</v>
      </c>
      <c r="S284" s="316">
        <f t="shared" ca="1" si="52"/>
        <v>6</v>
      </c>
    </row>
    <row r="285" spans="1:19">
      <c r="A285" s="150" t="s">
        <v>4231</v>
      </c>
      <c r="B285" s="3482">
        <v>10.45</v>
      </c>
      <c r="C285" s="21">
        <f t="shared" si="53"/>
        <v>1</v>
      </c>
      <c r="D285" s="3475" t="s">
        <v>3443</v>
      </c>
      <c r="E285" s="21">
        <f t="shared" si="54"/>
        <v>1</v>
      </c>
      <c r="F285" s="3480" t="s">
        <v>4399</v>
      </c>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ca="1" si="61"/>
        <v>5462</v>
      </c>
      <c r="S285" s="316">
        <f t="shared" ca="1" si="52"/>
        <v>6</v>
      </c>
    </row>
    <row r="286" spans="1:19">
      <c r="A286" s="150" t="s">
        <v>4234</v>
      </c>
      <c r="B286" s="3482">
        <v>8.19</v>
      </c>
      <c r="C286" s="21">
        <f t="shared" si="53"/>
        <v>1.01</v>
      </c>
      <c r="D286" s="3475" t="s">
        <v>3443</v>
      </c>
      <c r="E286" s="21">
        <f t="shared" si="54"/>
        <v>1</v>
      </c>
      <c r="F286" s="3480" t="s">
        <v>4399</v>
      </c>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ca="1" si="61"/>
        <v>5517</v>
      </c>
      <c r="S286" s="316">
        <f t="shared" ca="1" si="52"/>
        <v>5</v>
      </c>
    </row>
    <row r="287" spans="1:19">
      <c r="A287" s="150"/>
      <c r="B287" s="54"/>
      <c r="C287" s="21">
        <f t="shared" si="53"/>
        <v>1</v>
      </c>
      <c r="D287" s="667"/>
      <c r="E287" s="21">
        <f t="shared" si="54"/>
        <v>0</v>
      </c>
      <c r="F287" s="667"/>
      <c r="G287" s="21">
        <f t="shared" si="55"/>
        <v>0.05</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0.05</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0.05</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0.05</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0.05</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0.05</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0.05</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0.05</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0.05</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0.05</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0.05</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0.05</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0.05</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0.05</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0.05</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0.05</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0.05</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0.05</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0.05</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0.05</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0.05</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0.05</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0.05</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0.05</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0.05</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0.05</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0.05</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0.05</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0.05</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0.05</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0.05</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0.05</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0.05</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0.05</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0.05</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0.05</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0.05</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0.05</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0.05</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0.05</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0.05</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0.05</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0.05</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0.05</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0.05</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0.05</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0.05</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0.05</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0.05</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0.05</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0.05</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0.05</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0.05</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0.05</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0.05</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0.05</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0.05</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0.05</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0.05</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0.05</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0.05</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0.05</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0.05</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0.05</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0.05</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0.05</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0.05</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0.05</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0.05</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0.05</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0.05</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0.05</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0.05</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0.05</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0.05</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0.05</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0.05</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0.05</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0.05</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0.05</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0.05</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0.05</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0.05</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0.05</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0.05</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0.05</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0.05</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0.05</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0.05</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0.05</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0.05</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0.05</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0.05</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0.05</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0.05</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0.05</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0.05</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0.05</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0.05</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0.05</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0.05</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0.05</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0.05</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0.05</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0.05</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0.05</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0.05</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0.05</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0.05</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0.05</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0.05</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0.05</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0.05</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0.05</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0.05</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0.05</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0.05</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0.05</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0.05</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0.05</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0.05</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0.05</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0.05</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0.05</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0.05</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0.05</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0.05</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0.05</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0.05</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0.05</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0.05</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0.05</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0.05</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0.05</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0.05</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0.05</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0.05</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0.05</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0.05</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0.05</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0.05</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0.05</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0.05</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0.05</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0.05</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0.05</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0.05</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0.05</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0.05</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0.05</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0.05</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0.05</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0.05</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0.05</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0.05</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0.05</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0.05</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0.05</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0.05</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0.05</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0.05</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0.05</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0.05</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0.05</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0.05</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0.05</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0.05</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0.05</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0.05</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0.05</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0.05</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0.05</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0.05</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0.05</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0.05</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0.05</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0.05</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0.05</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0.05</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0.05</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0.05</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0.05</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0.05</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0.05</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0.05</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0.05</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0.05</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0.05</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0.05</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0.05</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0.05</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0.05</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0.05</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0.05</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0.05</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0.05</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0.05</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0.05</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0.05</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0.05</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0.05</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0.05</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0.05</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0.05</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0.05</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0.05</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0.05</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0.05</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0.05</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0.05</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0.05</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0.05</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0.05</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0.05</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0.05</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0.05</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0.05</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0.05</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0.05</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0.05</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0.05</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0.05</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0.05</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0.05</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0.05</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0.05</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0.05</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0.05</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0.05</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0.05</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0.05</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0.05</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0.05</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0.05</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0.05</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0.05</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0.05</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0.05</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2591</v>
      </c>
      <c r="B1" s="3072" t="s">
        <v>2592</v>
      </c>
      <c r="C1" s="3072" t="s">
        <v>2593</v>
      </c>
      <c r="D1" s="3072" t="s">
        <v>2594</v>
      </c>
      <c r="E1" s="3072" t="s">
        <v>2595</v>
      </c>
      <c r="F1" s="3072" t="s">
        <v>2596</v>
      </c>
      <c r="G1" s="3072" t="s">
        <v>2597</v>
      </c>
      <c r="H1" s="3072" t="s">
        <v>2598</v>
      </c>
      <c r="I1" s="3072" t="s">
        <v>2599</v>
      </c>
      <c r="J1" s="3072" t="s">
        <v>2600</v>
      </c>
      <c r="K1" s="3072" t="s">
        <v>2601</v>
      </c>
      <c r="L1" s="3072" t="s">
        <v>2602</v>
      </c>
      <c r="M1" s="3073" t="s">
        <v>2603</v>
      </c>
    </row>
    <row r="2" spans="1:13" ht="19.5" customHeight="1">
      <c r="A2" s="3075" t="s">
        <v>2604</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2605</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2606</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2607</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2608</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2609</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2610</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2611</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2612</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2613</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2614</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2615</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2616</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2617</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2618</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2619</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2620</v>
      </c>
      <c r="B18" s="3097"/>
      <c r="C18" s="3098"/>
      <c r="D18" s="3098"/>
      <c r="E18" s="3097"/>
      <c r="F18" s="3098"/>
      <c r="G18" s="3098"/>
    </row>
    <row r="19" spans="1:13" ht="19.5" customHeight="1" thickBot="1">
      <c r="A19" s="3095" t="s">
        <v>2621</v>
      </c>
      <c r="B19" s="3100" t="s">
        <v>2622</v>
      </c>
      <c r="C19" s="3100" t="s">
        <v>2623</v>
      </c>
      <c r="D19" s="3101"/>
      <c r="E19" s="3095" t="s">
        <v>2624</v>
      </c>
      <c r="F19" s="3102"/>
      <c r="G19" s="3102"/>
    </row>
    <row r="20" spans="1:13" ht="19.5" customHeight="1">
      <c r="A20" s="3801" t="s">
        <v>2604</v>
      </c>
      <c r="B20" s="3796" t="s">
        <v>2625</v>
      </c>
      <c r="C20" s="3103" t="s">
        <v>2436</v>
      </c>
      <c r="D20" s="3104"/>
      <c r="E20" s="3105">
        <v>1</v>
      </c>
      <c r="F20" s="3106" t="s">
        <v>2437</v>
      </c>
      <c r="G20" s="3106"/>
    </row>
    <row r="21" spans="1:13" ht="19.5" customHeight="1">
      <c r="A21" s="3802"/>
      <c r="B21" s="3795"/>
      <c r="C21" s="3107" t="s">
        <v>2438</v>
      </c>
      <c r="D21" s="3108"/>
      <c r="E21" s="3109">
        <v>1</v>
      </c>
      <c r="F21" s="3106" t="s">
        <v>2439</v>
      </c>
      <c r="G21" s="3106"/>
    </row>
    <row r="22" spans="1:13" ht="19.5" customHeight="1">
      <c r="A22" s="3802"/>
      <c r="B22" s="3795"/>
      <c r="C22" s="3107" t="s">
        <v>2440</v>
      </c>
      <c r="D22" s="3108"/>
      <c r="E22" s="3109">
        <v>0.9</v>
      </c>
      <c r="F22" s="3106" t="s">
        <v>2441</v>
      </c>
      <c r="G22" s="3106"/>
    </row>
    <row r="23" spans="1:13" ht="19.5" customHeight="1">
      <c r="A23" s="3802"/>
      <c r="B23" s="3795"/>
      <c r="C23" s="3107" t="s">
        <v>2442</v>
      </c>
      <c r="D23" s="3108"/>
      <c r="E23" s="3109">
        <v>0.9</v>
      </c>
      <c r="F23" s="3106" t="s">
        <v>2443</v>
      </c>
      <c r="G23" s="3106"/>
    </row>
    <row r="24" spans="1:13" ht="19.5" customHeight="1">
      <c r="A24" s="3802"/>
      <c r="B24" s="3795"/>
      <c r="C24" s="3107" t="s">
        <v>2444</v>
      </c>
      <c r="D24" s="3108"/>
      <c r="E24" s="3109">
        <v>0.8</v>
      </c>
      <c r="F24" s="3106" t="s">
        <v>2445</v>
      </c>
      <c r="G24" s="3106"/>
    </row>
    <row r="25" spans="1:13" ht="19.5" customHeight="1" thickBot="1">
      <c r="A25" s="3803"/>
      <c r="B25" s="3797"/>
      <c r="C25" s="3110" t="s">
        <v>2446</v>
      </c>
      <c r="D25" s="3111"/>
      <c r="E25" s="3112">
        <v>0.8</v>
      </c>
      <c r="F25" s="3106" t="s">
        <v>2447</v>
      </c>
      <c r="G25" s="3106"/>
    </row>
    <row r="26" spans="1:13" ht="19.5" customHeight="1" thickBot="1">
      <c r="A26" s="3113" t="s">
        <v>2626</v>
      </c>
      <c r="B26" s="3114" t="s">
        <v>2625</v>
      </c>
      <c r="C26" s="3115" t="s">
        <v>2627</v>
      </c>
      <c r="D26" s="3116"/>
      <c r="E26" s="3117">
        <v>1</v>
      </c>
      <c r="F26" s="3106" t="s">
        <v>2448</v>
      </c>
      <c r="G26" s="3106"/>
    </row>
    <row r="27" spans="1:13" ht="19.5" customHeight="1">
      <c r="A27" s="3798" t="s">
        <v>2628</v>
      </c>
      <c r="B27" s="3796" t="s">
        <v>2609</v>
      </c>
      <c r="C27" s="3103" t="s">
        <v>2449</v>
      </c>
      <c r="D27" s="3104"/>
      <c r="E27" s="3105">
        <v>1</v>
      </c>
      <c r="F27" s="3106" t="s">
        <v>2450</v>
      </c>
      <c r="G27" s="3106"/>
    </row>
    <row r="28" spans="1:13" ht="19.5" customHeight="1">
      <c r="A28" s="3799"/>
      <c r="B28" s="3795"/>
      <c r="C28" s="3107" t="s">
        <v>2451</v>
      </c>
      <c r="D28" s="3108"/>
      <c r="E28" s="3109">
        <v>1</v>
      </c>
      <c r="F28" s="3106" t="s">
        <v>2452</v>
      </c>
      <c r="G28" s="3106"/>
    </row>
    <row r="29" spans="1:13" ht="19.5" customHeight="1">
      <c r="A29" s="3799"/>
      <c r="B29" s="3795"/>
      <c r="C29" s="3107" t="s">
        <v>2453</v>
      </c>
      <c r="D29" s="3108"/>
      <c r="E29" s="3109">
        <v>0.8</v>
      </c>
      <c r="F29" s="3106" t="s">
        <v>2454</v>
      </c>
      <c r="G29" s="3106"/>
    </row>
    <row r="30" spans="1:13" ht="19.5" customHeight="1">
      <c r="A30" s="3799"/>
      <c r="B30" s="3795"/>
      <c r="C30" s="3107" t="s">
        <v>2455</v>
      </c>
      <c r="D30" s="3108"/>
      <c r="E30" s="3109">
        <v>0.8</v>
      </c>
      <c r="F30" s="3106" t="s">
        <v>2456</v>
      </c>
      <c r="G30" s="3106"/>
    </row>
    <row r="31" spans="1:13" ht="19.5" customHeight="1">
      <c r="A31" s="3799"/>
      <c r="B31" s="3795"/>
      <c r="C31" s="3107" t="s">
        <v>2457</v>
      </c>
      <c r="D31" s="3108"/>
      <c r="E31" s="3109">
        <v>0.8</v>
      </c>
      <c r="F31" s="3106" t="s">
        <v>2458</v>
      </c>
      <c r="G31" s="3106"/>
    </row>
    <row r="32" spans="1:13" ht="19.5" customHeight="1">
      <c r="A32" s="3799"/>
      <c r="B32" s="3795"/>
      <c r="C32" s="3107" t="s">
        <v>2459</v>
      </c>
      <c r="D32" s="3108"/>
      <c r="E32" s="3109">
        <v>0.7</v>
      </c>
      <c r="F32" s="3106" t="s">
        <v>2460</v>
      </c>
      <c r="G32" s="3106"/>
    </row>
    <row r="33" spans="1:7" ht="19.5" customHeight="1">
      <c r="A33" s="3799"/>
      <c r="B33" s="3795"/>
      <c r="C33" s="3107" t="s">
        <v>2461</v>
      </c>
      <c r="D33" s="3108"/>
      <c r="E33" s="3109">
        <v>0.8</v>
      </c>
      <c r="F33" s="3106" t="s">
        <v>2462</v>
      </c>
      <c r="G33" s="3106"/>
    </row>
    <row r="34" spans="1:7" ht="19.5" customHeight="1">
      <c r="A34" s="3799"/>
      <c r="B34" s="3795"/>
      <c r="C34" s="3107" t="s">
        <v>2463</v>
      </c>
      <c r="D34" s="3108"/>
      <c r="E34" s="3109">
        <v>0.6</v>
      </c>
      <c r="F34" s="3106" t="s">
        <v>2464</v>
      </c>
      <c r="G34" s="3106"/>
    </row>
    <row r="35" spans="1:7" ht="19.5" customHeight="1">
      <c r="A35" s="3799"/>
      <c r="B35" s="3795"/>
      <c r="C35" s="3107" t="s">
        <v>2465</v>
      </c>
      <c r="D35" s="3108"/>
      <c r="E35" s="3109">
        <v>0.2</v>
      </c>
      <c r="F35" s="3106" t="s">
        <v>2466</v>
      </c>
      <c r="G35" s="3106"/>
    </row>
    <row r="36" spans="1:7" ht="19.5" customHeight="1">
      <c r="A36" s="3799"/>
      <c r="B36" s="3795"/>
      <c r="C36" s="3107" t="s">
        <v>2467</v>
      </c>
      <c r="D36" s="3108"/>
      <c r="E36" s="3109">
        <v>0.2</v>
      </c>
      <c r="F36" s="3106" t="s">
        <v>2468</v>
      </c>
      <c r="G36" s="3106"/>
    </row>
    <row r="37" spans="1:7" ht="19.5" customHeight="1">
      <c r="A37" s="3799"/>
      <c r="B37" s="3793" t="s">
        <v>2629</v>
      </c>
      <c r="C37" s="3107" t="s">
        <v>2469</v>
      </c>
      <c r="D37" s="3108"/>
      <c r="E37" s="3109">
        <v>0.6</v>
      </c>
      <c r="F37" s="3106" t="s">
        <v>2470</v>
      </c>
      <c r="G37" s="3106"/>
    </row>
    <row r="38" spans="1:7" ht="19.5" customHeight="1">
      <c r="A38" s="3799"/>
      <c r="B38" s="3795"/>
      <c r="C38" s="3107" t="s">
        <v>2471</v>
      </c>
      <c r="D38" s="3108"/>
      <c r="E38" s="3109">
        <v>0.6</v>
      </c>
      <c r="F38" s="3106" t="s">
        <v>2472</v>
      </c>
      <c r="G38" s="3106"/>
    </row>
    <row r="39" spans="1:7" ht="19.5" customHeight="1" thickBot="1">
      <c r="A39" s="3800"/>
      <c r="B39" s="3797"/>
      <c r="C39" s="3110" t="s">
        <v>2473</v>
      </c>
      <c r="D39" s="3111"/>
      <c r="E39" s="3112">
        <v>0.6</v>
      </c>
      <c r="F39" s="3106" t="s">
        <v>2474</v>
      </c>
      <c r="G39" s="3106"/>
    </row>
    <row r="40" spans="1:7" ht="19.5" customHeight="1" thickBot="1">
      <c r="A40" s="3113" t="s">
        <v>2606</v>
      </c>
      <c r="B40" s="3114" t="s">
        <v>2606</v>
      </c>
      <c r="C40" s="3115" t="s">
        <v>2630</v>
      </c>
      <c r="D40" s="3116"/>
      <c r="E40" s="3117">
        <v>1</v>
      </c>
      <c r="F40" s="3106" t="s">
        <v>2475</v>
      </c>
      <c r="G40" s="3106"/>
    </row>
    <row r="41" spans="1:7" ht="19.5" customHeight="1">
      <c r="A41" s="3801" t="s">
        <v>2607</v>
      </c>
      <c r="B41" s="3796" t="s">
        <v>2631</v>
      </c>
      <c r="C41" s="3103" t="s">
        <v>2476</v>
      </c>
      <c r="D41" s="3104"/>
      <c r="E41" s="3105">
        <v>1</v>
      </c>
      <c r="F41" s="3106" t="s">
        <v>2477</v>
      </c>
      <c r="G41" s="3106"/>
    </row>
    <row r="42" spans="1:7" ht="19.5" customHeight="1">
      <c r="A42" s="3802"/>
      <c r="B42" s="3795"/>
      <c r="C42" s="3107" t="s">
        <v>2478</v>
      </c>
      <c r="D42" s="3108"/>
      <c r="E42" s="3109">
        <v>1</v>
      </c>
      <c r="F42" s="3106" t="s">
        <v>2479</v>
      </c>
      <c r="G42" s="3106"/>
    </row>
    <row r="43" spans="1:7" ht="19.5" customHeight="1">
      <c r="A43" s="3802"/>
      <c r="B43" s="3794"/>
      <c r="C43" s="3107" t="s">
        <v>2480</v>
      </c>
      <c r="D43" s="3108"/>
      <c r="E43" s="3109">
        <v>1.5</v>
      </c>
      <c r="F43" s="3106" t="s">
        <v>2481</v>
      </c>
      <c r="G43" s="3106"/>
    </row>
    <row r="44" spans="1:7" ht="19.5" customHeight="1">
      <c r="A44" s="3802"/>
      <c r="B44" s="3118" t="s">
        <v>2632</v>
      </c>
      <c r="C44" s="3107" t="s">
        <v>2633</v>
      </c>
      <c r="D44" s="3108"/>
      <c r="E44" s="3109">
        <v>2</v>
      </c>
      <c r="F44" s="3106" t="s">
        <v>2482</v>
      </c>
      <c r="G44" s="3106"/>
    </row>
    <row r="45" spans="1:7" ht="19.5" customHeight="1">
      <c r="A45" s="3802"/>
      <c r="B45" s="3793" t="s">
        <v>2634</v>
      </c>
      <c r="C45" s="3107" t="s">
        <v>2483</v>
      </c>
      <c r="D45" s="3108"/>
      <c r="E45" s="3109">
        <v>1</v>
      </c>
      <c r="F45" s="3106" t="s">
        <v>2484</v>
      </c>
      <c r="G45" s="3106"/>
    </row>
    <row r="46" spans="1:7" ht="19.5" customHeight="1">
      <c r="A46" s="3802"/>
      <c r="B46" s="3795"/>
      <c r="C46" s="3107" t="s">
        <v>2485</v>
      </c>
      <c r="D46" s="3108"/>
      <c r="E46" s="3109">
        <v>1</v>
      </c>
      <c r="F46" s="3106" t="s">
        <v>2486</v>
      </c>
      <c r="G46" s="3106"/>
    </row>
    <row r="47" spans="1:7" ht="19.5" customHeight="1">
      <c r="A47" s="3802"/>
      <c r="B47" s="3795"/>
      <c r="C47" s="3107" t="s">
        <v>2487</v>
      </c>
      <c r="D47" s="3108"/>
      <c r="E47" s="3109">
        <v>1</v>
      </c>
      <c r="F47" s="3106" t="s">
        <v>2488</v>
      </c>
      <c r="G47" s="3106"/>
    </row>
    <row r="48" spans="1:7" ht="19.5" customHeight="1">
      <c r="A48" s="3802"/>
      <c r="B48" s="3795"/>
      <c r="C48" s="3107" t="s">
        <v>2489</v>
      </c>
      <c r="D48" s="3108"/>
      <c r="E48" s="3109">
        <v>1</v>
      </c>
      <c r="F48" s="3106" t="s">
        <v>2490</v>
      </c>
      <c r="G48" s="3106"/>
    </row>
    <row r="49" spans="1:7" ht="19.5" customHeight="1">
      <c r="A49" s="3802"/>
      <c r="B49" s="3795"/>
      <c r="C49" s="3107" t="s">
        <v>2491</v>
      </c>
      <c r="D49" s="3108"/>
      <c r="E49" s="3109">
        <v>1</v>
      </c>
      <c r="F49" s="3106" t="s">
        <v>2492</v>
      </c>
      <c r="G49" s="3106"/>
    </row>
    <row r="50" spans="1:7" ht="19.5" customHeight="1">
      <c r="A50" s="3802"/>
      <c r="B50" s="3795"/>
      <c r="C50" s="3107" t="s">
        <v>2493</v>
      </c>
      <c r="D50" s="3108"/>
      <c r="E50" s="3109">
        <v>1</v>
      </c>
      <c r="F50" s="3106" t="s">
        <v>2494</v>
      </c>
      <c r="G50" s="3106"/>
    </row>
    <row r="51" spans="1:7" ht="19.5" customHeight="1" thickBot="1">
      <c r="A51" s="3803"/>
      <c r="B51" s="3797"/>
      <c r="C51" s="3110" t="s">
        <v>2495</v>
      </c>
      <c r="D51" s="3111"/>
      <c r="E51" s="3112">
        <v>1</v>
      </c>
      <c r="F51" s="3106" t="s">
        <v>2496</v>
      </c>
      <c r="G51" s="3106"/>
    </row>
    <row r="52" spans="1:7" ht="19.5" customHeight="1">
      <c r="A52" s="3119"/>
      <c r="B52" s="3119"/>
      <c r="C52" s="3119"/>
      <c r="D52" s="3119"/>
      <c r="E52" s="3119"/>
      <c r="F52" s="3119"/>
      <c r="G52" s="3119"/>
    </row>
    <row r="54" spans="1:7" ht="19.5" customHeight="1">
      <c r="A54" s="3120"/>
      <c r="B54" s="3092" t="s">
        <v>2635</v>
      </c>
      <c r="C54" s="3092" t="s">
        <v>2635</v>
      </c>
      <c r="D54" s="3092" t="s">
        <v>2635</v>
      </c>
      <c r="E54" s="3095" t="s">
        <v>2635</v>
      </c>
      <c r="F54" s="3095" t="s">
        <v>2636</v>
      </c>
      <c r="G54" s="3095" t="s">
        <v>2637</v>
      </c>
    </row>
    <row r="55" spans="1:7" ht="19.5" customHeight="1">
      <c r="A55" s="3121"/>
      <c r="B55" s="3095" t="s">
        <v>2604</v>
      </c>
      <c r="C55" s="3095" t="s">
        <v>2604</v>
      </c>
      <c r="D55" s="3095" t="s">
        <v>2604</v>
      </c>
      <c r="E55" s="3092" t="s">
        <v>2605</v>
      </c>
      <c r="F55" s="3092" t="s">
        <v>2607</v>
      </c>
      <c r="G55" s="3092" t="s">
        <v>2638</v>
      </c>
    </row>
    <row r="56" spans="1:7" ht="19.5" customHeight="1">
      <c r="A56" s="3122"/>
      <c r="B56" s="3092">
        <v>1</v>
      </c>
      <c r="C56" s="3092">
        <v>2</v>
      </c>
      <c r="D56" s="3092">
        <v>3</v>
      </c>
      <c r="E56" s="3123" t="s">
        <v>2639</v>
      </c>
      <c r="F56" s="3123" t="s">
        <v>2639</v>
      </c>
      <c r="G56" s="3123" t="s">
        <v>2639</v>
      </c>
    </row>
    <row r="57" spans="1:7" ht="19.5" customHeight="1">
      <c r="A57" s="3124" t="s">
        <v>2592</v>
      </c>
      <c r="B57" s="3092">
        <v>0.7</v>
      </c>
      <c r="C57" s="3092">
        <v>0.4</v>
      </c>
      <c r="D57" s="3092">
        <v>0.3</v>
      </c>
      <c r="E57" s="3123">
        <v>0.3</v>
      </c>
      <c r="F57" s="3092">
        <v>0.3</v>
      </c>
      <c r="G57" s="3092">
        <v>0.2</v>
      </c>
    </row>
    <row r="58" spans="1:7" ht="19.5" customHeight="1">
      <c r="A58" s="3124" t="s">
        <v>2593</v>
      </c>
      <c r="B58" s="3092">
        <v>0.7</v>
      </c>
      <c r="C58" s="3092">
        <v>0.4</v>
      </c>
      <c r="D58" s="3092">
        <v>0.3</v>
      </c>
      <c r="E58" s="3092">
        <v>0.3</v>
      </c>
      <c r="F58" s="3092">
        <v>0.3</v>
      </c>
      <c r="G58" s="3092">
        <v>0.2</v>
      </c>
    </row>
    <row r="59" spans="1:7" ht="19.5" customHeight="1">
      <c r="A59" s="3124" t="s">
        <v>2594</v>
      </c>
      <c r="B59" s="3092">
        <v>0.6</v>
      </c>
      <c r="C59" s="3092">
        <v>0.3</v>
      </c>
      <c r="D59" s="3092">
        <v>0.25</v>
      </c>
      <c r="E59" s="3092">
        <v>0.25</v>
      </c>
      <c r="F59" s="3092">
        <v>0.25</v>
      </c>
      <c r="G59" s="3092">
        <v>0.15</v>
      </c>
    </row>
    <row r="60" spans="1:7" ht="19.5" customHeight="1">
      <c r="A60" s="3124" t="s">
        <v>2595</v>
      </c>
      <c r="B60" s="3092">
        <v>0.6</v>
      </c>
      <c r="C60" s="3092">
        <v>0.3</v>
      </c>
      <c r="D60" s="3092">
        <v>0.25</v>
      </c>
      <c r="E60" s="3092">
        <v>0.25</v>
      </c>
      <c r="F60" s="3092">
        <v>0.25</v>
      </c>
      <c r="G60" s="3092">
        <v>0.15</v>
      </c>
    </row>
    <row r="61" spans="1:7" ht="19.5" customHeight="1">
      <c r="A61" s="3124" t="s">
        <v>2596</v>
      </c>
      <c r="B61" s="3092">
        <v>0.6</v>
      </c>
      <c r="C61" s="3092">
        <v>0.3</v>
      </c>
      <c r="D61" s="3092">
        <v>0.25</v>
      </c>
      <c r="E61" s="3092">
        <v>0.25</v>
      </c>
      <c r="F61" s="3092">
        <v>0.25</v>
      </c>
      <c r="G61" s="3092">
        <v>0.15</v>
      </c>
    </row>
    <row r="62" spans="1:7" ht="19.5" customHeight="1">
      <c r="A62" s="3124" t="s">
        <v>2597</v>
      </c>
      <c r="B62" s="3092">
        <v>0.6</v>
      </c>
      <c r="C62" s="3092">
        <v>0.3</v>
      </c>
      <c r="D62" s="3092">
        <v>0.25</v>
      </c>
      <c r="E62" s="3092">
        <v>0.25</v>
      </c>
      <c r="F62" s="3092">
        <v>0.25</v>
      </c>
      <c r="G62" s="3092">
        <v>0.15</v>
      </c>
    </row>
    <row r="63" spans="1:7" ht="19.5" customHeight="1">
      <c r="A63" s="3124" t="s">
        <v>2598</v>
      </c>
      <c r="B63" s="3092">
        <v>0.6</v>
      </c>
      <c r="C63" s="3092">
        <v>0.3</v>
      </c>
      <c r="D63" s="3092">
        <v>0.25</v>
      </c>
      <c r="E63" s="3092">
        <v>0.25</v>
      </c>
      <c r="F63" s="3092">
        <v>0.25</v>
      </c>
      <c r="G63" s="3092">
        <v>0.15</v>
      </c>
    </row>
    <row r="64" spans="1:7" ht="19.5" customHeight="1">
      <c r="A64" s="3124" t="s">
        <v>2599</v>
      </c>
      <c r="B64" s="3092">
        <v>0.5</v>
      </c>
      <c r="C64" s="3092">
        <v>0.2</v>
      </c>
      <c r="D64" s="3092">
        <v>0.2</v>
      </c>
      <c r="E64" s="3092">
        <v>0.2</v>
      </c>
      <c r="F64" s="3092">
        <v>0.2</v>
      </c>
      <c r="G64" s="3092">
        <v>0.1</v>
      </c>
    </row>
    <row r="65" spans="1:7" ht="19.5" customHeight="1">
      <c r="A65" s="3124" t="s">
        <v>2600</v>
      </c>
      <c r="B65" s="3092">
        <v>0.5</v>
      </c>
      <c r="C65" s="3092">
        <v>0.2</v>
      </c>
      <c r="D65" s="3092">
        <v>0.2</v>
      </c>
      <c r="E65" s="3092">
        <v>0.2</v>
      </c>
      <c r="F65" s="3092">
        <v>0.2</v>
      </c>
      <c r="G65" s="3092">
        <v>0.1</v>
      </c>
    </row>
    <row r="66" spans="1:7" ht="19.5" customHeight="1">
      <c r="A66" s="3124" t="s">
        <v>2601</v>
      </c>
      <c r="B66" s="3092">
        <v>0.5</v>
      </c>
      <c r="C66" s="3092">
        <v>0.2</v>
      </c>
      <c r="D66" s="3092">
        <v>0.2</v>
      </c>
      <c r="E66" s="3092">
        <v>0.2</v>
      </c>
      <c r="F66" s="3092">
        <v>0.2</v>
      </c>
      <c r="G66" s="3092">
        <v>0.1</v>
      </c>
    </row>
    <row r="67" spans="1:7" ht="19.5" customHeight="1">
      <c r="A67" s="3124" t="s">
        <v>2602</v>
      </c>
      <c r="B67" s="3092">
        <v>0.5</v>
      </c>
      <c r="C67" s="3092">
        <v>0.2</v>
      </c>
      <c r="D67" s="3092">
        <v>0.2</v>
      </c>
      <c r="E67" s="3092">
        <v>0.2</v>
      </c>
      <c r="F67" s="3092">
        <v>0.2</v>
      </c>
      <c r="G67" s="3092">
        <v>0.1</v>
      </c>
    </row>
    <row r="68" spans="1:7" ht="19.5" customHeight="1">
      <c r="A68" s="3124" t="s">
        <v>2603</v>
      </c>
      <c r="B68" s="3092">
        <v>0.5</v>
      </c>
      <c r="C68" s="3092">
        <v>0.2</v>
      </c>
      <c r="D68" s="3092">
        <v>0.2</v>
      </c>
      <c r="E68" s="3092">
        <v>0.2</v>
      </c>
      <c r="F68" s="3092">
        <v>0.2</v>
      </c>
      <c r="G68" s="3092">
        <v>0.1</v>
      </c>
    </row>
    <row r="70" spans="1:7" ht="19.5" customHeight="1">
      <c r="A70" s="3125"/>
      <c r="B70" s="3126"/>
      <c r="C70" s="3126"/>
      <c r="D70" s="3126" t="s">
        <v>2640</v>
      </c>
      <c r="E70" s="3126"/>
      <c r="F70" s="3126"/>
    </row>
    <row r="71" spans="1:7" ht="19.5" customHeight="1">
      <c r="A71" s="3118" t="s">
        <v>2641</v>
      </c>
      <c r="B71" s="3118" t="s">
        <v>2642</v>
      </c>
      <c r="C71" s="3118" t="s">
        <v>2643</v>
      </c>
      <c r="D71" s="3118" t="s">
        <v>2644</v>
      </c>
      <c r="E71" s="3118" t="s">
        <v>2645</v>
      </c>
      <c r="F71" s="3118" t="s">
        <v>2646</v>
      </c>
    </row>
    <row r="72" spans="1:7" ht="14.4">
      <c r="A72" s="3118"/>
      <c r="B72" s="3118"/>
      <c r="C72" s="3118" t="s">
        <v>2647</v>
      </c>
      <c r="D72" s="3118"/>
      <c r="E72" s="3118" t="s">
        <v>2618</v>
      </c>
      <c r="F72" s="3118" t="s">
        <v>2618</v>
      </c>
    </row>
    <row r="73" spans="1:7" ht="14.4">
      <c r="A73" s="3118">
        <v>1</v>
      </c>
      <c r="B73" s="3793" t="s">
        <v>2648</v>
      </c>
      <c r="C73" s="3092" t="s">
        <v>2649</v>
      </c>
      <c r="D73" s="3092" t="s">
        <v>2650</v>
      </c>
      <c r="E73" s="3118">
        <v>0.2</v>
      </c>
      <c r="F73" s="3118">
        <v>25</v>
      </c>
    </row>
    <row r="74" spans="1:7" ht="24">
      <c r="A74" s="3118">
        <v>2</v>
      </c>
      <c r="B74" s="3795"/>
      <c r="C74" s="3092" t="s">
        <v>2651</v>
      </c>
      <c r="D74" s="3092" t="s">
        <v>2652</v>
      </c>
      <c r="E74" s="3118">
        <v>0.2</v>
      </c>
      <c r="F74" s="3118">
        <v>25</v>
      </c>
    </row>
    <row r="75" spans="1:7" ht="24">
      <c r="A75" s="3118">
        <v>3</v>
      </c>
      <c r="B75" s="3795"/>
      <c r="C75" s="3092" t="s">
        <v>2653</v>
      </c>
      <c r="D75" s="3092" t="s">
        <v>2654</v>
      </c>
      <c r="E75" s="3118">
        <v>0.2</v>
      </c>
      <c r="F75" s="3118">
        <v>25</v>
      </c>
    </row>
    <row r="76" spans="1:7" ht="14.4">
      <c r="A76" s="3118">
        <v>4</v>
      </c>
      <c r="B76" s="3795"/>
      <c r="C76" s="3092" t="s">
        <v>2655</v>
      </c>
      <c r="D76" s="3092" t="s">
        <v>2656</v>
      </c>
      <c r="E76" s="3118">
        <v>0.15</v>
      </c>
      <c r="F76" s="3118">
        <v>20</v>
      </c>
    </row>
    <row r="77" spans="1:7" ht="24">
      <c r="A77" s="3118">
        <v>5</v>
      </c>
      <c r="B77" s="3795"/>
      <c r="C77" s="3092" t="s">
        <v>2657</v>
      </c>
      <c r="D77" s="3092" t="s">
        <v>2658</v>
      </c>
      <c r="E77" s="3118">
        <v>0.15</v>
      </c>
      <c r="F77" s="3118">
        <v>20</v>
      </c>
    </row>
    <row r="78" spans="1:7" ht="24">
      <c r="A78" s="3118">
        <v>6</v>
      </c>
      <c r="B78" s="3795"/>
      <c r="C78" s="3092" t="s">
        <v>2659</v>
      </c>
      <c r="D78" s="3092" t="s">
        <v>2660</v>
      </c>
      <c r="E78" s="3118">
        <v>0.15</v>
      </c>
      <c r="F78" s="3118">
        <v>20</v>
      </c>
    </row>
    <row r="79" spans="1:7" ht="24">
      <c r="A79" s="3118">
        <v>7</v>
      </c>
      <c r="B79" s="3795"/>
      <c r="C79" s="3092" t="s">
        <v>2661</v>
      </c>
      <c r="D79" s="3092" t="s">
        <v>2662</v>
      </c>
      <c r="E79" s="3118">
        <v>0.15</v>
      </c>
      <c r="F79" s="3118">
        <v>20</v>
      </c>
    </row>
    <row r="80" spans="1:7" ht="24">
      <c r="A80" s="3118">
        <v>8</v>
      </c>
      <c r="B80" s="3795"/>
      <c r="C80" s="3092" t="s">
        <v>2663</v>
      </c>
      <c r="D80" s="3092" t="s">
        <v>2664</v>
      </c>
      <c r="E80" s="3118">
        <v>0.1</v>
      </c>
      <c r="F80" s="3118">
        <v>15</v>
      </c>
    </row>
    <row r="81" spans="1:6" ht="24">
      <c r="A81" s="3118">
        <v>9</v>
      </c>
      <c r="B81" s="3795"/>
      <c r="C81" s="3092" t="s">
        <v>2665</v>
      </c>
      <c r="D81" s="3092" t="s">
        <v>2666</v>
      </c>
      <c r="E81" s="3118">
        <v>0.1</v>
      </c>
      <c r="F81" s="3118">
        <v>15</v>
      </c>
    </row>
    <row r="82" spans="1:6" ht="24">
      <c r="A82" s="3118">
        <v>10</v>
      </c>
      <c r="B82" s="3795"/>
      <c r="C82" s="3092" t="s">
        <v>2667</v>
      </c>
      <c r="D82" s="3092" t="s">
        <v>2668</v>
      </c>
      <c r="E82" s="3118">
        <v>0.1</v>
      </c>
      <c r="F82" s="3118">
        <v>15</v>
      </c>
    </row>
    <row r="83" spans="1:6" ht="24">
      <c r="A83" s="3118">
        <v>11</v>
      </c>
      <c r="B83" s="3795"/>
      <c r="C83" s="3092" t="s">
        <v>2669</v>
      </c>
      <c r="D83" s="3092" t="s">
        <v>2670</v>
      </c>
      <c r="E83" s="3118">
        <v>0.1</v>
      </c>
      <c r="F83" s="3118">
        <v>15</v>
      </c>
    </row>
    <row r="84" spans="1:6" ht="24">
      <c r="A84" s="3118">
        <v>12</v>
      </c>
      <c r="B84" s="3795"/>
      <c r="C84" s="3092" t="s">
        <v>2671</v>
      </c>
      <c r="D84" s="3092" t="s">
        <v>2672</v>
      </c>
      <c r="E84" s="3118">
        <v>0.1</v>
      </c>
      <c r="F84" s="3118">
        <v>15</v>
      </c>
    </row>
    <row r="85" spans="1:6" ht="24">
      <c r="A85" s="3118">
        <v>13</v>
      </c>
      <c r="B85" s="3795"/>
      <c r="C85" s="3092" t="s">
        <v>2673</v>
      </c>
      <c r="D85" s="3092" t="s">
        <v>2674</v>
      </c>
      <c r="E85" s="3118">
        <v>0.1</v>
      </c>
      <c r="F85" s="3118">
        <v>15</v>
      </c>
    </row>
    <row r="86" spans="1:6" ht="24">
      <c r="A86" s="3118">
        <v>14</v>
      </c>
      <c r="B86" s="3795"/>
      <c r="C86" s="3092" t="s">
        <v>2675</v>
      </c>
      <c r="D86" s="3092" t="s">
        <v>2676</v>
      </c>
      <c r="E86" s="3118">
        <v>0.1</v>
      </c>
      <c r="F86" s="3118">
        <v>15</v>
      </c>
    </row>
    <row r="87" spans="1:6" ht="24">
      <c r="A87" s="3118">
        <v>15</v>
      </c>
      <c r="B87" s="3795"/>
      <c r="C87" s="3092" t="s">
        <v>2677</v>
      </c>
      <c r="D87" s="3092" t="s">
        <v>2678</v>
      </c>
      <c r="E87" s="3118">
        <v>0.1</v>
      </c>
      <c r="F87" s="3118">
        <v>15</v>
      </c>
    </row>
    <row r="88" spans="1:6" ht="24">
      <c r="A88" s="3118">
        <v>16</v>
      </c>
      <c r="B88" s="3795"/>
      <c r="C88" s="3092" t="s">
        <v>2679</v>
      </c>
      <c r="D88" s="3092" t="s">
        <v>2680</v>
      </c>
      <c r="E88" s="3118">
        <v>0.1</v>
      </c>
      <c r="F88" s="3118">
        <v>15</v>
      </c>
    </row>
    <row r="89" spans="1:6" ht="24">
      <c r="A89" s="3118">
        <v>17</v>
      </c>
      <c r="B89" s="3794"/>
      <c r="C89" s="3092" t="s">
        <v>2681</v>
      </c>
      <c r="D89" s="3092" t="s">
        <v>2682</v>
      </c>
      <c r="E89" s="3118">
        <v>0.1</v>
      </c>
      <c r="F89" s="3118">
        <v>15</v>
      </c>
    </row>
    <row r="90" spans="1:6" ht="14.4">
      <c r="A90" s="3118">
        <v>18</v>
      </c>
      <c r="B90" s="3793" t="s">
        <v>2683</v>
      </c>
      <c r="C90" s="3092" t="s">
        <v>2684</v>
      </c>
      <c r="D90" s="3092" t="s">
        <v>2685</v>
      </c>
      <c r="E90" s="3118">
        <v>0.2</v>
      </c>
      <c r="F90" s="3118">
        <v>25</v>
      </c>
    </row>
    <row r="91" spans="1:6" ht="24">
      <c r="A91" s="3118">
        <v>19</v>
      </c>
      <c r="B91" s="3795"/>
      <c r="C91" s="3092" t="s">
        <v>2686</v>
      </c>
      <c r="D91" s="3092" t="s">
        <v>2687</v>
      </c>
      <c r="E91" s="3118">
        <v>0.2</v>
      </c>
      <c r="F91" s="3118">
        <v>25</v>
      </c>
    </row>
    <row r="92" spans="1:6" ht="14.4">
      <c r="A92" s="3118">
        <v>20</v>
      </c>
      <c r="B92" s="3795"/>
      <c r="C92" s="3092" t="s">
        <v>2688</v>
      </c>
      <c r="D92" s="3092" t="s">
        <v>2689</v>
      </c>
      <c r="E92" s="3118">
        <v>0.15</v>
      </c>
      <c r="F92" s="3118">
        <v>20</v>
      </c>
    </row>
    <row r="93" spans="1:6" ht="24">
      <c r="A93" s="3118">
        <v>21</v>
      </c>
      <c r="B93" s="3795"/>
      <c r="C93" s="3092" t="s">
        <v>2690</v>
      </c>
      <c r="D93" s="3092" t="s">
        <v>2691</v>
      </c>
      <c r="E93" s="3118">
        <v>0.15</v>
      </c>
      <c r="F93" s="3118">
        <v>20</v>
      </c>
    </row>
    <row r="94" spans="1:6" ht="24">
      <c r="A94" s="3118">
        <v>22</v>
      </c>
      <c r="B94" s="3795"/>
      <c r="C94" s="3092" t="s">
        <v>2692</v>
      </c>
      <c r="D94" s="3092" t="s">
        <v>2693</v>
      </c>
      <c r="E94" s="3118">
        <v>0.15</v>
      </c>
      <c r="F94" s="3118">
        <v>20</v>
      </c>
    </row>
    <row r="95" spans="1:6" ht="36">
      <c r="A95" s="3118">
        <v>23</v>
      </c>
      <c r="B95" s="3795"/>
      <c r="C95" s="3092" t="s">
        <v>2694</v>
      </c>
      <c r="D95" s="3092" t="s">
        <v>2695</v>
      </c>
      <c r="E95" s="3118">
        <v>0.15</v>
      </c>
      <c r="F95" s="3118">
        <v>20</v>
      </c>
    </row>
    <row r="96" spans="1:6" ht="24">
      <c r="A96" s="3118">
        <v>24</v>
      </c>
      <c r="B96" s="3795"/>
      <c r="C96" s="3092" t="s">
        <v>2696</v>
      </c>
      <c r="D96" s="3092" t="s">
        <v>2697</v>
      </c>
      <c r="E96" s="3118">
        <v>0.1</v>
      </c>
      <c r="F96" s="3118">
        <v>15</v>
      </c>
    </row>
    <row r="97" spans="1:6" ht="24">
      <c r="A97" s="3118">
        <v>25</v>
      </c>
      <c r="B97" s="3795"/>
      <c r="C97" s="3092" t="s">
        <v>2698</v>
      </c>
      <c r="D97" s="3092" t="s">
        <v>2699</v>
      </c>
      <c r="E97" s="3118">
        <v>0.1</v>
      </c>
      <c r="F97" s="3118">
        <v>15</v>
      </c>
    </row>
    <row r="98" spans="1:6" ht="24">
      <c r="A98" s="3118">
        <v>26</v>
      </c>
      <c r="B98" s="3795"/>
      <c r="C98" s="3092" t="s">
        <v>2700</v>
      </c>
      <c r="D98" s="3092" t="s">
        <v>2701</v>
      </c>
      <c r="E98" s="3118">
        <v>0.1</v>
      </c>
      <c r="F98" s="3118">
        <v>15</v>
      </c>
    </row>
    <row r="99" spans="1:6" ht="24">
      <c r="A99" s="3118">
        <v>27</v>
      </c>
      <c r="B99" s="3795"/>
      <c r="C99" s="3092" t="s">
        <v>2702</v>
      </c>
      <c r="D99" s="3092" t="s">
        <v>2703</v>
      </c>
      <c r="E99" s="3118">
        <v>0.1</v>
      </c>
      <c r="F99" s="3118">
        <v>15</v>
      </c>
    </row>
    <row r="100" spans="1:6" ht="24">
      <c r="A100" s="3118">
        <v>28</v>
      </c>
      <c r="B100" s="3795"/>
      <c r="C100" s="3092" t="s">
        <v>2704</v>
      </c>
      <c r="D100" s="3092" t="s">
        <v>2705</v>
      </c>
      <c r="E100" s="3118">
        <v>0.1</v>
      </c>
      <c r="F100" s="3118">
        <v>15</v>
      </c>
    </row>
    <row r="101" spans="1:6" ht="24">
      <c r="A101" s="3118">
        <v>29</v>
      </c>
      <c r="B101" s="3795"/>
      <c r="C101" s="3092" t="s">
        <v>2706</v>
      </c>
      <c r="D101" s="3092" t="s">
        <v>2707</v>
      </c>
      <c r="E101" s="3118">
        <v>0.1</v>
      </c>
      <c r="F101" s="3118">
        <v>15</v>
      </c>
    </row>
    <row r="102" spans="1:6" ht="24">
      <c r="A102" s="3118">
        <v>30</v>
      </c>
      <c r="B102" s="3795"/>
      <c r="C102" s="3092" t="s">
        <v>2708</v>
      </c>
      <c r="D102" s="3092" t="s">
        <v>2709</v>
      </c>
      <c r="E102" s="3118">
        <v>0.1</v>
      </c>
      <c r="F102" s="3118">
        <v>15</v>
      </c>
    </row>
    <row r="103" spans="1:6" ht="24">
      <c r="A103" s="3118">
        <v>31</v>
      </c>
      <c r="B103" s="3795"/>
      <c r="C103" s="3092" t="s">
        <v>2710</v>
      </c>
      <c r="D103" s="3092" t="s">
        <v>2711</v>
      </c>
      <c r="E103" s="3118">
        <v>0.1</v>
      </c>
      <c r="F103" s="3118">
        <v>15</v>
      </c>
    </row>
    <row r="104" spans="1:6" ht="24">
      <c r="A104" s="3118">
        <v>32</v>
      </c>
      <c r="B104" s="3795"/>
      <c r="C104" s="3092" t="s">
        <v>2712</v>
      </c>
      <c r="D104" s="3092" t="s">
        <v>2713</v>
      </c>
      <c r="E104" s="3118">
        <v>0.1</v>
      </c>
      <c r="F104" s="3118">
        <v>15</v>
      </c>
    </row>
    <row r="105" spans="1:6" ht="24">
      <c r="A105" s="3118">
        <v>33</v>
      </c>
      <c r="B105" s="3795"/>
      <c r="C105" s="3092" t="s">
        <v>2714</v>
      </c>
      <c r="D105" s="3092" t="s">
        <v>2715</v>
      </c>
      <c r="E105" s="3118">
        <v>0.1</v>
      </c>
      <c r="F105" s="3118">
        <v>15</v>
      </c>
    </row>
    <row r="106" spans="1:6" ht="24">
      <c r="A106" s="3118">
        <v>34</v>
      </c>
      <c r="B106" s="3794"/>
      <c r="C106" s="3092" t="s">
        <v>2716</v>
      </c>
      <c r="D106" s="3092" t="s">
        <v>2717</v>
      </c>
      <c r="E106" s="3118">
        <v>0.1</v>
      </c>
      <c r="F106" s="3118">
        <v>15</v>
      </c>
    </row>
    <row r="107" spans="1:6" ht="36">
      <c r="A107" s="3118">
        <v>35</v>
      </c>
      <c r="B107" s="3793" t="s">
        <v>2718</v>
      </c>
      <c r="C107" s="3118" t="s">
        <v>2719</v>
      </c>
      <c r="D107" s="3092" t="s">
        <v>2720</v>
      </c>
      <c r="E107" s="3118">
        <v>0.15</v>
      </c>
      <c r="F107" s="3118">
        <v>20</v>
      </c>
    </row>
    <row r="108" spans="1:6" ht="24">
      <c r="A108" s="3118">
        <v>36</v>
      </c>
      <c r="B108" s="3795"/>
      <c r="C108" s="3118" t="s">
        <v>2721</v>
      </c>
      <c r="D108" s="3092" t="s">
        <v>2722</v>
      </c>
      <c r="E108" s="3118">
        <v>0.15</v>
      </c>
      <c r="F108" s="3118">
        <v>20</v>
      </c>
    </row>
    <row r="109" spans="1:6" ht="24">
      <c r="A109" s="3118">
        <v>37</v>
      </c>
      <c r="B109" s="3795"/>
      <c r="C109" s="3118" t="s">
        <v>2723</v>
      </c>
      <c r="D109" s="3092" t="s">
        <v>2724</v>
      </c>
      <c r="E109" s="3118">
        <v>0.15</v>
      </c>
      <c r="F109" s="3118">
        <v>20</v>
      </c>
    </row>
    <row r="110" spans="1:6" ht="24">
      <c r="A110" s="3118">
        <v>38</v>
      </c>
      <c r="B110" s="3795"/>
      <c r="C110" s="3118" t="s">
        <v>2725</v>
      </c>
      <c r="D110" s="3092" t="s">
        <v>2726</v>
      </c>
      <c r="E110" s="3118">
        <v>0.1</v>
      </c>
      <c r="F110" s="3118">
        <v>15</v>
      </c>
    </row>
    <row r="111" spans="1:6" ht="24">
      <c r="A111" s="3118">
        <v>39</v>
      </c>
      <c r="B111" s="3795"/>
      <c r="C111" s="3118" t="s">
        <v>2727</v>
      </c>
      <c r="D111" s="3092" t="s">
        <v>2728</v>
      </c>
      <c r="E111" s="3118">
        <v>0.1</v>
      </c>
      <c r="F111" s="3118">
        <v>15</v>
      </c>
    </row>
    <row r="112" spans="1:6" ht="24">
      <c r="A112" s="3118">
        <v>40</v>
      </c>
      <c r="B112" s="3794"/>
      <c r="C112" s="3118" t="s">
        <v>2729</v>
      </c>
      <c r="D112" s="3092" t="s">
        <v>2730</v>
      </c>
      <c r="E112" s="3118">
        <v>0.1</v>
      </c>
      <c r="F112" s="3118">
        <v>15</v>
      </c>
    </row>
    <row r="113" spans="1:6" ht="24">
      <c r="A113" s="3118">
        <v>41</v>
      </c>
      <c r="B113" s="3792" t="s">
        <v>2731</v>
      </c>
      <c r="C113" s="3118" t="s">
        <v>2732</v>
      </c>
      <c r="D113" s="3092" t="s">
        <v>2733</v>
      </c>
      <c r="E113" s="3118">
        <v>0.1</v>
      </c>
      <c r="F113" s="3118">
        <v>15</v>
      </c>
    </row>
    <row r="114" spans="1:6" ht="24">
      <c r="A114" s="3118">
        <v>42</v>
      </c>
      <c r="B114" s="3792"/>
      <c r="C114" s="3118" t="s">
        <v>2734</v>
      </c>
      <c r="D114" s="3092" t="s">
        <v>2735</v>
      </c>
      <c r="E114" s="3118">
        <v>0.1</v>
      </c>
      <c r="F114" s="3118">
        <v>15</v>
      </c>
    </row>
    <row r="115" spans="1:6" ht="24">
      <c r="A115" s="3118">
        <v>43</v>
      </c>
      <c r="B115" s="3792"/>
      <c r="C115" s="3118" t="s">
        <v>2736</v>
      </c>
      <c r="D115" s="3092" t="s">
        <v>2737</v>
      </c>
      <c r="E115" s="3118">
        <v>0.1</v>
      </c>
      <c r="F115" s="3118">
        <v>15</v>
      </c>
    </row>
    <row r="116" spans="1:6" ht="24">
      <c r="A116" s="3118">
        <v>44</v>
      </c>
      <c r="B116" s="3793" t="s">
        <v>2738</v>
      </c>
      <c r="C116" s="3118" t="s">
        <v>2739</v>
      </c>
      <c r="D116" s="3092" t="s">
        <v>2740</v>
      </c>
      <c r="E116" s="3118">
        <v>0.1</v>
      </c>
      <c r="F116" s="3118">
        <v>15</v>
      </c>
    </row>
    <row r="117" spans="1:6" ht="24">
      <c r="A117" s="3118">
        <v>45</v>
      </c>
      <c r="B117" s="3794"/>
      <c r="C117" s="3092" t="s">
        <v>2741</v>
      </c>
      <c r="D117" s="3092" t="s">
        <v>2742</v>
      </c>
      <c r="E117" s="3118">
        <v>0.1</v>
      </c>
      <c r="F117" s="3118">
        <v>15</v>
      </c>
    </row>
    <row r="118" spans="1:6" ht="24">
      <c r="A118" s="3118">
        <v>46</v>
      </c>
      <c r="B118" s="3793" t="s">
        <v>2743</v>
      </c>
      <c r="C118" s="3118" t="s">
        <v>2744</v>
      </c>
      <c r="D118" s="3092" t="s">
        <v>2745</v>
      </c>
      <c r="E118" s="3118">
        <v>0.1</v>
      </c>
      <c r="F118" s="3118">
        <v>15</v>
      </c>
    </row>
    <row r="119" spans="1:6" ht="24">
      <c r="A119" s="3118">
        <v>47</v>
      </c>
      <c r="B119" s="3794"/>
      <c r="C119" s="3118" t="s">
        <v>2746</v>
      </c>
      <c r="D119" s="3092" t="s">
        <v>2747</v>
      </c>
      <c r="E119" s="3118">
        <v>0.1</v>
      </c>
      <c r="F119" s="3118">
        <v>15</v>
      </c>
    </row>
    <row r="120" spans="1:6" ht="24">
      <c r="A120" s="3118">
        <v>48</v>
      </c>
      <c r="B120" s="3793" t="s">
        <v>2748</v>
      </c>
      <c r="C120" s="3118" t="s">
        <v>2749</v>
      </c>
      <c r="D120" s="3092" t="s">
        <v>2750</v>
      </c>
      <c r="E120" s="3118">
        <v>0.1</v>
      </c>
      <c r="F120" s="3118">
        <v>15</v>
      </c>
    </row>
    <row r="121" spans="1:6" ht="24">
      <c r="A121" s="3118">
        <v>49</v>
      </c>
      <c r="B121" s="3794"/>
      <c r="C121" s="3118" t="s">
        <v>2751</v>
      </c>
      <c r="D121" s="3092" t="s">
        <v>2752</v>
      </c>
      <c r="E121" s="3118">
        <v>0.1</v>
      </c>
      <c r="F121" s="3118">
        <v>15</v>
      </c>
    </row>
    <row r="122" spans="1:6" ht="24">
      <c r="A122" s="3118">
        <v>50</v>
      </c>
      <c r="B122" s="3792" t="s">
        <v>2753</v>
      </c>
      <c r="C122" s="3118" t="s">
        <v>2754</v>
      </c>
      <c r="D122" s="3092" t="s">
        <v>2755</v>
      </c>
      <c r="E122" s="3118">
        <v>0.1</v>
      </c>
      <c r="F122" s="3118">
        <v>15</v>
      </c>
    </row>
    <row r="123" spans="1:6" ht="24">
      <c r="A123" s="3118">
        <v>51</v>
      </c>
      <c r="B123" s="3792"/>
      <c r="C123" s="3118" t="s">
        <v>2756</v>
      </c>
      <c r="D123" s="3092" t="s">
        <v>2757</v>
      </c>
      <c r="E123" s="3118">
        <v>0.1</v>
      </c>
      <c r="F123" s="3118">
        <v>15</v>
      </c>
    </row>
    <row r="124" spans="1:6" ht="24">
      <c r="A124" s="3118">
        <v>52</v>
      </c>
      <c r="B124" s="3792" t="s">
        <v>2758</v>
      </c>
      <c r="C124" s="3118" t="s">
        <v>2759</v>
      </c>
      <c r="D124" s="3092" t="s">
        <v>2760</v>
      </c>
      <c r="E124" s="3118">
        <v>0.1</v>
      </c>
      <c r="F124" s="3118">
        <v>15</v>
      </c>
    </row>
    <row r="125" spans="1:6" ht="24">
      <c r="A125" s="3118">
        <v>53</v>
      </c>
      <c r="B125" s="3792"/>
      <c r="C125" s="3118" t="s">
        <v>2761</v>
      </c>
      <c r="D125" s="3092" t="s">
        <v>2762</v>
      </c>
      <c r="E125" s="3118">
        <v>0.1</v>
      </c>
      <c r="F125" s="3118">
        <v>15</v>
      </c>
    </row>
    <row r="126" spans="1:6" ht="24">
      <c r="A126" s="3118">
        <v>54</v>
      </c>
      <c r="B126" s="3118" t="s">
        <v>2763</v>
      </c>
      <c r="C126" s="3118" t="s">
        <v>2764</v>
      </c>
      <c r="D126" s="3092" t="s">
        <v>2765</v>
      </c>
      <c r="E126" s="3118">
        <v>0.1</v>
      </c>
      <c r="F126" s="3118">
        <v>15</v>
      </c>
    </row>
    <row r="127" spans="1:6" ht="24">
      <c r="A127" s="3118">
        <v>55</v>
      </c>
      <c r="B127" s="3792" t="s">
        <v>2766</v>
      </c>
      <c r="C127" s="3118" t="s">
        <v>2767</v>
      </c>
      <c r="D127" s="3092" t="s">
        <v>2768</v>
      </c>
      <c r="E127" s="3118">
        <v>0.1</v>
      </c>
      <c r="F127" s="3118">
        <v>15</v>
      </c>
    </row>
    <row r="128" spans="1:6" ht="24">
      <c r="A128" s="3118">
        <v>56</v>
      </c>
      <c r="B128" s="3792"/>
      <c r="C128" s="3118" t="s">
        <v>2769</v>
      </c>
      <c r="D128" s="3092" t="s">
        <v>2770</v>
      </c>
      <c r="E128" s="3118">
        <v>0.1</v>
      </c>
      <c r="F128" s="3118">
        <v>15</v>
      </c>
    </row>
    <row r="129" spans="1:6" ht="24">
      <c r="A129" s="3118">
        <v>57</v>
      </c>
      <c r="B129" s="3792"/>
      <c r="C129" s="3118" t="s">
        <v>2771</v>
      </c>
      <c r="D129" s="3092" t="s">
        <v>2772</v>
      </c>
      <c r="E129" s="3118">
        <v>0.1</v>
      </c>
      <c r="F129" s="3118">
        <v>15</v>
      </c>
    </row>
    <row r="130" spans="1:6" ht="24">
      <c r="A130" s="3118">
        <v>58</v>
      </c>
      <c r="B130" s="3792" t="s">
        <v>2773</v>
      </c>
      <c r="C130" s="3118" t="s">
        <v>2774</v>
      </c>
      <c r="D130" s="3092" t="s">
        <v>2775</v>
      </c>
      <c r="E130" s="3118">
        <v>0.1</v>
      </c>
      <c r="F130" s="3118">
        <v>15</v>
      </c>
    </row>
    <row r="131" spans="1:6" ht="24">
      <c r="A131" s="3118">
        <v>59</v>
      </c>
      <c r="B131" s="3792"/>
      <c r="C131" s="3118" t="s">
        <v>2776</v>
      </c>
      <c r="D131" s="3092" t="s">
        <v>2777</v>
      </c>
      <c r="E131" s="3118">
        <v>0.1</v>
      </c>
      <c r="F131" s="3118">
        <v>15</v>
      </c>
    </row>
    <row r="132" spans="1:6" ht="24">
      <c r="A132" s="3118">
        <v>60</v>
      </c>
      <c r="B132" s="3793" t="s">
        <v>2778</v>
      </c>
      <c r="C132" s="3118" t="s">
        <v>2779</v>
      </c>
      <c r="D132" s="3092" t="s">
        <v>2780</v>
      </c>
      <c r="E132" s="3118">
        <v>0.1</v>
      </c>
      <c r="F132" s="3118">
        <v>15</v>
      </c>
    </row>
    <row r="133" spans="1:6" ht="24">
      <c r="A133" s="3118">
        <v>61</v>
      </c>
      <c r="B133" s="3794"/>
      <c r="C133" s="3118" t="s">
        <v>2781</v>
      </c>
      <c r="D133" s="3092" t="s">
        <v>2782</v>
      </c>
      <c r="E133" s="3118">
        <v>0.1</v>
      </c>
      <c r="F133" s="3118">
        <v>15</v>
      </c>
    </row>
    <row r="134" spans="1:6" ht="24">
      <c r="A134" s="3118">
        <v>62</v>
      </c>
      <c r="B134" s="3118" t="s">
        <v>2783</v>
      </c>
      <c r="C134" s="3118" t="s">
        <v>2784</v>
      </c>
      <c r="D134" s="3092" t="s">
        <v>2785</v>
      </c>
      <c r="E134" s="3118">
        <v>0.1</v>
      </c>
      <c r="F134" s="3118">
        <v>15</v>
      </c>
    </row>
    <row r="135" spans="1:6" ht="24">
      <c r="A135" s="3118">
        <v>63</v>
      </c>
      <c r="B135" s="3792" t="s">
        <v>2786</v>
      </c>
      <c r="C135" s="3118" t="s">
        <v>2787</v>
      </c>
      <c r="D135" s="3092" t="s">
        <v>2788</v>
      </c>
      <c r="E135" s="3118">
        <v>0.1</v>
      </c>
      <c r="F135" s="3118">
        <v>15</v>
      </c>
    </row>
    <row r="136" spans="1:6" ht="24">
      <c r="A136" s="3118">
        <v>64</v>
      </c>
      <c r="B136" s="3792"/>
      <c r="C136" s="3118" t="s">
        <v>2789</v>
      </c>
      <c r="D136" s="3092" t="s">
        <v>2790</v>
      </c>
      <c r="E136" s="3118">
        <v>0.1</v>
      </c>
      <c r="F136" s="3118">
        <v>15</v>
      </c>
    </row>
    <row r="137" spans="1:6" ht="24">
      <c r="A137" s="3118">
        <v>65</v>
      </c>
      <c r="B137" s="3118" t="s">
        <v>2791</v>
      </c>
      <c r="C137" s="3118" t="s">
        <v>2792</v>
      </c>
      <c r="D137" s="3092" t="s">
        <v>2793</v>
      </c>
      <c r="E137" s="3118">
        <v>0.1</v>
      </c>
      <c r="F137" s="3118">
        <v>15</v>
      </c>
    </row>
    <row r="138" spans="1:6" ht="14.4">
      <c r="A138" s="3118"/>
      <c r="B138" s="3118"/>
      <c r="C138" s="3118"/>
      <c r="D138" s="3118"/>
      <c r="E138" s="3118" t="s">
        <v>2794</v>
      </c>
      <c r="F138" s="3118"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2795</v>
      </c>
      <c r="B1" s="3127"/>
      <c r="C1" s="3127"/>
      <c r="D1" s="3127"/>
      <c r="E1" s="3127"/>
      <c r="F1" s="3127"/>
      <c r="G1" s="3127"/>
      <c r="H1" s="3127"/>
      <c r="I1" s="3127"/>
      <c r="J1" s="3127"/>
      <c r="K1" s="3127"/>
      <c r="L1" s="3127"/>
      <c r="M1" s="3127"/>
      <c r="N1" s="749"/>
    </row>
    <row r="2" spans="1:20">
      <c r="A2" s="3128" t="s">
        <v>2796</v>
      </c>
      <c r="B2" s="3129" t="s">
        <v>2592</v>
      </c>
      <c r="C2" s="3129" t="s">
        <v>2593</v>
      </c>
      <c r="D2" s="3129" t="s">
        <v>2594</v>
      </c>
      <c r="E2" s="3129" t="s">
        <v>2595</v>
      </c>
      <c r="F2" s="3129" t="s">
        <v>2596</v>
      </c>
      <c r="G2" s="3129" t="s">
        <v>2597</v>
      </c>
      <c r="H2" s="3130" t="s">
        <v>2598</v>
      </c>
      <c r="I2" s="3130" t="s">
        <v>2599</v>
      </c>
      <c r="J2" s="3131" t="s">
        <v>2600</v>
      </c>
      <c r="K2" s="3131" t="s">
        <v>2601</v>
      </c>
      <c r="L2" s="3131" t="s">
        <v>2602</v>
      </c>
      <c r="M2" s="3132" t="s">
        <v>2603</v>
      </c>
      <c r="Q2" s="3142" t="s">
        <v>2801</v>
      </c>
      <c r="R2" s="3142" t="s">
        <v>2802</v>
      </c>
      <c r="S2" s="3142" t="s">
        <v>2803</v>
      </c>
      <c r="T2" s="3142" t="s">
        <v>2804</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2797</v>
      </c>
      <c r="B93" s="3127"/>
      <c r="C93" s="3127"/>
      <c r="D93" s="3127"/>
      <c r="E93" s="3127"/>
      <c r="F93" s="3127"/>
      <c r="G93" s="3127"/>
      <c r="H93" s="3127"/>
      <c r="I93" s="3127"/>
      <c r="J93" s="3127"/>
      <c r="K93" s="3127"/>
      <c r="L93" s="3127"/>
      <c r="M93" s="3127"/>
    </row>
    <row r="94" spans="1:20">
      <c r="A94" s="3128" t="s">
        <v>2796</v>
      </c>
      <c r="B94" s="3129" t="s">
        <v>2592</v>
      </c>
      <c r="C94" s="3129" t="s">
        <v>2593</v>
      </c>
      <c r="D94" s="3129" t="s">
        <v>2594</v>
      </c>
      <c r="E94" s="3129" t="s">
        <v>2595</v>
      </c>
      <c r="F94" s="3129" t="s">
        <v>2596</v>
      </c>
      <c r="G94" s="3129" t="s">
        <v>2597</v>
      </c>
      <c r="H94" s="3130" t="s">
        <v>2598</v>
      </c>
      <c r="I94" s="3130" t="s">
        <v>2599</v>
      </c>
      <c r="J94" s="3131" t="s">
        <v>2600</v>
      </c>
      <c r="K94" s="3131" t="s">
        <v>2601</v>
      </c>
      <c r="L94" s="3131" t="s">
        <v>2602</v>
      </c>
      <c r="M94" s="3132" t="s">
        <v>2603</v>
      </c>
      <c r="N94" s="750">
        <f>SUMPRODUCT((A95:A184=ROUNDDOWN(基准地价修正!G3,1))*(B94:M94=基准地价修正!G2)*(B95:M184))</f>
        <v>1.0985</v>
      </c>
      <c r="Q94" s="3142" t="s">
        <v>2801</v>
      </c>
      <c r="R94" s="3142" t="s">
        <v>2802</v>
      </c>
      <c r="S94" s="3142" t="s">
        <v>2803</v>
      </c>
      <c r="T94" s="3142" t="s">
        <v>2804</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2798</v>
      </c>
      <c r="B185" s="3127"/>
      <c r="C185" s="3127"/>
      <c r="D185" s="3127"/>
      <c r="E185" s="3127"/>
      <c r="F185" s="3127"/>
      <c r="G185" s="3127"/>
      <c r="H185" s="3127"/>
      <c r="I185" s="3127"/>
      <c r="J185" s="3127"/>
      <c r="K185" s="3127"/>
      <c r="L185" s="3127"/>
      <c r="M185" s="3127"/>
    </row>
    <row r="186" spans="1:20">
      <c r="A186" s="3128" t="s">
        <v>2796</v>
      </c>
      <c r="B186" s="3129" t="s">
        <v>2592</v>
      </c>
      <c r="C186" s="3129" t="s">
        <v>2593</v>
      </c>
      <c r="D186" s="3129" t="s">
        <v>2594</v>
      </c>
      <c r="E186" s="3129" t="s">
        <v>2595</v>
      </c>
      <c r="F186" s="3129" t="s">
        <v>2596</v>
      </c>
      <c r="G186" s="3129" t="s">
        <v>2597</v>
      </c>
      <c r="H186" s="3130" t="s">
        <v>2598</v>
      </c>
      <c r="I186" s="3130" t="s">
        <v>2599</v>
      </c>
      <c r="J186" s="3131" t="s">
        <v>2600</v>
      </c>
      <c r="K186" s="3131" t="s">
        <v>2601</v>
      </c>
      <c r="L186" s="3131" t="s">
        <v>2602</v>
      </c>
      <c r="M186" s="3132" t="s">
        <v>2603</v>
      </c>
      <c r="Q186" s="3142" t="s">
        <v>2801</v>
      </c>
      <c r="R186" s="3142" t="s">
        <v>2802</v>
      </c>
      <c r="S186" s="3142" t="s">
        <v>2803</v>
      </c>
      <c r="T186" s="3142" t="s">
        <v>2804</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2799</v>
      </c>
      <c r="B277" s="3127"/>
      <c r="C277" s="3127"/>
      <c r="D277" s="3127"/>
      <c r="E277" s="3127"/>
      <c r="F277" s="3127"/>
      <c r="G277" s="3127"/>
      <c r="H277" s="3127"/>
      <c r="I277" s="3127"/>
      <c r="J277" s="3127"/>
      <c r="K277" s="3127"/>
      <c r="L277" s="3127"/>
      <c r="M277" s="3127"/>
    </row>
    <row r="278" spans="1:21">
      <c r="A278" s="3128" t="s">
        <v>2796</v>
      </c>
      <c r="B278" s="3129" t="s">
        <v>2592</v>
      </c>
      <c r="C278" s="3129" t="s">
        <v>2593</v>
      </c>
      <c r="D278" s="3129" t="s">
        <v>2594</v>
      </c>
      <c r="E278" s="3129" t="s">
        <v>2595</v>
      </c>
      <c r="F278" s="3129" t="s">
        <v>2596</v>
      </c>
      <c r="G278" s="3129" t="s">
        <v>2597</v>
      </c>
      <c r="H278" s="3130" t="s">
        <v>2598</v>
      </c>
      <c r="I278" s="3130" t="s">
        <v>2599</v>
      </c>
      <c r="J278" s="3131" t="s">
        <v>2600</v>
      </c>
      <c r="K278" s="3131" t="s">
        <v>2601</v>
      </c>
      <c r="L278" s="3131" t="s">
        <v>2602</v>
      </c>
      <c r="M278" s="3132" t="s">
        <v>2603</v>
      </c>
      <c r="Q278" s="3142" t="s">
        <v>2801</v>
      </c>
      <c r="R278" s="3142" t="s">
        <v>2802</v>
      </c>
      <c r="S278" s="3142" t="s">
        <v>2805</v>
      </c>
      <c r="T278" s="3142" t="s">
        <v>2806</v>
      </c>
      <c r="U278" s="3142" t="s">
        <v>2804</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2800</v>
      </c>
      <c r="B369" s="3140"/>
      <c r="C369" s="3140"/>
      <c r="D369" s="3140"/>
      <c r="E369" s="3140"/>
      <c r="F369" s="3140"/>
      <c r="G369" s="3140"/>
      <c r="H369" s="3140"/>
      <c r="I369" s="3140"/>
      <c r="J369" s="3140"/>
      <c r="K369" s="3140"/>
      <c r="L369" s="3140"/>
      <c r="M369" s="3140"/>
    </row>
    <row r="370" spans="1:20">
      <c r="A370" s="3128" t="s">
        <v>2796</v>
      </c>
      <c r="B370" s="3129" t="s">
        <v>2592</v>
      </c>
      <c r="C370" s="3129" t="s">
        <v>2593</v>
      </c>
      <c r="D370" s="3129" t="s">
        <v>2594</v>
      </c>
      <c r="E370" s="3129" t="s">
        <v>2595</v>
      </c>
      <c r="F370" s="3129" t="s">
        <v>2596</v>
      </c>
      <c r="G370" s="3129" t="s">
        <v>2597</v>
      </c>
      <c r="H370" s="3130" t="s">
        <v>2598</v>
      </c>
      <c r="I370" s="3130" t="s">
        <v>2599</v>
      </c>
      <c r="J370" s="3131" t="s">
        <v>2600</v>
      </c>
      <c r="K370" s="3131" t="s">
        <v>2601</v>
      </c>
      <c r="L370" s="3131" t="s">
        <v>2602</v>
      </c>
      <c r="M370" s="3132" t="s">
        <v>2603</v>
      </c>
      <c r="N370" s="750">
        <f>SUMPRODUCT((A371:A460=ROUNDDOWN(基准地价修正!G3,1))*(B370:M370=基准地价修正!G2)*(B371:M460))</f>
        <v>1</v>
      </c>
      <c r="Q370" s="3142" t="s">
        <v>2801</v>
      </c>
      <c r="R370" s="3142" t="s">
        <v>2802</v>
      </c>
      <c r="S370" s="3142" t="s">
        <v>2803</v>
      </c>
      <c r="T370" s="3142" t="s">
        <v>2804</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26248</v>
      </c>
      <c r="C2" s="2" t="s">
        <v>106</v>
      </c>
      <c r="D2" s="199"/>
      <c r="E2" s="199"/>
      <c r="F2" s="199"/>
      <c r="G2" s="199"/>
    </row>
    <row r="3" spans="1:7" s="200" customFormat="1" ht="18" customHeight="1" thickBot="1">
      <c r="A3" s="203" t="s">
        <v>58</v>
      </c>
      <c r="B3" s="204">
        <f ca="1">ROUND(B2*10000/'数据-汇总表'!E3,0)</f>
        <v>25434109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10.32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10.32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1267</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1682</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1682</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26245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10.32</v>
      </c>
      <c r="E37" s="249">
        <f>'数据-取费表'!B35</f>
        <v>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8.9999999999999998E-4</v>
      </c>
      <c r="D44" s="238"/>
      <c r="E44" s="238"/>
      <c r="F44" s="239"/>
      <c r="G44" s="3668"/>
    </row>
    <row r="45" spans="1:7" s="214" customFormat="1" ht="13.5" customHeight="1">
      <c r="A45" s="777" t="s">
        <v>341</v>
      </c>
      <c r="B45" s="244" t="s">
        <v>85</v>
      </c>
      <c r="C45" s="245">
        <f>C46</f>
        <v>0</v>
      </c>
      <c r="D45" s="235">
        <f>C47</f>
        <v>2.3999999999999998E-3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3</v>
      </c>
      <c r="D51" s="232"/>
      <c r="E51" s="232"/>
      <c r="F51" s="264"/>
      <c r="G51" s="234" t="s">
        <v>37</v>
      </c>
    </row>
    <row r="52" spans="1:7" s="208" customFormat="1" ht="16.8" thickBot="1">
      <c r="A52" s="265" t="s">
        <v>38</v>
      </c>
      <c r="B52" s="266"/>
      <c r="C52" s="267">
        <f ca="1">C31+C51</f>
        <v>26248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4" t="s">
        <v>3178</v>
      </c>
      <c r="B1" s="3804"/>
    </row>
    <row r="2" spans="1:7" ht="15" thickBot="1">
      <c r="A2" s="3255"/>
      <c r="B2" s="3255"/>
    </row>
    <row r="3" spans="1:7" ht="15" thickBot="1">
      <c r="A3" s="3255"/>
      <c r="B3" s="3255"/>
      <c r="C3" s="3256" t="s">
        <v>2808</v>
      </c>
      <c r="D3" s="3256" t="s">
        <v>2864</v>
      </c>
      <c r="E3" s="3256" t="s">
        <v>2810</v>
      </c>
      <c r="F3" s="3256" t="s">
        <v>2865</v>
      </c>
      <c r="G3" s="3256" t="s">
        <v>2628</v>
      </c>
    </row>
    <row r="4" spans="1:7" ht="1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5" t="s">
        <v>3229</v>
      </c>
      <c r="B1" s="3805"/>
      <c r="C1" s="3805"/>
      <c r="D1" s="3805"/>
      <c r="E1" s="3805"/>
      <c r="F1" s="3806"/>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5"/>
  <sheetViews>
    <sheetView topLeftCell="A31" zoomScale="85" zoomScaleNormal="85" workbookViewId="0">
      <selection activeCell="E68" sqref="E68"/>
    </sheetView>
  </sheetViews>
  <sheetFormatPr defaultColWidth="8.88671875" defaultRowHeight="17.55" customHeight="1"/>
  <cols>
    <col min="1" max="1" width="8.88671875" style="3472"/>
    <col min="2" max="2" width="14.6640625" style="3472" customWidth="1"/>
    <col min="3" max="3" width="16" style="3467" hidden="1" customWidth="1"/>
    <col min="4" max="5" width="15.77734375" style="3467" customWidth="1"/>
    <col min="6" max="6" width="14.44140625" style="3467" customWidth="1"/>
    <col min="7" max="7" width="43.88671875" style="3467" customWidth="1"/>
    <col min="8" max="16384" width="8.88671875" style="3467"/>
  </cols>
  <sheetData>
    <row r="1" spans="1:9" ht="17.55" customHeight="1">
      <c r="A1" s="3807" t="s">
        <v>3432</v>
      </c>
      <c r="B1" s="3808"/>
      <c r="C1" s="3808"/>
      <c r="D1" s="3808"/>
      <c r="E1" s="3808"/>
      <c r="F1" s="3808"/>
      <c r="G1" s="3808"/>
      <c r="H1" s="3809"/>
    </row>
    <row r="2" spans="1:9" ht="17.55" customHeight="1">
      <c r="A2" s="3468" t="s">
        <v>3433</v>
      </c>
      <c r="B2" s="3468" t="s">
        <v>3434</v>
      </c>
      <c r="C2" s="3469" t="s">
        <v>3435</v>
      </c>
      <c r="D2" s="3469" t="s">
        <v>3436</v>
      </c>
      <c r="E2" s="3473" t="s">
        <v>3386</v>
      </c>
      <c r="F2" s="3469" t="s">
        <v>3437</v>
      </c>
      <c r="G2" s="3469" t="s">
        <v>3438</v>
      </c>
      <c r="H2" s="3469" t="s">
        <v>3439</v>
      </c>
      <c r="I2" s="3472"/>
    </row>
    <row r="3" spans="1:9" ht="17.55" customHeight="1">
      <c r="A3" s="3470">
        <v>1</v>
      </c>
      <c r="B3" s="3470" t="s">
        <v>3440</v>
      </c>
      <c r="C3" s="3471" t="s">
        <v>3441</v>
      </c>
      <c r="D3" s="3471" t="s">
        <v>3442</v>
      </c>
      <c r="E3" s="3471" t="s">
        <v>4242</v>
      </c>
      <c r="F3" s="3471" t="s">
        <v>3443</v>
      </c>
      <c r="G3" s="3471" t="s">
        <v>3444</v>
      </c>
      <c r="H3" s="3474" t="s">
        <v>4399</v>
      </c>
    </row>
    <row r="4" spans="1:9" ht="17.55" customHeight="1">
      <c r="A4" s="3470">
        <v>2</v>
      </c>
      <c r="B4" s="3470" t="s">
        <v>3440</v>
      </c>
      <c r="C4" s="3471" t="s">
        <v>3445</v>
      </c>
      <c r="D4" s="3471" t="s">
        <v>3446</v>
      </c>
      <c r="E4" s="3471" t="s">
        <v>4272</v>
      </c>
      <c r="F4" s="3471" t="s">
        <v>3443</v>
      </c>
      <c r="G4" s="3471" t="s">
        <v>3447</v>
      </c>
      <c r="H4" s="3474" t="s">
        <v>4399</v>
      </c>
    </row>
    <row r="5" spans="1:9" ht="17.55" customHeight="1">
      <c r="A5" s="3470">
        <v>3</v>
      </c>
      <c r="B5" s="3470" t="s">
        <v>3440</v>
      </c>
      <c r="C5" s="3471" t="s">
        <v>3448</v>
      </c>
      <c r="D5" s="3471" t="s">
        <v>3449</v>
      </c>
      <c r="E5" s="3471" t="s">
        <v>4296</v>
      </c>
      <c r="F5" s="3471" t="s">
        <v>3443</v>
      </c>
      <c r="G5" s="3471" t="s">
        <v>3450</v>
      </c>
      <c r="H5" s="3474" t="s">
        <v>4393</v>
      </c>
    </row>
    <row r="6" spans="1:9" ht="17.55" customHeight="1">
      <c r="A6" s="3470">
        <v>4</v>
      </c>
      <c r="B6" s="3470" t="s">
        <v>3440</v>
      </c>
      <c r="C6" s="3471" t="s">
        <v>3451</v>
      </c>
      <c r="D6" s="3471" t="s">
        <v>3452</v>
      </c>
      <c r="E6" s="3471" t="s">
        <v>4293</v>
      </c>
      <c r="F6" s="3471" t="s">
        <v>3443</v>
      </c>
      <c r="G6" s="3471" t="s">
        <v>3453</v>
      </c>
      <c r="H6" s="3474" t="s">
        <v>4399</v>
      </c>
    </row>
    <row r="7" spans="1:9" ht="17.55" customHeight="1">
      <c r="A7" s="3470">
        <v>5</v>
      </c>
      <c r="B7" s="3470" t="s">
        <v>3440</v>
      </c>
      <c r="C7" s="3471" t="s">
        <v>3454</v>
      </c>
      <c r="D7" s="3471" t="s">
        <v>3455</v>
      </c>
      <c r="E7" s="3471" t="s">
        <v>4237</v>
      </c>
      <c r="F7" s="3471" t="s">
        <v>3443</v>
      </c>
      <c r="G7" s="3471" t="s">
        <v>3456</v>
      </c>
      <c r="H7" s="3474" t="s">
        <v>4399</v>
      </c>
    </row>
    <row r="8" spans="1:9" ht="17.55" customHeight="1">
      <c r="A8" s="3470">
        <v>6</v>
      </c>
      <c r="B8" s="3470" t="s">
        <v>3440</v>
      </c>
      <c r="C8" s="3471" t="s">
        <v>3457</v>
      </c>
      <c r="D8" s="3471" t="s">
        <v>3458</v>
      </c>
      <c r="E8" s="3471" t="s">
        <v>4238</v>
      </c>
      <c r="F8" s="3471" t="s">
        <v>3443</v>
      </c>
      <c r="G8" s="3471" t="s">
        <v>3459</v>
      </c>
      <c r="H8" s="3474" t="s">
        <v>4399</v>
      </c>
    </row>
    <row r="9" spans="1:9" ht="17.55" customHeight="1">
      <c r="A9" s="3470">
        <v>7</v>
      </c>
      <c r="B9" s="3470" t="s">
        <v>3440</v>
      </c>
      <c r="C9" s="3471" t="s">
        <v>3460</v>
      </c>
      <c r="D9" s="3471" t="s">
        <v>3461</v>
      </c>
      <c r="E9" s="3471" t="s">
        <v>4309</v>
      </c>
      <c r="F9" s="3471" t="s">
        <v>3443</v>
      </c>
      <c r="G9" s="3471" t="s">
        <v>3462</v>
      </c>
      <c r="H9" s="3474" t="s">
        <v>4399</v>
      </c>
    </row>
    <row r="10" spans="1:9" ht="17.55" customHeight="1">
      <c r="A10" s="3470">
        <v>8</v>
      </c>
      <c r="B10" s="3470" t="s">
        <v>3440</v>
      </c>
      <c r="C10" s="3471" t="s">
        <v>3463</v>
      </c>
      <c r="D10" s="3471" t="s">
        <v>3464</v>
      </c>
      <c r="E10" s="3471" t="s">
        <v>4236</v>
      </c>
      <c r="F10" s="3471" t="s">
        <v>3443</v>
      </c>
      <c r="G10" s="3471" t="s">
        <v>3465</v>
      </c>
      <c r="H10" s="3474" t="s">
        <v>4399</v>
      </c>
    </row>
    <row r="11" spans="1:9" ht="17.55" customHeight="1">
      <c r="A11" s="3470">
        <v>9</v>
      </c>
      <c r="B11" s="3470" t="s">
        <v>3440</v>
      </c>
      <c r="C11" s="3471" t="s">
        <v>3466</v>
      </c>
      <c r="D11" s="3471" t="s">
        <v>3467</v>
      </c>
      <c r="E11" s="3471" t="s">
        <v>4236</v>
      </c>
      <c r="F11" s="3471" t="s">
        <v>3443</v>
      </c>
      <c r="G11" s="3471" t="s">
        <v>3468</v>
      </c>
      <c r="H11" s="3474" t="s">
        <v>4399</v>
      </c>
    </row>
    <row r="12" spans="1:9" ht="17.55" customHeight="1">
      <c r="A12" s="3470">
        <v>10</v>
      </c>
      <c r="B12" s="3470" t="s">
        <v>3440</v>
      </c>
      <c r="C12" s="3471" t="s">
        <v>3469</v>
      </c>
      <c r="D12" s="3471" t="s">
        <v>3470</v>
      </c>
      <c r="E12" s="3471" t="s">
        <v>4315</v>
      </c>
      <c r="F12" s="3471" t="s">
        <v>3443</v>
      </c>
      <c r="G12" s="3471" t="s">
        <v>3471</v>
      </c>
      <c r="H12" s="3474" t="s">
        <v>4399</v>
      </c>
    </row>
    <row r="13" spans="1:9" ht="17.55" customHeight="1">
      <c r="A13" s="3470">
        <v>11</v>
      </c>
      <c r="B13" s="3470" t="s">
        <v>3440</v>
      </c>
      <c r="C13" s="3471" t="s">
        <v>3472</v>
      </c>
      <c r="D13" s="3471" t="s">
        <v>3473</v>
      </c>
      <c r="E13" s="3471" t="s">
        <v>4238</v>
      </c>
      <c r="F13" s="3471" t="s">
        <v>3443</v>
      </c>
      <c r="G13" s="3471" t="s">
        <v>3474</v>
      </c>
      <c r="H13" s="3474" t="s">
        <v>4399</v>
      </c>
    </row>
    <row r="14" spans="1:9" ht="17.55" customHeight="1">
      <c r="A14" s="3470">
        <v>12</v>
      </c>
      <c r="B14" s="3470" t="s">
        <v>3440</v>
      </c>
      <c r="C14" s="3471" t="s">
        <v>3475</v>
      </c>
      <c r="D14" s="3471" t="s">
        <v>3476</v>
      </c>
      <c r="E14" s="3471" t="s">
        <v>4316</v>
      </c>
      <c r="F14" s="3471" t="s">
        <v>3443</v>
      </c>
      <c r="G14" s="3471" t="s">
        <v>3477</v>
      </c>
      <c r="H14" s="3474" t="s">
        <v>4399</v>
      </c>
    </row>
    <row r="15" spans="1:9" ht="17.55" customHeight="1">
      <c r="A15" s="3470">
        <v>13</v>
      </c>
      <c r="B15" s="3470" t="s">
        <v>3440</v>
      </c>
      <c r="C15" s="3471" t="s">
        <v>3478</v>
      </c>
      <c r="D15" s="3471" t="s">
        <v>3479</v>
      </c>
      <c r="E15" s="3471" t="s">
        <v>4239</v>
      </c>
      <c r="F15" s="3471" t="s">
        <v>3443</v>
      </c>
      <c r="G15" s="3471" t="s">
        <v>3480</v>
      </c>
      <c r="H15" s="3474" t="s">
        <v>4399</v>
      </c>
    </row>
    <row r="16" spans="1:9" ht="17.55" customHeight="1">
      <c r="A16" s="3470">
        <v>14</v>
      </c>
      <c r="B16" s="3470" t="s">
        <v>3440</v>
      </c>
      <c r="C16" s="3471" t="s">
        <v>3481</v>
      </c>
      <c r="D16" s="3471" t="s">
        <v>3482</v>
      </c>
      <c r="E16" s="3471" t="s">
        <v>4240</v>
      </c>
      <c r="F16" s="3471" t="s">
        <v>3443</v>
      </c>
      <c r="G16" s="3471" t="s">
        <v>3483</v>
      </c>
      <c r="H16" s="3474" t="s">
        <v>4399</v>
      </c>
    </row>
    <row r="17" spans="1:8" ht="17.55" customHeight="1">
      <c r="A17" s="3470">
        <v>15</v>
      </c>
      <c r="B17" s="3470" t="s">
        <v>3440</v>
      </c>
      <c r="C17" s="3471" t="s">
        <v>3484</v>
      </c>
      <c r="D17" s="3471" t="s">
        <v>3485</v>
      </c>
      <c r="E17" s="3471" t="s">
        <v>4241</v>
      </c>
      <c r="F17" s="3471" t="s">
        <v>3443</v>
      </c>
      <c r="G17" s="3471" t="s">
        <v>3486</v>
      </c>
      <c r="H17" s="3474" t="s">
        <v>4393</v>
      </c>
    </row>
    <row r="18" spans="1:8" ht="17.55" customHeight="1">
      <c r="A18" s="3470">
        <v>16</v>
      </c>
      <c r="B18" s="3470" t="s">
        <v>3440</v>
      </c>
      <c r="C18" s="3471" t="s">
        <v>3487</v>
      </c>
      <c r="D18" s="3471" t="s">
        <v>3488</v>
      </c>
      <c r="E18" s="3471" t="s">
        <v>4240</v>
      </c>
      <c r="F18" s="3471" t="s">
        <v>3443</v>
      </c>
      <c r="G18" s="3471" t="s">
        <v>3489</v>
      </c>
      <c r="H18" s="3474" t="s">
        <v>4399</v>
      </c>
    </row>
    <row r="19" spans="1:8" ht="17.55" customHeight="1">
      <c r="A19" s="3470">
        <v>17</v>
      </c>
      <c r="B19" s="3470" t="s">
        <v>3440</v>
      </c>
      <c r="C19" s="3471" t="s">
        <v>3490</v>
      </c>
      <c r="D19" s="3471" t="s">
        <v>3491</v>
      </c>
      <c r="E19" s="3471" t="s">
        <v>4239</v>
      </c>
      <c r="F19" s="3471" t="s">
        <v>3443</v>
      </c>
      <c r="G19" s="3471" t="s">
        <v>3492</v>
      </c>
      <c r="H19" s="3474" t="s">
        <v>4399</v>
      </c>
    </row>
    <row r="20" spans="1:8" ht="17.55" customHeight="1">
      <c r="A20" s="3470">
        <v>18</v>
      </c>
      <c r="B20" s="3470" t="s">
        <v>3440</v>
      </c>
      <c r="C20" s="3471" t="s">
        <v>3493</v>
      </c>
      <c r="D20" s="3471" t="s">
        <v>3494</v>
      </c>
      <c r="E20" s="3471" t="s">
        <v>4236</v>
      </c>
      <c r="F20" s="3471" t="s">
        <v>3443</v>
      </c>
      <c r="G20" s="3471" t="s">
        <v>3495</v>
      </c>
      <c r="H20" s="3474" t="s">
        <v>4399</v>
      </c>
    </row>
    <row r="21" spans="1:8" ht="17.55" customHeight="1">
      <c r="A21" s="3470">
        <v>19</v>
      </c>
      <c r="B21" s="3470" t="s">
        <v>3440</v>
      </c>
      <c r="C21" s="3471" t="s">
        <v>3496</v>
      </c>
      <c r="D21" s="3471" t="s">
        <v>3497</v>
      </c>
      <c r="E21" s="3471" t="s">
        <v>4236</v>
      </c>
      <c r="F21" s="3471" t="s">
        <v>3443</v>
      </c>
      <c r="G21" s="3471" t="s">
        <v>3498</v>
      </c>
      <c r="H21" s="3474" t="s">
        <v>4399</v>
      </c>
    </row>
    <row r="22" spans="1:8" ht="17.55" customHeight="1">
      <c r="A22" s="3470">
        <v>20</v>
      </c>
      <c r="B22" s="3470" t="s">
        <v>3440</v>
      </c>
      <c r="C22" s="3471" t="s">
        <v>3499</v>
      </c>
      <c r="D22" s="3471" t="s">
        <v>3500</v>
      </c>
      <c r="E22" s="3471" t="s">
        <v>4236</v>
      </c>
      <c r="F22" s="3471" t="s">
        <v>3443</v>
      </c>
      <c r="G22" s="3471" t="s">
        <v>3501</v>
      </c>
      <c r="H22" s="3474" t="s">
        <v>4399</v>
      </c>
    </row>
    <row r="23" spans="1:8" ht="17.55" customHeight="1">
      <c r="A23" s="3470">
        <v>21</v>
      </c>
      <c r="B23" s="3470" t="s">
        <v>3440</v>
      </c>
      <c r="C23" s="3471" t="s">
        <v>3502</v>
      </c>
      <c r="D23" s="3471" t="s">
        <v>3503</v>
      </c>
      <c r="E23" s="3471" t="s">
        <v>4236</v>
      </c>
      <c r="F23" s="3471" t="s">
        <v>3443</v>
      </c>
      <c r="G23" s="3471" t="s">
        <v>3504</v>
      </c>
      <c r="H23" s="3474" t="s">
        <v>4399</v>
      </c>
    </row>
    <row r="24" spans="1:8" ht="17.55" customHeight="1">
      <c r="A24" s="3470">
        <v>22</v>
      </c>
      <c r="B24" s="3470" t="s">
        <v>3440</v>
      </c>
      <c r="C24" s="3471" t="s">
        <v>3505</v>
      </c>
      <c r="D24" s="3471" t="s">
        <v>3506</v>
      </c>
      <c r="E24" s="3471" t="s">
        <v>4238</v>
      </c>
      <c r="F24" s="3471" t="s">
        <v>3443</v>
      </c>
      <c r="G24" s="3471" t="s">
        <v>3507</v>
      </c>
      <c r="H24" s="3474" t="s">
        <v>4399</v>
      </c>
    </row>
    <row r="25" spans="1:8" ht="17.55" customHeight="1">
      <c r="A25" s="3470">
        <v>23</v>
      </c>
      <c r="B25" s="3470" t="s">
        <v>3440</v>
      </c>
      <c r="C25" s="3471" t="s">
        <v>3508</v>
      </c>
      <c r="D25" s="3471" t="s">
        <v>3509</v>
      </c>
      <c r="E25" s="3471" t="s">
        <v>4277</v>
      </c>
      <c r="F25" s="3471" t="s">
        <v>3443</v>
      </c>
      <c r="G25" s="3471" t="s">
        <v>3510</v>
      </c>
      <c r="H25" s="3474" t="s">
        <v>4399</v>
      </c>
    </row>
    <row r="26" spans="1:8" ht="17.55" customHeight="1">
      <c r="A26" s="3470">
        <v>24</v>
      </c>
      <c r="B26" s="3470" t="s">
        <v>3440</v>
      </c>
      <c r="C26" s="3471" t="s">
        <v>3511</v>
      </c>
      <c r="D26" s="3471" t="s">
        <v>3512</v>
      </c>
      <c r="E26" s="3471" t="s">
        <v>4346</v>
      </c>
      <c r="F26" s="3471" t="s">
        <v>3443</v>
      </c>
      <c r="G26" s="3471" t="s">
        <v>3513</v>
      </c>
      <c r="H26" s="3474" t="s">
        <v>4399</v>
      </c>
    </row>
    <row r="27" spans="1:8" ht="17.55" customHeight="1">
      <c r="A27" s="3470">
        <v>25</v>
      </c>
      <c r="B27" s="3470" t="s">
        <v>3440</v>
      </c>
      <c r="C27" s="3471" t="s">
        <v>3514</v>
      </c>
      <c r="D27" s="3471" t="s">
        <v>3515</v>
      </c>
      <c r="E27" s="3471" t="s">
        <v>4317</v>
      </c>
      <c r="F27" s="3471" t="s">
        <v>3443</v>
      </c>
      <c r="G27" s="3471" t="s">
        <v>3516</v>
      </c>
      <c r="H27" s="3474" t="s">
        <v>4393</v>
      </c>
    </row>
    <row r="28" spans="1:8" ht="17.55" customHeight="1">
      <c r="A28" s="3470">
        <v>26</v>
      </c>
      <c r="B28" s="3470" t="s">
        <v>3440</v>
      </c>
      <c r="C28" s="3471" t="s">
        <v>3517</v>
      </c>
      <c r="D28" s="3471" t="s">
        <v>3518</v>
      </c>
      <c r="E28" s="3471" t="s">
        <v>4249</v>
      </c>
      <c r="F28" s="3471" t="s">
        <v>3443</v>
      </c>
      <c r="G28" s="3471" t="s">
        <v>3519</v>
      </c>
      <c r="H28" s="3474" t="s">
        <v>4399</v>
      </c>
    </row>
    <row r="29" spans="1:8" ht="17.55" customHeight="1">
      <c r="A29" s="3470">
        <v>27</v>
      </c>
      <c r="B29" s="3470" t="s">
        <v>3440</v>
      </c>
      <c r="C29" s="3471" t="s">
        <v>3520</v>
      </c>
      <c r="D29" s="3471" t="s">
        <v>3521</v>
      </c>
      <c r="E29" s="3471" t="s">
        <v>4294</v>
      </c>
      <c r="F29" s="3471" t="s">
        <v>3443</v>
      </c>
      <c r="G29" s="3471" t="s">
        <v>3522</v>
      </c>
      <c r="H29" s="3474" t="s">
        <v>4399</v>
      </c>
    </row>
    <row r="30" spans="1:8" ht="17.55" customHeight="1">
      <c r="A30" s="3470">
        <v>28</v>
      </c>
      <c r="B30" s="3470" t="s">
        <v>3440</v>
      </c>
      <c r="C30" s="3471" t="s">
        <v>3523</v>
      </c>
      <c r="D30" s="3471" t="s">
        <v>3524</v>
      </c>
      <c r="E30" s="3471" t="s">
        <v>4242</v>
      </c>
      <c r="F30" s="3471" t="s">
        <v>3525</v>
      </c>
      <c r="G30" s="3471" t="s">
        <v>3526</v>
      </c>
      <c r="H30" s="3474" t="s">
        <v>4399</v>
      </c>
    </row>
    <row r="31" spans="1:8" ht="17.55" customHeight="1">
      <c r="A31" s="3470">
        <v>29</v>
      </c>
      <c r="B31" s="3470" t="s">
        <v>3440</v>
      </c>
      <c r="C31" s="3471" t="s">
        <v>3527</v>
      </c>
      <c r="D31" s="3471" t="s">
        <v>3528</v>
      </c>
      <c r="E31" s="3471" t="s">
        <v>4359</v>
      </c>
      <c r="F31" s="3471" t="s">
        <v>3525</v>
      </c>
      <c r="G31" s="3471" t="s">
        <v>3529</v>
      </c>
      <c r="H31" s="3474" t="s">
        <v>4399</v>
      </c>
    </row>
    <row r="32" spans="1:8" ht="17.55" customHeight="1">
      <c r="A32" s="3470">
        <v>30</v>
      </c>
      <c r="B32" s="3470" t="s">
        <v>3440</v>
      </c>
      <c r="C32" s="3471" t="s">
        <v>3530</v>
      </c>
      <c r="D32" s="3471" t="s">
        <v>3531</v>
      </c>
      <c r="E32" s="3471" t="s">
        <v>4243</v>
      </c>
      <c r="F32" s="3471" t="s">
        <v>3525</v>
      </c>
      <c r="G32" s="3471" t="s">
        <v>3532</v>
      </c>
      <c r="H32" s="3474" t="s">
        <v>4399</v>
      </c>
    </row>
    <row r="33" spans="1:8" ht="17.55" customHeight="1">
      <c r="A33" s="3470">
        <v>31</v>
      </c>
      <c r="B33" s="3470" t="s">
        <v>3440</v>
      </c>
      <c r="C33" s="3471" t="s">
        <v>3533</v>
      </c>
      <c r="D33" s="3471" t="s">
        <v>3534</v>
      </c>
      <c r="E33" s="3471" t="s">
        <v>4257</v>
      </c>
      <c r="F33" s="3471" t="s">
        <v>3525</v>
      </c>
      <c r="G33" s="3471" t="s">
        <v>3535</v>
      </c>
      <c r="H33" s="3474" t="s">
        <v>4399</v>
      </c>
    </row>
    <row r="34" spans="1:8" ht="17.55" customHeight="1">
      <c r="A34" s="3470">
        <v>32</v>
      </c>
      <c r="B34" s="3470" t="s">
        <v>3440</v>
      </c>
      <c r="C34" s="3471" t="s">
        <v>3536</v>
      </c>
      <c r="D34" s="3471" t="s">
        <v>3537</v>
      </c>
      <c r="E34" s="3471" t="s">
        <v>4244</v>
      </c>
      <c r="F34" s="3471" t="s">
        <v>3525</v>
      </c>
      <c r="G34" s="3471" t="s">
        <v>3538</v>
      </c>
      <c r="H34" s="3474" t="s">
        <v>4393</v>
      </c>
    </row>
    <row r="35" spans="1:8" ht="17.55" customHeight="1">
      <c r="A35" s="3470">
        <v>33</v>
      </c>
      <c r="B35" s="3470" t="s">
        <v>3440</v>
      </c>
      <c r="C35" s="3471" t="s">
        <v>3539</v>
      </c>
      <c r="D35" s="3471" t="s">
        <v>3540</v>
      </c>
      <c r="E35" s="3471" t="s">
        <v>4245</v>
      </c>
      <c r="F35" s="3471" t="s">
        <v>3525</v>
      </c>
      <c r="G35" s="3471" t="s">
        <v>3541</v>
      </c>
      <c r="H35" s="3474" t="s">
        <v>4399</v>
      </c>
    </row>
    <row r="36" spans="1:8" ht="17.55" customHeight="1">
      <c r="A36" s="3470">
        <v>34</v>
      </c>
      <c r="B36" s="3470" t="s">
        <v>3440</v>
      </c>
      <c r="C36" s="3471" t="s">
        <v>3542</v>
      </c>
      <c r="D36" s="3471" t="s">
        <v>3543</v>
      </c>
      <c r="E36" s="3471" t="s">
        <v>4360</v>
      </c>
      <c r="F36" s="3471" t="s">
        <v>3525</v>
      </c>
      <c r="G36" s="3471" t="s">
        <v>3544</v>
      </c>
      <c r="H36" s="3474" t="s">
        <v>4399</v>
      </c>
    </row>
    <row r="37" spans="1:8" ht="17.55" customHeight="1">
      <c r="A37" s="3470">
        <v>35</v>
      </c>
      <c r="B37" s="3470" t="s">
        <v>3440</v>
      </c>
      <c r="C37" s="3471" t="s">
        <v>3545</v>
      </c>
      <c r="D37" s="3471" t="s">
        <v>3546</v>
      </c>
      <c r="E37" s="3471" t="s">
        <v>4297</v>
      </c>
      <c r="F37" s="3471" t="s">
        <v>3525</v>
      </c>
      <c r="G37" s="3471" t="s">
        <v>3547</v>
      </c>
      <c r="H37" s="3474" t="s">
        <v>4399</v>
      </c>
    </row>
    <row r="38" spans="1:8" ht="17.55" customHeight="1">
      <c r="A38" s="3470">
        <v>36</v>
      </c>
      <c r="B38" s="3470" t="s">
        <v>3440</v>
      </c>
      <c r="C38" s="3471" t="s">
        <v>3548</v>
      </c>
      <c r="D38" s="3471" t="s">
        <v>3549</v>
      </c>
      <c r="E38" s="3471" t="s">
        <v>4324</v>
      </c>
      <c r="F38" s="3471" t="s">
        <v>3525</v>
      </c>
      <c r="G38" s="3471" t="s">
        <v>3550</v>
      </c>
      <c r="H38" s="3474" t="s">
        <v>4394</v>
      </c>
    </row>
    <row r="39" spans="1:8" ht="17.55" customHeight="1">
      <c r="A39" s="3470">
        <v>37</v>
      </c>
      <c r="B39" s="3470" t="s">
        <v>3440</v>
      </c>
      <c r="C39" s="3471" t="s">
        <v>3551</v>
      </c>
      <c r="D39" s="3471" t="s">
        <v>3552</v>
      </c>
      <c r="E39" s="3471" t="s">
        <v>4259</v>
      </c>
      <c r="F39" s="3471" t="s">
        <v>3525</v>
      </c>
      <c r="G39" s="3471" t="s">
        <v>3553</v>
      </c>
      <c r="H39" s="3474" t="s">
        <v>4399</v>
      </c>
    </row>
    <row r="40" spans="1:8" ht="17.55" customHeight="1">
      <c r="A40" s="3470">
        <v>38</v>
      </c>
      <c r="B40" s="3470" t="s">
        <v>3440</v>
      </c>
      <c r="C40" s="3471" t="s">
        <v>3554</v>
      </c>
      <c r="D40" s="3471" t="s">
        <v>3555</v>
      </c>
      <c r="E40" s="3471" t="s">
        <v>4361</v>
      </c>
      <c r="F40" s="3471" t="s">
        <v>3525</v>
      </c>
      <c r="G40" s="3471" t="s">
        <v>3556</v>
      </c>
      <c r="H40" s="3474" t="s">
        <v>4399</v>
      </c>
    </row>
    <row r="41" spans="1:8" ht="17.55" customHeight="1">
      <c r="A41" s="3470">
        <v>39</v>
      </c>
      <c r="B41" s="3470" t="s">
        <v>3440</v>
      </c>
      <c r="C41" s="3471" t="s">
        <v>3557</v>
      </c>
      <c r="D41" s="3471" t="s">
        <v>3558</v>
      </c>
      <c r="E41" s="3471" t="s">
        <v>4258</v>
      </c>
      <c r="F41" s="3471" t="s">
        <v>3525</v>
      </c>
      <c r="G41" s="3471" t="s">
        <v>3559</v>
      </c>
      <c r="H41" s="3474" t="s">
        <v>4399</v>
      </c>
    </row>
    <row r="42" spans="1:8" ht="17.55" customHeight="1">
      <c r="A42" s="3470">
        <v>40</v>
      </c>
      <c r="B42" s="3470" t="s">
        <v>3440</v>
      </c>
      <c r="C42" s="3471" t="s">
        <v>3560</v>
      </c>
      <c r="D42" s="3471" t="s">
        <v>3561</v>
      </c>
      <c r="E42" s="3471" t="s">
        <v>4258</v>
      </c>
      <c r="F42" s="3471" t="s">
        <v>3525</v>
      </c>
      <c r="G42" s="3471" t="s">
        <v>3562</v>
      </c>
      <c r="H42" s="3474" t="s">
        <v>4399</v>
      </c>
    </row>
    <row r="43" spans="1:8" ht="17.55" customHeight="1">
      <c r="A43" s="3470">
        <v>41</v>
      </c>
      <c r="B43" s="3470" t="s">
        <v>3440</v>
      </c>
      <c r="C43" s="3471" t="s">
        <v>3563</v>
      </c>
      <c r="D43" s="3471" t="s">
        <v>3564</v>
      </c>
      <c r="E43" s="3471" t="s">
        <v>4258</v>
      </c>
      <c r="F43" s="3471" t="s">
        <v>3525</v>
      </c>
      <c r="G43" s="3471" t="s">
        <v>3565</v>
      </c>
      <c r="H43" s="3474" t="s">
        <v>4399</v>
      </c>
    </row>
    <row r="44" spans="1:8" ht="17.55" customHeight="1">
      <c r="A44" s="3470">
        <v>42</v>
      </c>
      <c r="B44" s="3470" t="s">
        <v>3440</v>
      </c>
      <c r="C44" s="3471" t="s">
        <v>3566</v>
      </c>
      <c r="D44" s="3471" t="s">
        <v>3567</v>
      </c>
      <c r="E44" s="3471" t="s">
        <v>4259</v>
      </c>
      <c r="F44" s="3471" t="s">
        <v>3525</v>
      </c>
      <c r="G44" s="3471" t="s">
        <v>3568</v>
      </c>
      <c r="H44" s="3474" t="s">
        <v>4399</v>
      </c>
    </row>
    <row r="45" spans="1:8" ht="17.55" customHeight="1">
      <c r="A45" s="3470">
        <v>43</v>
      </c>
      <c r="B45" s="3470" t="s">
        <v>3440</v>
      </c>
      <c r="C45" s="3471" t="s">
        <v>3569</v>
      </c>
      <c r="D45" s="3471" t="s">
        <v>3570</v>
      </c>
      <c r="E45" s="3471" t="s">
        <v>4246</v>
      </c>
      <c r="F45" s="3471" t="s">
        <v>3525</v>
      </c>
      <c r="G45" s="3471" t="s">
        <v>3571</v>
      </c>
      <c r="H45" s="3474" t="s">
        <v>4393</v>
      </c>
    </row>
    <row r="46" spans="1:8" ht="17.55" customHeight="1">
      <c r="A46" s="3470">
        <v>44</v>
      </c>
      <c r="B46" s="3470" t="s">
        <v>3440</v>
      </c>
      <c r="C46" s="3471" t="s">
        <v>3572</v>
      </c>
      <c r="D46" s="3471" t="s">
        <v>3573</v>
      </c>
      <c r="E46" s="3471" t="s">
        <v>4247</v>
      </c>
      <c r="F46" s="3471" t="s">
        <v>3525</v>
      </c>
      <c r="G46" s="3471" t="s">
        <v>3574</v>
      </c>
      <c r="H46" s="3474" t="s">
        <v>4399</v>
      </c>
    </row>
    <row r="47" spans="1:8" ht="17.55" customHeight="1">
      <c r="A47" s="3470">
        <v>45</v>
      </c>
      <c r="B47" s="3470" t="s">
        <v>3440</v>
      </c>
      <c r="C47" s="3471" t="s">
        <v>3575</v>
      </c>
      <c r="D47" s="3471" t="s">
        <v>3576</v>
      </c>
      <c r="E47" s="3471" t="s">
        <v>4248</v>
      </c>
      <c r="F47" s="3471" t="s">
        <v>3525</v>
      </c>
      <c r="G47" s="3471" t="s">
        <v>3577</v>
      </c>
      <c r="H47" s="3474" t="s">
        <v>4399</v>
      </c>
    </row>
    <row r="48" spans="1:8" ht="17.55" customHeight="1">
      <c r="A48" s="3470">
        <v>46</v>
      </c>
      <c r="B48" s="3470" t="s">
        <v>3440</v>
      </c>
      <c r="C48" s="3471" t="s">
        <v>3578</v>
      </c>
      <c r="D48" s="3471" t="s">
        <v>3579</v>
      </c>
      <c r="E48" s="3471" t="s">
        <v>4249</v>
      </c>
      <c r="F48" s="3471" t="s">
        <v>3525</v>
      </c>
      <c r="G48" s="3471" t="s">
        <v>3580</v>
      </c>
      <c r="H48" s="3474" t="s">
        <v>4399</v>
      </c>
    </row>
    <row r="49" spans="1:8" ht="17.55" customHeight="1">
      <c r="A49" s="3470">
        <v>47</v>
      </c>
      <c r="B49" s="3470" t="s">
        <v>3581</v>
      </c>
      <c r="C49" s="3471" t="s">
        <v>3582</v>
      </c>
      <c r="D49" s="3471" t="s">
        <v>3583</v>
      </c>
      <c r="E49" s="3471" t="s">
        <v>4252</v>
      </c>
      <c r="F49" s="3471" t="s">
        <v>3443</v>
      </c>
      <c r="G49" s="3471" t="s">
        <v>3584</v>
      </c>
      <c r="H49" s="3474" t="s">
        <v>4399</v>
      </c>
    </row>
    <row r="50" spans="1:8" ht="17.55" customHeight="1">
      <c r="A50" s="3470">
        <v>48</v>
      </c>
      <c r="B50" s="3470" t="s">
        <v>3581</v>
      </c>
      <c r="C50" s="3471" t="s">
        <v>3585</v>
      </c>
      <c r="D50" s="3471" t="s">
        <v>3586</v>
      </c>
      <c r="E50" s="3471" t="s">
        <v>4284</v>
      </c>
      <c r="F50" s="3471" t="s">
        <v>3443</v>
      </c>
      <c r="G50" s="3471" t="s">
        <v>3587</v>
      </c>
      <c r="H50" s="3474" t="s">
        <v>4393</v>
      </c>
    </row>
    <row r="51" spans="1:8" ht="17.55" customHeight="1">
      <c r="A51" s="3470">
        <v>49</v>
      </c>
      <c r="B51" s="3470" t="s">
        <v>3581</v>
      </c>
      <c r="C51" s="3471" t="s">
        <v>3588</v>
      </c>
      <c r="D51" s="3471" t="s">
        <v>3589</v>
      </c>
      <c r="E51" s="3471" t="s">
        <v>4265</v>
      </c>
      <c r="F51" s="3471" t="s">
        <v>3443</v>
      </c>
      <c r="G51" s="3471" t="s">
        <v>3590</v>
      </c>
      <c r="H51" s="3474" t="s">
        <v>4399</v>
      </c>
    </row>
    <row r="52" spans="1:8" ht="17.55" customHeight="1">
      <c r="A52" s="3470">
        <v>50</v>
      </c>
      <c r="B52" s="3470" t="s">
        <v>3581</v>
      </c>
      <c r="C52" s="3471" t="s">
        <v>3591</v>
      </c>
      <c r="D52" s="3471" t="s">
        <v>3592</v>
      </c>
      <c r="E52" s="3471" t="s">
        <v>4347</v>
      </c>
      <c r="F52" s="3471" t="s">
        <v>3443</v>
      </c>
      <c r="G52" s="3471" t="s">
        <v>3593</v>
      </c>
      <c r="H52" s="3474" t="s">
        <v>4399</v>
      </c>
    </row>
    <row r="53" spans="1:8" ht="17.55" customHeight="1">
      <c r="A53" s="3470">
        <v>51</v>
      </c>
      <c r="B53" s="3470" t="s">
        <v>3581</v>
      </c>
      <c r="C53" s="3471" t="s">
        <v>3594</v>
      </c>
      <c r="D53" s="3471" t="s">
        <v>3595</v>
      </c>
      <c r="E53" s="3471" t="s">
        <v>4269</v>
      </c>
      <c r="F53" s="3471" t="s">
        <v>3443</v>
      </c>
      <c r="G53" s="3471" t="s">
        <v>3596</v>
      </c>
      <c r="H53" s="3474" t="s">
        <v>4399</v>
      </c>
    </row>
    <row r="54" spans="1:8" ht="17.55" customHeight="1">
      <c r="A54" s="3470">
        <v>52</v>
      </c>
      <c r="B54" s="3470" t="s">
        <v>3581</v>
      </c>
      <c r="C54" s="3471" t="s">
        <v>3597</v>
      </c>
      <c r="D54" s="3471" t="s">
        <v>3598</v>
      </c>
      <c r="E54" s="3471" t="s">
        <v>4269</v>
      </c>
      <c r="F54" s="3471" t="s">
        <v>3443</v>
      </c>
      <c r="G54" s="3471" t="s">
        <v>3599</v>
      </c>
      <c r="H54" s="3474" t="s">
        <v>4399</v>
      </c>
    </row>
    <row r="55" spans="1:8" ht="17.55" customHeight="1">
      <c r="A55" s="3470">
        <v>53</v>
      </c>
      <c r="B55" s="3470" t="s">
        <v>3581</v>
      </c>
      <c r="C55" s="3471" t="s">
        <v>3600</v>
      </c>
      <c r="D55" s="3471" t="s">
        <v>3601</v>
      </c>
      <c r="E55" s="3471" t="s">
        <v>4348</v>
      </c>
      <c r="F55" s="3471" t="s">
        <v>3443</v>
      </c>
      <c r="G55" s="3471" t="s">
        <v>3602</v>
      </c>
      <c r="H55" s="3474" t="s">
        <v>4399</v>
      </c>
    </row>
    <row r="56" spans="1:8" ht="17.55" customHeight="1">
      <c r="A56" s="3470">
        <v>54</v>
      </c>
      <c r="B56" s="3470" t="s">
        <v>3581</v>
      </c>
      <c r="C56" s="3471" t="s">
        <v>3603</v>
      </c>
      <c r="D56" s="3471" t="s">
        <v>3604</v>
      </c>
      <c r="E56" s="3471" t="s">
        <v>4256</v>
      </c>
      <c r="F56" s="3471" t="s">
        <v>3443</v>
      </c>
      <c r="G56" s="3471" t="s">
        <v>3605</v>
      </c>
      <c r="H56" s="3474" t="s">
        <v>4399</v>
      </c>
    </row>
    <row r="57" spans="1:8" ht="17.55" customHeight="1">
      <c r="A57" s="3470">
        <v>55</v>
      </c>
      <c r="B57" s="3470" t="s">
        <v>3581</v>
      </c>
      <c r="C57" s="3471" t="s">
        <v>3606</v>
      </c>
      <c r="D57" s="3471" t="s">
        <v>3607</v>
      </c>
      <c r="E57" s="3471" t="s">
        <v>4260</v>
      </c>
      <c r="F57" s="3471" t="s">
        <v>3443</v>
      </c>
      <c r="G57" s="3471" t="s">
        <v>3608</v>
      </c>
      <c r="H57" s="3474" t="s">
        <v>4399</v>
      </c>
    </row>
    <row r="58" spans="1:8" ht="17.55" customHeight="1">
      <c r="A58" s="3470">
        <v>56</v>
      </c>
      <c r="B58" s="3470" t="s">
        <v>3581</v>
      </c>
      <c r="C58" s="3471" t="s">
        <v>3609</v>
      </c>
      <c r="D58" s="3471" t="s">
        <v>3610</v>
      </c>
      <c r="E58" s="3471" t="s">
        <v>4268</v>
      </c>
      <c r="F58" s="3471" t="s">
        <v>3443</v>
      </c>
      <c r="G58" s="3471" t="s">
        <v>3611</v>
      </c>
      <c r="H58" s="3474" t="s">
        <v>4399</v>
      </c>
    </row>
    <row r="59" spans="1:8" ht="17.55" customHeight="1">
      <c r="A59" s="3470">
        <v>57</v>
      </c>
      <c r="B59" s="3470" t="s">
        <v>3581</v>
      </c>
      <c r="C59" s="3471" t="s">
        <v>3612</v>
      </c>
      <c r="D59" s="3471" t="s">
        <v>3613</v>
      </c>
      <c r="E59" s="3471" t="s">
        <v>4258</v>
      </c>
      <c r="F59" s="3471" t="s">
        <v>3443</v>
      </c>
      <c r="G59" s="3471" t="s">
        <v>3614</v>
      </c>
      <c r="H59" s="3474" t="s">
        <v>4399</v>
      </c>
    </row>
    <row r="60" spans="1:8" ht="17.55" customHeight="1">
      <c r="A60" s="3470">
        <v>58</v>
      </c>
      <c r="B60" s="3470" t="s">
        <v>3581</v>
      </c>
      <c r="C60" s="3471" t="s">
        <v>3615</v>
      </c>
      <c r="D60" s="3471" t="s">
        <v>3616</v>
      </c>
      <c r="E60" s="3471" t="s">
        <v>4308</v>
      </c>
      <c r="F60" s="3471" t="s">
        <v>3525</v>
      </c>
      <c r="G60" s="3471" t="s">
        <v>3617</v>
      </c>
      <c r="H60" s="3474" t="s">
        <v>4399</v>
      </c>
    </row>
    <row r="61" spans="1:8" ht="17.55" customHeight="1">
      <c r="A61" s="3470">
        <v>59</v>
      </c>
      <c r="B61" s="3470" t="s">
        <v>3581</v>
      </c>
      <c r="C61" s="3471" t="s">
        <v>3618</v>
      </c>
      <c r="D61" s="3471" t="s">
        <v>3619</v>
      </c>
      <c r="E61" s="3471" t="s">
        <v>4304</v>
      </c>
      <c r="F61" s="3471" t="s">
        <v>3525</v>
      </c>
      <c r="G61" s="3471" t="s">
        <v>3620</v>
      </c>
      <c r="H61" s="3474" t="s">
        <v>4399</v>
      </c>
    </row>
    <row r="62" spans="1:8" ht="17.55" customHeight="1">
      <c r="A62" s="3470">
        <v>60</v>
      </c>
      <c r="B62" s="3470" t="s">
        <v>3581</v>
      </c>
      <c r="C62" s="3471" t="s">
        <v>3621</v>
      </c>
      <c r="D62" s="3471" t="s">
        <v>3622</v>
      </c>
      <c r="E62" s="3471" t="s">
        <v>4349</v>
      </c>
      <c r="F62" s="3471" t="s">
        <v>3525</v>
      </c>
      <c r="G62" s="3471" t="s">
        <v>3623</v>
      </c>
      <c r="H62" s="3474" t="s">
        <v>4399</v>
      </c>
    </row>
    <row r="63" spans="1:8" ht="17.55" customHeight="1">
      <c r="A63" s="3470">
        <v>61</v>
      </c>
      <c r="B63" s="3470" t="s">
        <v>3581</v>
      </c>
      <c r="C63" s="3471" t="s">
        <v>3624</v>
      </c>
      <c r="D63" s="3471" t="s">
        <v>3625</v>
      </c>
      <c r="E63" s="3471" t="s">
        <v>4349</v>
      </c>
      <c r="F63" s="3471" t="s">
        <v>3525</v>
      </c>
      <c r="G63" s="3471" t="s">
        <v>3626</v>
      </c>
      <c r="H63" s="3474" t="s">
        <v>4399</v>
      </c>
    </row>
    <row r="64" spans="1:8" ht="17.55" customHeight="1">
      <c r="A64" s="3470">
        <v>62</v>
      </c>
      <c r="B64" s="3470" t="s">
        <v>3581</v>
      </c>
      <c r="C64" s="3471" t="s">
        <v>3627</v>
      </c>
      <c r="D64" s="3471" t="s">
        <v>3628</v>
      </c>
      <c r="E64" s="3471" t="s">
        <v>4252</v>
      </c>
      <c r="F64" s="3471" t="s">
        <v>3525</v>
      </c>
      <c r="G64" s="3471" t="s">
        <v>3629</v>
      </c>
      <c r="H64" s="3474" t="s">
        <v>4399</v>
      </c>
    </row>
    <row r="65" spans="1:8" ht="17.55" customHeight="1">
      <c r="A65" s="3470">
        <v>63</v>
      </c>
      <c r="B65" s="3470" t="s">
        <v>3581</v>
      </c>
      <c r="C65" s="3471" t="s">
        <v>3630</v>
      </c>
      <c r="D65" s="3471" t="s">
        <v>3631</v>
      </c>
      <c r="E65" s="3471" t="s">
        <v>4350</v>
      </c>
      <c r="F65" s="3471" t="s">
        <v>3525</v>
      </c>
      <c r="G65" s="3471" t="s">
        <v>3632</v>
      </c>
      <c r="H65" s="3474" t="s">
        <v>4393</v>
      </c>
    </row>
    <row r="66" spans="1:8" ht="17.55" customHeight="1">
      <c r="A66" s="3470">
        <v>64</v>
      </c>
      <c r="B66" s="3470" t="s">
        <v>3581</v>
      </c>
      <c r="C66" s="3471" t="s">
        <v>3633</v>
      </c>
      <c r="D66" s="3471" t="s">
        <v>3634</v>
      </c>
      <c r="E66" s="3471" t="s">
        <v>4351</v>
      </c>
      <c r="F66" s="3471" t="s">
        <v>3525</v>
      </c>
      <c r="G66" s="3471" t="s">
        <v>3635</v>
      </c>
      <c r="H66" s="3474" t="s">
        <v>4399</v>
      </c>
    </row>
    <row r="67" spans="1:8" ht="17.55" customHeight="1">
      <c r="A67" s="3470">
        <v>65</v>
      </c>
      <c r="B67" s="3470" t="s">
        <v>3581</v>
      </c>
      <c r="C67" s="3471" t="s">
        <v>3636</v>
      </c>
      <c r="D67" s="3471" t="s">
        <v>3637</v>
      </c>
      <c r="E67" s="3471" t="s">
        <v>4347</v>
      </c>
      <c r="F67" s="3471" t="s">
        <v>3525</v>
      </c>
      <c r="G67" s="3471" t="s">
        <v>3638</v>
      </c>
      <c r="H67" s="3474" t="s">
        <v>4399</v>
      </c>
    </row>
    <row r="68" spans="1:8" ht="17.55" customHeight="1">
      <c r="A68" s="3470">
        <v>66</v>
      </c>
      <c r="B68" s="3470" t="s">
        <v>3581</v>
      </c>
      <c r="C68" s="3471" t="s">
        <v>3639</v>
      </c>
      <c r="D68" s="3471" t="s">
        <v>3640</v>
      </c>
      <c r="E68" s="3471" t="s">
        <v>4269</v>
      </c>
      <c r="F68" s="3471" t="s">
        <v>3525</v>
      </c>
      <c r="G68" s="3471" t="s">
        <v>3641</v>
      </c>
      <c r="H68" s="3474" t="s">
        <v>4399</v>
      </c>
    </row>
    <row r="69" spans="1:8" ht="17.55" customHeight="1">
      <c r="A69" s="3470">
        <v>67</v>
      </c>
      <c r="B69" s="3470" t="s">
        <v>3581</v>
      </c>
      <c r="C69" s="3471" t="s">
        <v>3642</v>
      </c>
      <c r="D69" s="3471" t="s">
        <v>3643</v>
      </c>
      <c r="E69" s="3471" t="s">
        <v>4269</v>
      </c>
      <c r="F69" s="3471" t="s">
        <v>3525</v>
      </c>
      <c r="G69" s="3471" t="s">
        <v>3644</v>
      </c>
      <c r="H69" s="3474" t="s">
        <v>4399</v>
      </c>
    </row>
    <row r="70" spans="1:8" ht="17.55" customHeight="1">
      <c r="A70" s="3470">
        <v>68</v>
      </c>
      <c r="B70" s="3470" t="s">
        <v>3581</v>
      </c>
      <c r="C70" s="3471" t="s">
        <v>3645</v>
      </c>
      <c r="D70" s="3471" t="s">
        <v>3646</v>
      </c>
      <c r="E70" s="3471" t="s">
        <v>4318</v>
      </c>
      <c r="F70" s="3471" t="s">
        <v>3525</v>
      </c>
      <c r="G70" s="3471" t="s">
        <v>3647</v>
      </c>
      <c r="H70" s="3474" t="s">
        <v>4393</v>
      </c>
    </row>
    <row r="71" spans="1:8" ht="17.55" customHeight="1">
      <c r="A71" s="3470">
        <v>69</v>
      </c>
      <c r="B71" s="3470" t="s">
        <v>3581</v>
      </c>
      <c r="C71" s="3471" t="s">
        <v>3648</v>
      </c>
      <c r="D71" s="3471" t="s">
        <v>3649</v>
      </c>
      <c r="E71" s="3471" t="s">
        <v>4318</v>
      </c>
      <c r="F71" s="3471" t="s">
        <v>3525</v>
      </c>
      <c r="G71" s="3471" t="s">
        <v>3650</v>
      </c>
      <c r="H71" s="3474" t="s">
        <v>4399</v>
      </c>
    </row>
    <row r="72" spans="1:8" ht="17.55" customHeight="1">
      <c r="A72" s="3470">
        <v>70</v>
      </c>
      <c r="B72" s="3470" t="s">
        <v>3581</v>
      </c>
      <c r="C72" s="3471" t="s">
        <v>3651</v>
      </c>
      <c r="D72" s="3471" t="s">
        <v>3652</v>
      </c>
      <c r="E72" s="3471" t="s">
        <v>4256</v>
      </c>
      <c r="F72" s="3471" t="s">
        <v>3525</v>
      </c>
      <c r="G72" s="3471" t="s">
        <v>3653</v>
      </c>
      <c r="H72" s="3474" t="s">
        <v>4399</v>
      </c>
    </row>
    <row r="73" spans="1:8" ht="17.55" customHeight="1">
      <c r="A73" s="3470">
        <v>71</v>
      </c>
      <c r="B73" s="3470" t="s">
        <v>3581</v>
      </c>
      <c r="C73" s="3471" t="s">
        <v>3654</v>
      </c>
      <c r="D73" s="3471" t="s">
        <v>3655</v>
      </c>
      <c r="E73" s="3471" t="s">
        <v>4319</v>
      </c>
      <c r="F73" s="3471" t="s">
        <v>3525</v>
      </c>
      <c r="G73" s="3471" t="s">
        <v>3656</v>
      </c>
      <c r="H73" s="3474" t="s">
        <v>4399</v>
      </c>
    </row>
    <row r="74" spans="1:8" ht="17.55" customHeight="1">
      <c r="A74" s="3470">
        <v>72</v>
      </c>
      <c r="B74" s="3470" t="s">
        <v>3581</v>
      </c>
      <c r="C74" s="3471" t="s">
        <v>3657</v>
      </c>
      <c r="D74" s="3471" t="s">
        <v>3658</v>
      </c>
      <c r="E74" s="3471" t="s">
        <v>4270</v>
      </c>
      <c r="F74" s="3471" t="s">
        <v>3525</v>
      </c>
      <c r="G74" s="3471" t="s">
        <v>3659</v>
      </c>
      <c r="H74" s="3474" t="s">
        <v>4399</v>
      </c>
    </row>
    <row r="75" spans="1:8" ht="17.55" customHeight="1">
      <c r="A75" s="3470">
        <v>73</v>
      </c>
      <c r="B75" s="3470" t="s">
        <v>3581</v>
      </c>
      <c r="C75" s="3471" t="s">
        <v>3660</v>
      </c>
      <c r="D75" s="3471" t="s">
        <v>3661</v>
      </c>
      <c r="E75" s="3471" t="s">
        <v>4310</v>
      </c>
      <c r="F75" s="3471" t="s">
        <v>3525</v>
      </c>
      <c r="G75" s="3471" t="s">
        <v>3662</v>
      </c>
      <c r="H75" s="3474" t="s">
        <v>4399</v>
      </c>
    </row>
    <row r="76" spans="1:8" ht="17.55" customHeight="1">
      <c r="A76" s="3470">
        <v>74</v>
      </c>
      <c r="B76" s="3470" t="s">
        <v>3581</v>
      </c>
      <c r="C76" s="3471" t="s">
        <v>3663</v>
      </c>
      <c r="D76" s="3471" t="s">
        <v>3664</v>
      </c>
      <c r="E76" s="3471" t="s">
        <v>4271</v>
      </c>
      <c r="F76" s="3471" t="s">
        <v>3525</v>
      </c>
      <c r="G76" s="3471" t="s">
        <v>3665</v>
      </c>
      <c r="H76" s="3474" t="s">
        <v>4399</v>
      </c>
    </row>
    <row r="77" spans="1:8" ht="17.55" customHeight="1">
      <c r="A77" s="3470">
        <v>75</v>
      </c>
      <c r="B77" s="3470" t="s">
        <v>3666</v>
      </c>
      <c r="C77" s="3471" t="s">
        <v>3667</v>
      </c>
      <c r="D77" s="3471" t="s">
        <v>3668</v>
      </c>
      <c r="E77" s="3471" t="s">
        <v>4241</v>
      </c>
      <c r="F77" s="3471" t="s">
        <v>3443</v>
      </c>
      <c r="G77" s="3471" t="s">
        <v>3669</v>
      </c>
      <c r="H77" s="3474" t="s">
        <v>4399</v>
      </c>
    </row>
    <row r="78" spans="1:8" ht="17.55" customHeight="1">
      <c r="A78" s="3470">
        <v>76</v>
      </c>
      <c r="B78" s="3470" t="s">
        <v>3666</v>
      </c>
      <c r="C78" s="3471" t="s">
        <v>3670</v>
      </c>
      <c r="D78" s="3471" t="s">
        <v>3671</v>
      </c>
      <c r="E78" s="3471" t="s">
        <v>4333</v>
      </c>
      <c r="F78" s="3471" t="s">
        <v>3443</v>
      </c>
      <c r="G78" s="3471" t="s">
        <v>3672</v>
      </c>
      <c r="H78" s="3474" t="s">
        <v>4399</v>
      </c>
    </row>
    <row r="79" spans="1:8" ht="17.55" customHeight="1">
      <c r="A79" s="3470">
        <v>77</v>
      </c>
      <c r="B79" s="3470" t="s">
        <v>3666</v>
      </c>
      <c r="C79" s="3471" t="s">
        <v>3673</v>
      </c>
      <c r="D79" s="3471" t="s">
        <v>3674</v>
      </c>
      <c r="E79" s="3471" t="s">
        <v>4289</v>
      </c>
      <c r="F79" s="3471" t="s">
        <v>3443</v>
      </c>
      <c r="G79" s="3471" t="s">
        <v>3675</v>
      </c>
      <c r="H79" s="3474" t="s">
        <v>4393</v>
      </c>
    </row>
    <row r="80" spans="1:8" ht="17.55" customHeight="1">
      <c r="A80" s="3470">
        <v>78</v>
      </c>
      <c r="B80" s="3470" t="s">
        <v>3666</v>
      </c>
      <c r="C80" s="3471" t="s">
        <v>3676</v>
      </c>
      <c r="D80" s="3471" t="s">
        <v>3677</v>
      </c>
      <c r="E80" s="3471" t="s">
        <v>4285</v>
      </c>
      <c r="F80" s="3471" t="s">
        <v>3443</v>
      </c>
      <c r="G80" s="3471" t="s">
        <v>3678</v>
      </c>
      <c r="H80" s="3474" t="s">
        <v>4399</v>
      </c>
    </row>
    <row r="81" spans="1:8" ht="17.55" customHeight="1">
      <c r="A81" s="3470">
        <v>79</v>
      </c>
      <c r="B81" s="3470" t="s">
        <v>3666</v>
      </c>
      <c r="C81" s="3471" t="s">
        <v>3679</v>
      </c>
      <c r="D81" s="3471" t="s">
        <v>3680</v>
      </c>
      <c r="E81" s="3471" t="s">
        <v>4287</v>
      </c>
      <c r="F81" s="3471" t="s">
        <v>3443</v>
      </c>
      <c r="G81" s="3471" t="s">
        <v>3681</v>
      </c>
      <c r="H81" s="3474" t="s">
        <v>4399</v>
      </c>
    </row>
    <row r="82" spans="1:8" ht="17.55" customHeight="1">
      <c r="A82" s="3470">
        <v>80</v>
      </c>
      <c r="B82" s="3470" t="s">
        <v>3666</v>
      </c>
      <c r="C82" s="3471" t="s">
        <v>3682</v>
      </c>
      <c r="D82" s="3471" t="s">
        <v>3683</v>
      </c>
      <c r="E82" s="3471" t="s">
        <v>4286</v>
      </c>
      <c r="F82" s="3471" t="s">
        <v>3443</v>
      </c>
      <c r="G82" s="3471" t="s">
        <v>3684</v>
      </c>
      <c r="H82" s="3474" t="s">
        <v>4399</v>
      </c>
    </row>
    <row r="83" spans="1:8" ht="17.55" customHeight="1">
      <c r="A83" s="3470">
        <v>81</v>
      </c>
      <c r="B83" s="3470" t="s">
        <v>3666</v>
      </c>
      <c r="C83" s="3471" t="s">
        <v>3685</v>
      </c>
      <c r="D83" s="3471" t="s">
        <v>3686</v>
      </c>
      <c r="E83" s="3471" t="s">
        <v>4287</v>
      </c>
      <c r="F83" s="3471" t="s">
        <v>3443</v>
      </c>
      <c r="G83" s="3471" t="s">
        <v>3687</v>
      </c>
      <c r="H83" s="3474" t="s">
        <v>4399</v>
      </c>
    </row>
    <row r="84" spans="1:8" ht="17.55" customHeight="1">
      <c r="A84" s="3470">
        <v>82</v>
      </c>
      <c r="B84" s="3470" t="s">
        <v>3666</v>
      </c>
      <c r="C84" s="3471" t="s">
        <v>3688</v>
      </c>
      <c r="D84" s="3471" t="s">
        <v>3689</v>
      </c>
      <c r="E84" s="3471" t="s">
        <v>4288</v>
      </c>
      <c r="F84" s="3471" t="s">
        <v>3443</v>
      </c>
      <c r="G84" s="3471" t="s">
        <v>3690</v>
      </c>
      <c r="H84" s="3474" t="s">
        <v>4399</v>
      </c>
    </row>
    <row r="85" spans="1:8" ht="17.55" customHeight="1">
      <c r="A85" s="3470">
        <v>83</v>
      </c>
      <c r="B85" s="3470" t="s">
        <v>3666</v>
      </c>
      <c r="C85" s="3471" t="s">
        <v>3691</v>
      </c>
      <c r="D85" s="3471" t="s">
        <v>3692</v>
      </c>
      <c r="E85" s="3471" t="s">
        <v>4320</v>
      </c>
      <c r="F85" s="3471" t="s">
        <v>3443</v>
      </c>
      <c r="G85" s="3471" t="s">
        <v>3693</v>
      </c>
      <c r="H85" s="3474" t="s">
        <v>4399</v>
      </c>
    </row>
    <row r="86" spans="1:8" ht="17.55" customHeight="1">
      <c r="A86" s="3470">
        <v>84</v>
      </c>
      <c r="B86" s="3470" t="s">
        <v>3666</v>
      </c>
      <c r="C86" s="3471" t="s">
        <v>3694</v>
      </c>
      <c r="D86" s="3471" t="s">
        <v>3695</v>
      </c>
      <c r="E86" s="3471" t="s">
        <v>4239</v>
      </c>
      <c r="F86" s="3471" t="s">
        <v>3443</v>
      </c>
      <c r="G86" s="3471" t="s">
        <v>3696</v>
      </c>
      <c r="H86" s="3474" t="s">
        <v>4399</v>
      </c>
    </row>
    <row r="87" spans="1:8" ht="17.55" customHeight="1">
      <c r="A87" s="3470">
        <v>85</v>
      </c>
      <c r="B87" s="3470" t="s">
        <v>3666</v>
      </c>
      <c r="C87" s="3471" t="s">
        <v>3697</v>
      </c>
      <c r="D87" s="3471" t="s">
        <v>3698</v>
      </c>
      <c r="E87" s="3471" t="s">
        <v>4318</v>
      </c>
      <c r="F87" s="3471" t="s">
        <v>3443</v>
      </c>
      <c r="G87" s="3471" t="s">
        <v>3699</v>
      </c>
      <c r="H87" s="3474" t="s">
        <v>4394</v>
      </c>
    </row>
    <row r="88" spans="1:8" ht="17.55" customHeight="1">
      <c r="A88" s="3470">
        <v>86</v>
      </c>
      <c r="B88" s="3470" t="s">
        <v>3666</v>
      </c>
      <c r="C88" s="3471" t="s">
        <v>3700</v>
      </c>
      <c r="D88" s="3471" t="s">
        <v>3701</v>
      </c>
      <c r="E88" s="3471" t="s">
        <v>4318</v>
      </c>
      <c r="F88" s="3471" t="s">
        <v>3443</v>
      </c>
      <c r="G88" s="3471" t="s">
        <v>3702</v>
      </c>
      <c r="H88" s="3474" t="s">
        <v>4393</v>
      </c>
    </row>
    <row r="89" spans="1:8" ht="17.55" customHeight="1">
      <c r="A89" s="3470">
        <v>87</v>
      </c>
      <c r="B89" s="3470" t="s">
        <v>3666</v>
      </c>
      <c r="C89" s="3471" t="s">
        <v>3703</v>
      </c>
      <c r="D89" s="3471" t="s">
        <v>3704</v>
      </c>
      <c r="E89" s="3471" t="s">
        <v>4318</v>
      </c>
      <c r="F89" s="3471" t="s">
        <v>3443</v>
      </c>
      <c r="G89" s="3471" t="s">
        <v>3705</v>
      </c>
      <c r="H89" s="3474" t="s">
        <v>4394</v>
      </c>
    </row>
    <row r="90" spans="1:8" ht="17.55" customHeight="1">
      <c r="A90" s="3470">
        <v>88</v>
      </c>
      <c r="B90" s="3470" t="s">
        <v>3666</v>
      </c>
      <c r="C90" s="3471" t="s">
        <v>3706</v>
      </c>
      <c r="D90" s="3471" t="s">
        <v>3707</v>
      </c>
      <c r="E90" s="3471" t="s">
        <v>4355</v>
      </c>
      <c r="F90" s="3471" t="s">
        <v>3443</v>
      </c>
      <c r="G90" s="3471" t="s">
        <v>3708</v>
      </c>
      <c r="H90" s="3474" t="s">
        <v>4399</v>
      </c>
    </row>
    <row r="91" spans="1:8" ht="17.55" customHeight="1">
      <c r="A91" s="3470">
        <v>89</v>
      </c>
      <c r="B91" s="3470" t="s">
        <v>3666</v>
      </c>
      <c r="C91" s="3471" t="s">
        <v>3709</v>
      </c>
      <c r="D91" s="3471" t="s">
        <v>3710</v>
      </c>
      <c r="E91" s="3471" t="s">
        <v>4356</v>
      </c>
      <c r="F91" s="3471" t="s">
        <v>3443</v>
      </c>
      <c r="G91" s="3471" t="s">
        <v>3711</v>
      </c>
      <c r="H91" s="3474" t="s">
        <v>4399</v>
      </c>
    </row>
    <row r="92" spans="1:8" ht="17.55" customHeight="1">
      <c r="A92" s="3470">
        <v>90</v>
      </c>
      <c r="B92" s="3470" t="s">
        <v>3666</v>
      </c>
      <c r="C92" s="3471" t="s">
        <v>3712</v>
      </c>
      <c r="D92" s="3471" t="s">
        <v>3713</v>
      </c>
      <c r="E92" s="3471" t="s">
        <v>4239</v>
      </c>
      <c r="F92" s="3471" t="s">
        <v>3443</v>
      </c>
      <c r="G92" s="3471" t="s">
        <v>3714</v>
      </c>
      <c r="H92" s="3474" t="s">
        <v>4399</v>
      </c>
    </row>
    <row r="93" spans="1:8" ht="17.55" customHeight="1">
      <c r="A93" s="3470">
        <v>91</v>
      </c>
      <c r="B93" s="3470" t="s">
        <v>3666</v>
      </c>
      <c r="C93" s="3471" t="s">
        <v>3715</v>
      </c>
      <c r="D93" s="3471" t="s">
        <v>3716</v>
      </c>
      <c r="E93" s="3471" t="s">
        <v>4320</v>
      </c>
      <c r="F93" s="3471" t="s">
        <v>3443</v>
      </c>
      <c r="G93" s="3471" t="s">
        <v>3717</v>
      </c>
      <c r="H93" s="3474" t="s">
        <v>4399</v>
      </c>
    </row>
    <row r="94" spans="1:8" ht="17.55" customHeight="1">
      <c r="A94" s="3470">
        <v>92</v>
      </c>
      <c r="B94" s="3470" t="s">
        <v>3666</v>
      </c>
      <c r="C94" s="3471" t="s">
        <v>3718</v>
      </c>
      <c r="D94" s="3471" t="s">
        <v>3719</v>
      </c>
      <c r="E94" s="3471" t="s">
        <v>4347</v>
      </c>
      <c r="F94" s="3471" t="s">
        <v>3443</v>
      </c>
      <c r="G94" s="3471" t="s">
        <v>3720</v>
      </c>
      <c r="H94" s="3474" t="s">
        <v>4399</v>
      </c>
    </row>
    <row r="95" spans="1:8" ht="17.55" customHeight="1">
      <c r="A95" s="3470">
        <v>93</v>
      </c>
      <c r="B95" s="3470" t="s">
        <v>3666</v>
      </c>
      <c r="C95" s="3471" t="s">
        <v>3721</v>
      </c>
      <c r="D95" s="3471" t="s">
        <v>3722</v>
      </c>
      <c r="E95" s="3471" t="s">
        <v>4357</v>
      </c>
      <c r="F95" s="3471" t="s">
        <v>3443</v>
      </c>
      <c r="G95" s="3471" t="s">
        <v>3723</v>
      </c>
      <c r="H95" s="3474" t="s">
        <v>4399</v>
      </c>
    </row>
    <row r="96" spans="1:8" ht="17.55" customHeight="1">
      <c r="A96" s="3470">
        <v>94</v>
      </c>
      <c r="B96" s="3470" t="s">
        <v>3666</v>
      </c>
      <c r="C96" s="3471" t="s">
        <v>3724</v>
      </c>
      <c r="D96" s="3471" t="s">
        <v>3725</v>
      </c>
      <c r="E96" s="3471" t="s">
        <v>4287</v>
      </c>
      <c r="F96" s="3471" t="s">
        <v>3443</v>
      </c>
      <c r="G96" s="3471" t="s">
        <v>3726</v>
      </c>
      <c r="H96" s="3474" t="s">
        <v>4399</v>
      </c>
    </row>
    <row r="97" spans="1:8" ht="17.55" customHeight="1">
      <c r="A97" s="3470">
        <v>95</v>
      </c>
      <c r="B97" s="3470" t="s">
        <v>3666</v>
      </c>
      <c r="C97" s="3471" t="s">
        <v>3727</v>
      </c>
      <c r="D97" s="3471" t="s">
        <v>3728</v>
      </c>
      <c r="E97" s="3471" t="s">
        <v>4287</v>
      </c>
      <c r="F97" s="3471" t="s">
        <v>3443</v>
      </c>
      <c r="G97" s="3471" t="s">
        <v>3729</v>
      </c>
      <c r="H97" s="3474" t="s">
        <v>4399</v>
      </c>
    </row>
    <row r="98" spans="1:8" ht="17.55" customHeight="1">
      <c r="A98" s="3470">
        <v>96</v>
      </c>
      <c r="B98" s="3470" t="s">
        <v>3666</v>
      </c>
      <c r="C98" s="3471" t="s">
        <v>3730</v>
      </c>
      <c r="D98" s="3471" t="s">
        <v>3731</v>
      </c>
      <c r="E98" s="3471" t="s">
        <v>4347</v>
      </c>
      <c r="F98" s="3471" t="s">
        <v>3443</v>
      </c>
      <c r="G98" s="3471" t="s">
        <v>3732</v>
      </c>
      <c r="H98" s="3474" t="s">
        <v>4399</v>
      </c>
    </row>
    <row r="99" spans="1:8" ht="17.55" customHeight="1">
      <c r="A99" s="3470">
        <v>97</v>
      </c>
      <c r="B99" s="3470" t="s">
        <v>3666</v>
      </c>
      <c r="C99" s="3471" t="s">
        <v>3733</v>
      </c>
      <c r="D99" s="3471" t="s">
        <v>3734</v>
      </c>
      <c r="E99" s="3471" t="s">
        <v>4320</v>
      </c>
      <c r="F99" s="3471" t="s">
        <v>3443</v>
      </c>
      <c r="G99" s="3471" t="s">
        <v>3735</v>
      </c>
      <c r="H99" s="3474" t="s">
        <v>4399</v>
      </c>
    </row>
    <row r="100" spans="1:8" ht="17.55" customHeight="1">
      <c r="A100" s="3470">
        <v>98</v>
      </c>
      <c r="B100" s="3470" t="s">
        <v>3666</v>
      </c>
      <c r="C100" s="3471" t="s">
        <v>3736</v>
      </c>
      <c r="D100" s="3471" t="s">
        <v>3737</v>
      </c>
      <c r="E100" s="3471" t="s">
        <v>4355</v>
      </c>
      <c r="F100" s="3471" t="s">
        <v>3443</v>
      </c>
      <c r="G100" s="3471" t="s">
        <v>3738</v>
      </c>
      <c r="H100" s="3474" t="s">
        <v>4393</v>
      </c>
    </row>
    <row r="101" spans="1:8" ht="17.55" customHeight="1">
      <c r="A101" s="3470">
        <v>99</v>
      </c>
      <c r="B101" s="3470" t="s">
        <v>3666</v>
      </c>
      <c r="C101" s="3471" t="s">
        <v>3739</v>
      </c>
      <c r="D101" s="3471" t="s">
        <v>3740</v>
      </c>
      <c r="E101" s="3471" t="s">
        <v>4289</v>
      </c>
      <c r="F101" s="3471" t="s">
        <v>3443</v>
      </c>
      <c r="G101" s="3471" t="s">
        <v>3741</v>
      </c>
      <c r="H101" s="3474" t="s">
        <v>4393</v>
      </c>
    </row>
    <row r="102" spans="1:8" ht="17.55" customHeight="1">
      <c r="A102" s="3470">
        <v>100</v>
      </c>
      <c r="B102" s="3470" t="s">
        <v>3666</v>
      </c>
      <c r="C102" s="3471" t="s">
        <v>3742</v>
      </c>
      <c r="D102" s="3471" t="s">
        <v>3743</v>
      </c>
      <c r="E102" s="3471" t="s">
        <v>4358</v>
      </c>
      <c r="F102" s="3471" t="s">
        <v>3443</v>
      </c>
      <c r="G102" s="3471" t="s">
        <v>3744</v>
      </c>
      <c r="H102" s="3474" t="s">
        <v>4399</v>
      </c>
    </row>
    <row r="103" spans="1:8" ht="17.55" customHeight="1">
      <c r="A103" s="3470">
        <v>101</v>
      </c>
      <c r="B103" s="3470" t="s">
        <v>3666</v>
      </c>
      <c r="C103" s="3471" t="s">
        <v>3745</v>
      </c>
      <c r="D103" s="3471" t="s">
        <v>3746</v>
      </c>
      <c r="E103" s="3471" t="s">
        <v>4241</v>
      </c>
      <c r="F103" s="3471" t="s">
        <v>3443</v>
      </c>
      <c r="G103" s="3471" t="s">
        <v>3747</v>
      </c>
      <c r="H103" s="3474" t="s">
        <v>4399</v>
      </c>
    </row>
    <row r="104" spans="1:8" ht="17.55" customHeight="1">
      <c r="A104" s="3470">
        <v>102</v>
      </c>
      <c r="B104" s="3470" t="s">
        <v>3666</v>
      </c>
      <c r="C104" s="3471" t="s">
        <v>3748</v>
      </c>
      <c r="D104" s="3471" t="s">
        <v>3749</v>
      </c>
      <c r="E104" s="3471" t="s">
        <v>4303</v>
      </c>
      <c r="F104" s="3471" t="s">
        <v>3525</v>
      </c>
      <c r="G104" s="3471" t="s">
        <v>3750</v>
      </c>
      <c r="H104" s="3474" t="s">
        <v>4399</v>
      </c>
    </row>
    <row r="105" spans="1:8" ht="17.55" customHeight="1">
      <c r="A105" s="3470">
        <v>103</v>
      </c>
      <c r="B105" s="3470" t="s">
        <v>3666</v>
      </c>
      <c r="C105" s="3471" t="s">
        <v>3751</v>
      </c>
      <c r="D105" s="3471" t="s">
        <v>3752</v>
      </c>
      <c r="E105" s="3471" t="s">
        <v>4303</v>
      </c>
      <c r="F105" s="3471" t="s">
        <v>3525</v>
      </c>
      <c r="G105" s="3471" t="s">
        <v>3753</v>
      </c>
      <c r="H105" s="3474" t="s">
        <v>4399</v>
      </c>
    </row>
    <row r="106" spans="1:8" ht="17.55" customHeight="1">
      <c r="A106" s="3470">
        <v>104</v>
      </c>
      <c r="B106" s="3470" t="s">
        <v>3666</v>
      </c>
      <c r="C106" s="3471" t="s">
        <v>3754</v>
      </c>
      <c r="D106" s="3471" t="s">
        <v>3755</v>
      </c>
      <c r="E106" s="3471" t="s">
        <v>4303</v>
      </c>
      <c r="F106" s="3471" t="s">
        <v>3525</v>
      </c>
      <c r="G106" s="3471" t="s">
        <v>3756</v>
      </c>
      <c r="H106" s="3474" t="s">
        <v>4399</v>
      </c>
    </row>
    <row r="107" spans="1:8" ht="17.55" customHeight="1">
      <c r="A107" s="3470">
        <v>105</v>
      </c>
      <c r="B107" s="3470" t="s">
        <v>3666</v>
      </c>
      <c r="C107" s="3471" t="s">
        <v>3757</v>
      </c>
      <c r="D107" s="3471" t="s">
        <v>3758</v>
      </c>
      <c r="E107" s="3471" t="s">
        <v>4272</v>
      </c>
      <c r="F107" s="3471" t="s">
        <v>3525</v>
      </c>
      <c r="G107" s="3471" t="s">
        <v>3759</v>
      </c>
      <c r="H107" s="3474" t="s">
        <v>4399</v>
      </c>
    </row>
    <row r="108" spans="1:8" ht="17.55" customHeight="1">
      <c r="A108" s="3470">
        <v>106</v>
      </c>
      <c r="B108" s="3470" t="s">
        <v>3666</v>
      </c>
      <c r="C108" s="3471" t="s">
        <v>3760</v>
      </c>
      <c r="D108" s="3471" t="s">
        <v>3761</v>
      </c>
      <c r="E108" s="3471" t="s">
        <v>4305</v>
      </c>
      <c r="F108" s="3471" t="s">
        <v>3525</v>
      </c>
      <c r="G108" s="3471" t="s">
        <v>3762</v>
      </c>
      <c r="H108" s="3474" t="s">
        <v>4399</v>
      </c>
    </row>
    <row r="109" spans="1:8" ht="17.55" customHeight="1">
      <c r="A109" s="3470">
        <v>107</v>
      </c>
      <c r="B109" s="3470" t="s">
        <v>3666</v>
      </c>
      <c r="C109" s="3471" t="s">
        <v>3763</v>
      </c>
      <c r="D109" s="3471" t="s">
        <v>3764</v>
      </c>
      <c r="E109" s="3471" t="s">
        <v>4305</v>
      </c>
      <c r="F109" s="3471" t="s">
        <v>3525</v>
      </c>
      <c r="G109" s="3471" t="s">
        <v>3765</v>
      </c>
      <c r="H109" s="3474" t="s">
        <v>4399</v>
      </c>
    </row>
    <row r="110" spans="1:8" ht="17.55" customHeight="1">
      <c r="A110" s="3470">
        <v>108</v>
      </c>
      <c r="B110" s="3470" t="s">
        <v>3666</v>
      </c>
      <c r="C110" s="3471" t="s">
        <v>3766</v>
      </c>
      <c r="D110" s="3471" t="s">
        <v>3767</v>
      </c>
      <c r="E110" s="3471" t="s">
        <v>4305</v>
      </c>
      <c r="F110" s="3471" t="s">
        <v>3525</v>
      </c>
      <c r="G110" s="3471" t="s">
        <v>3768</v>
      </c>
      <c r="H110" s="3474" t="s">
        <v>4399</v>
      </c>
    </row>
    <row r="111" spans="1:8" ht="17.55" customHeight="1">
      <c r="A111" s="3470">
        <v>109</v>
      </c>
      <c r="B111" s="3470" t="s">
        <v>3666</v>
      </c>
      <c r="C111" s="3471" t="s">
        <v>3769</v>
      </c>
      <c r="D111" s="3471" t="s">
        <v>3770</v>
      </c>
      <c r="E111" s="3471" t="s">
        <v>4238</v>
      </c>
      <c r="F111" s="3471" t="s">
        <v>3525</v>
      </c>
      <c r="G111" s="3471" t="s">
        <v>3771</v>
      </c>
      <c r="H111" s="3474" t="s">
        <v>4399</v>
      </c>
    </row>
    <row r="112" spans="1:8" ht="17.55" customHeight="1">
      <c r="A112" s="3470">
        <v>110</v>
      </c>
      <c r="B112" s="3470" t="s">
        <v>3666</v>
      </c>
      <c r="C112" s="3471" t="s">
        <v>3772</v>
      </c>
      <c r="D112" s="3471" t="s">
        <v>3773</v>
      </c>
      <c r="E112" s="3471" t="s">
        <v>4321</v>
      </c>
      <c r="F112" s="3471" t="s">
        <v>3525</v>
      </c>
      <c r="G112" s="3471" t="s">
        <v>3774</v>
      </c>
      <c r="H112" s="3474" t="s">
        <v>4399</v>
      </c>
    </row>
    <row r="113" spans="1:8" ht="17.55" customHeight="1">
      <c r="A113" s="3470">
        <v>111</v>
      </c>
      <c r="B113" s="3470" t="s">
        <v>3666</v>
      </c>
      <c r="C113" s="3471" t="s">
        <v>3775</v>
      </c>
      <c r="D113" s="3471" t="s">
        <v>3776</v>
      </c>
      <c r="E113" s="3471" t="s">
        <v>4246</v>
      </c>
      <c r="F113" s="3471" t="s">
        <v>3525</v>
      </c>
      <c r="G113" s="3471" t="s">
        <v>3777</v>
      </c>
      <c r="H113" s="3474" t="s">
        <v>4393</v>
      </c>
    </row>
    <row r="114" spans="1:8" ht="17.55" customHeight="1">
      <c r="A114" s="3470">
        <v>112</v>
      </c>
      <c r="B114" s="3470" t="s">
        <v>3666</v>
      </c>
      <c r="C114" s="3471" t="s">
        <v>3778</v>
      </c>
      <c r="D114" s="3471" t="s">
        <v>3779</v>
      </c>
      <c r="E114" s="3471" t="s">
        <v>4246</v>
      </c>
      <c r="F114" s="3471" t="s">
        <v>3525</v>
      </c>
      <c r="G114" s="3471" t="s">
        <v>3780</v>
      </c>
      <c r="H114" s="3474" t="s">
        <v>4393</v>
      </c>
    </row>
    <row r="115" spans="1:8" ht="17.55" customHeight="1">
      <c r="A115" s="3470">
        <v>113</v>
      </c>
      <c r="B115" s="3470" t="s">
        <v>3666</v>
      </c>
      <c r="C115" s="3471" t="s">
        <v>3781</v>
      </c>
      <c r="D115" s="3471" t="s">
        <v>3782</v>
      </c>
      <c r="E115" s="3471" t="s">
        <v>4259</v>
      </c>
      <c r="F115" s="3471" t="s">
        <v>3525</v>
      </c>
      <c r="G115" s="3471" t="s">
        <v>3783</v>
      </c>
      <c r="H115" s="3474" t="s">
        <v>4399</v>
      </c>
    </row>
    <row r="116" spans="1:8" ht="17.55" customHeight="1">
      <c r="A116" s="3470">
        <v>114</v>
      </c>
      <c r="B116" s="3470" t="s">
        <v>3666</v>
      </c>
      <c r="C116" s="3471" t="s">
        <v>3784</v>
      </c>
      <c r="D116" s="3471" t="s">
        <v>3785</v>
      </c>
      <c r="E116" s="3471" t="s">
        <v>4258</v>
      </c>
      <c r="F116" s="3471" t="s">
        <v>3525</v>
      </c>
      <c r="G116" s="3471" t="s">
        <v>3786</v>
      </c>
      <c r="H116" s="3474" t="s">
        <v>4399</v>
      </c>
    </row>
    <row r="117" spans="1:8" ht="17.55" customHeight="1">
      <c r="A117" s="3470">
        <v>115</v>
      </c>
      <c r="B117" s="3470" t="s">
        <v>3666</v>
      </c>
      <c r="C117" s="3471" t="s">
        <v>3787</v>
      </c>
      <c r="D117" s="3471" t="s">
        <v>3788</v>
      </c>
      <c r="E117" s="3471" t="s">
        <v>4258</v>
      </c>
      <c r="F117" s="3471" t="s">
        <v>3525</v>
      </c>
      <c r="G117" s="3471" t="s">
        <v>3789</v>
      </c>
      <c r="H117" s="3474" t="s">
        <v>4399</v>
      </c>
    </row>
    <row r="118" spans="1:8" ht="17.55" customHeight="1">
      <c r="A118" s="3470">
        <v>116</v>
      </c>
      <c r="B118" s="3470" t="s">
        <v>3666</v>
      </c>
      <c r="C118" s="3471" t="s">
        <v>3790</v>
      </c>
      <c r="D118" s="3471" t="s">
        <v>3791</v>
      </c>
      <c r="E118" s="3471" t="s">
        <v>4258</v>
      </c>
      <c r="F118" s="3471" t="s">
        <v>3525</v>
      </c>
      <c r="G118" s="3471" t="s">
        <v>3792</v>
      </c>
      <c r="H118" s="3474" t="s">
        <v>4399</v>
      </c>
    </row>
    <row r="119" spans="1:8" ht="17.55" customHeight="1">
      <c r="A119" s="3470">
        <v>117</v>
      </c>
      <c r="B119" s="3470" t="s">
        <v>3666</v>
      </c>
      <c r="C119" s="3471" t="s">
        <v>3793</v>
      </c>
      <c r="D119" s="3471" t="s">
        <v>3794</v>
      </c>
      <c r="E119" s="3471" t="s">
        <v>4352</v>
      </c>
      <c r="F119" s="3471" t="s">
        <v>3525</v>
      </c>
      <c r="G119" s="3471" t="s">
        <v>3795</v>
      </c>
      <c r="H119" s="3474" t="s">
        <v>4399</v>
      </c>
    </row>
    <row r="120" spans="1:8" ht="17.55" customHeight="1">
      <c r="A120" s="3470">
        <v>118</v>
      </c>
      <c r="B120" s="3470" t="s">
        <v>3666</v>
      </c>
      <c r="C120" s="3471" t="s">
        <v>3796</v>
      </c>
      <c r="D120" s="3471" t="s">
        <v>3797</v>
      </c>
      <c r="E120" s="3471" t="s">
        <v>4322</v>
      </c>
      <c r="F120" s="3471" t="s">
        <v>3525</v>
      </c>
      <c r="G120" s="3471" t="s">
        <v>3798</v>
      </c>
      <c r="H120" s="3474" t="s">
        <v>4399</v>
      </c>
    </row>
    <row r="121" spans="1:8" ht="17.55" customHeight="1">
      <c r="A121" s="3470">
        <v>119</v>
      </c>
      <c r="B121" s="3470" t="s">
        <v>3666</v>
      </c>
      <c r="C121" s="3471" t="s">
        <v>3799</v>
      </c>
      <c r="D121" s="3471" t="s">
        <v>3800</v>
      </c>
      <c r="E121" s="3471" t="s">
        <v>4323</v>
      </c>
      <c r="F121" s="3471" t="s">
        <v>3525</v>
      </c>
      <c r="G121" s="3471" t="s">
        <v>3801</v>
      </c>
      <c r="H121" s="3474" t="s">
        <v>4393</v>
      </c>
    </row>
    <row r="122" spans="1:8" ht="17.55" customHeight="1">
      <c r="A122" s="3470">
        <v>120</v>
      </c>
      <c r="B122" s="3470" t="s">
        <v>3666</v>
      </c>
      <c r="C122" s="3471" t="s">
        <v>3802</v>
      </c>
      <c r="D122" s="3471" t="s">
        <v>3803</v>
      </c>
      <c r="E122" s="3471" t="s">
        <v>4324</v>
      </c>
      <c r="F122" s="3471" t="s">
        <v>3525</v>
      </c>
      <c r="G122" s="3471" t="s">
        <v>3804</v>
      </c>
      <c r="H122" s="3474" t="s">
        <v>4393</v>
      </c>
    </row>
    <row r="123" spans="1:8" ht="17.55" customHeight="1">
      <c r="A123" s="3470">
        <v>121</v>
      </c>
      <c r="B123" s="3470" t="s">
        <v>3666</v>
      </c>
      <c r="C123" s="3471" t="s">
        <v>3805</v>
      </c>
      <c r="D123" s="3471" t="s">
        <v>3806</v>
      </c>
      <c r="E123" s="3471" t="s">
        <v>4273</v>
      </c>
      <c r="F123" s="3471" t="s">
        <v>3525</v>
      </c>
      <c r="G123" s="3471" t="s">
        <v>3807</v>
      </c>
      <c r="H123" s="3474" t="s">
        <v>4399</v>
      </c>
    </row>
    <row r="124" spans="1:8" ht="17.55" customHeight="1">
      <c r="A124" s="3470">
        <v>122</v>
      </c>
      <c r="B124" s="3470" t="s">
        <v>3666</v>
      </c>
      <c r="C124" s="3471" t="s">
        <v>3808</v>
      </c>
      <c r="D124" s="3471" t="s">
        <v>3809</v>
      </c>
      <c r="E124" s="3471" t="s">
        <v>4353</v>
      </c>
      <c r="F124" s="3471" t="s">
        <v>3525</v>
      </c>
      <c r="G124" s="3471" t="s">
        <v>3810</v>
      </c>
      <c r="H124" s="3474" t="s">
        <v>4399</v>
      </c>
    </row>
    <row r="125" spans="1:8" ht="17.55" customHeight="1">
      <c r="A125" s="3470">
        <v>123</v>
      </c>
      <c r="B125" s="3470" t="s">
        <v>3666</v>
      </c>
      <c r="C125" s="3471" t="s">
        <v>3811</v>
      </c>
      <c r="D125" s="3471" t="s">
        <v>3812</v>
      </c>
      <c r="E125" s="3471" t="s">
        <v>4238</v>
      </c>
      <c r="F125" s="3471" t="s">
        <v>3525</v>
      </c>
      <c r="G125" s="3471" t="s">
        <v>3813</v>
      </c>
      <c r="H125" s="3474" t="s">
        <v>4399</v>
      </c>
    </row>
    <row r="126" spans="1:8" ht="17.55" customHeight="1">
      <c r="A126" s="3470">
        <v>124</v>
      </c>
      <c r="B126" s="3470" t="s">
        <v>3666</v>
      </c>
      <c r="C126" s="3471" t="s">
        <v>3814</v>
      </c>
      <c r="D126" s="3471" t="s">
        <v>3815</v>
      </c>
      <c r="E126" s="3471" t="s">
        <v>4305</v>
      </c>
      <c r="F126" s="3471" t="s">
        <v>3525</v>
      </c>
      <c r="G126" s="3471" t="s">
        <v>3816</v>
      </c>
      <c r="H126" s="3474" t="s">
        <v>4399</v>
      </c>
    </row>
    <row r="127" spans="1:8" ht="17.55" customHeight="1">
      <c r="A127" s="3470">
        <v>125</v>
      </c>
      <c r="B127" s="3470" t="s">
        <v>3666</v>
      </c>
      <c r="C127" s="3471" t="s">
        <v>3817</v>
      </c>
      <c r="D127" s="3471" t="s">
        <v>3818</v>
      </c>
      <c r="E127" s="3471" t="s">
        <v>4305</v>
      </c>
      <c r="F127" s="3471" t="s">
        <v>3525</v>
      </c>
      <c r="G127" s="3471" t="s">
        <v>3819</v>
      </c>
      <c r="H127" s="3474" t="s">
        <v>4399</v>
      </c>
    </row>
    <row r="128" spans="1:8" ht="17.55" customHeight="1">
      <c r="A128" s="3470">
        <v>126</v>
      </c>
      <c r="B128" s="3470" t="s">
        <v>3666</v>
      </c>
      <c r="C128" s="3471" t="s">
        <v>3820</v>
      </c>
      <c r="D128" s="3471" t="s">
        <v>3821</v>
      </c>
      <c r="E128" s="3471" t="s">
        <v>4305</v>
      </c>
      <c r="F128" s="3471" t="s">
        <v>3525</v>
      </c>
      <c r="G128" s="3471" t="s">
        <v>3822</v>
      </c>
      <c r="H128" s="3474" t="s">
        <v>4399</v>
      </c>
    </row>
    <row r="129" spans="1:8" ht="17.55" customHeight="1">
      <c r="A129" s="3470">
        <v>127</v>
      </c>
      <c r="B129" s="3470" t="s">
        <v>3666</v>
      </c>
      <c r="C129" s="3471" t="s">
        <v>3823</v>
      </c>
      <c r="D129" s="3471" t="s">
        <v>3824</v>
      </c>
      <c r="E129" s="3471" t="s">
        <v>4238</v>
      </c>
      <c r="F129" s="3471" t="s">
        <v>3525</v>
      </c>
      <c r="G129" s="3471" t="s">
        <v>3825</v>
      </c>
      <c r="H129" s="3474" t="s">
        <v>4399</v>
      </c>
    </row>
    <row r="130" spans="1:8" ht="17.55" customHeight="1">
      <c r="A130" s="3470">
        <v>128</v>
      </c>
      <c r="B130" s="3470" t="s">
        <v>3666</v>
      </c>
      <c r="C130" s="3471" t="s">
        <v>3826</v>
      </c>
      <c r="D130" s="3471" t="s">
        <v>3827</v>
      </c>
      <c r="E130" s="3471" t="s">
        <v>4321</v>
      </c>
      <c r="F130" s="3471" t="s">
        <v>3525</v>
      </c>
      <c r="G130" s="3471" t="s">
        <v>3828</v>
      </c>
      <c r="H130" s="3474" t="s">
        <v>4399</v>
      </c>
    </row>
    <row r="131" spans="1:8" ht="17.55" customHeight="1">
      <c r="A131" s="3470">
        <v>129</v>
      </c>
      <c r="B131" s="3470" t="s">
        <v>3666</v>
      </c>
      <c r="C131" s="3471" t="s">
        <v>3829</v>
      </c>
      <c r="D131" s="3471" t="s">
        <v>3830</v>
      </c>
      <c r="E131" s="3471" t="s">
        <v>4303</v>
      </c>
      <c r="F131" s="3471" t="s">
        <v>3525</v>
      </c>
      <c r="G131" s="3471" t="s">
        <v>3831</v>
      </c>
      <c r="H131" s="3474" t="s">
        <v>4399</v>
      </c>
    </row>
    <row r="132" spans="1:8" ht="17.55" customHeight="1">
      <c r="A132" s="3470">
        <v>130</v>
      </c>
      <c r="B132" s="3470" t="s">
        <v>3666</v>
      </c>
      <c r="C132" s="3471" t="s">
        <v>3832</v>
      </c>
      <c r="D132" s="3471" t="s">
        <v>3833</v>
      </c>
      <c r="E132" s="3471" t="s">
        <v>4303</v>
      </c>
      <c r="F132" s="3471" t="s">
        <v>3525</v>
      </c>
      <c r="G132" s="3471" t="s">
        <v>3834</v>
      </c>
      <c r="H132" s="3474" t="s">
        <v>4399</v>
      </c>
    </row>
    <row r="133" spans="1:8" ht="17.55" customHeight="1">
      <c r="A133" s="3470">
        <v>131</v>
      </c>
      <c r="B133" s="3470" t="s">
        <v>3666</v>
      </c>
      <c r="C133" s="3471" t="s">
        <v>3835</v>
      </c>
      <c r="D133" s="3471" t="s">
        <v>3836</v>
      </c>
      <c r="E133" s="3471" t="s">
        <v>4303</v>
      </c>
      <c r="F133" s="3471" t="s">
        <v>3525</v>
      </c>
      <c r="G133" s="3471" t="s">
        <v>3837</v>
      </c>
      <c r="H133" s="3474" t="s">
        <v>4399</v>
      </c>
    </row>
    <row r="134" spans="1:8" ht="17.55" customHeight="1">
      <c r="A134" s="3470">
        <v>132</v>
      </c>
      <c r="B134" s="3470" t="s">
        <v>3666</v>
      </c>
      <c r="C134" s="3471" t="s">
        <v>3838</v>
      </c>
      <c r="D134" s="3471" t="s">
        <v>3839</v>
      </c>
      <c r="E134" s="3471" t="s">
        <v>4296</v>
      </c>
      <c r="F134" s="3471" t="s">
        <v>3525</v>
      </c>
      <c r="G134" s="3471" t="s">
        <v>3840</v>
      </c>
      <c r="H134" s="3474" t="s">
        <v>4393</v>
      </c>
    </row>
    <row r="135" spans="1:8" ht="17.55" customHeight="1">
      <c r="A135" s="3470">
        <v>133</v>
      </c>
      <c r="B135" s="3470" t="s">
        <v>3666</v>
      </c>
      <c r="C135" s="3471" t="s">
        <v>3841</v>
      </c>
      <c r="D135" s="3471" t="s">
        <v>3842</v>
      </c>
      <c r="E135" s="3471" t="s">
        <v>4272</v>
      </c>
      <c r="F135" s="3471" t="s">
        <v>3525</v>
      </c>
      <c r="G135" s="3471" t="s">
        <v>3843</v>
      </c>
      <c r="H135" s="3474" t="s">
        <v>4399</v>
      </c>
    </row>
    <row r="136" spans="1:8" ht="17.55" customHeight="1">
      <c r="A136" s="3470">
        <v>134</v>
      </c>
      <c r="B136" s="3470" t="s">
        <v>3666</v>
      </c>
      <c r="C136" s="3471" t="s">
        <v>3844</v>
      </c>
      <c r="D136" s="3471" t="s">
        <v>3845</v>
      </c>
      <c r="E136" s="3471" t="s">
        <v>4242</v>
      </c>
      <c r="F136" s="3471" t="s">
        <v>3525</v>
      </c>
      <c r="G136" s="3471" t="s">
        <v>3846</v>
      </c>
      <c r="H136" s="3474" t="s">
        <v>4399</v>
      </c>
    </row>
    <row r="137" spans="1:8" ht="17.55" customHeight="1">
      <c r="A137" s="3470">
        <v>135</v>
      </c>
      <c r="B137" s="3470" t="s">
        <v>3847</v>
      </c>
      <c r="C137" s="3471" t="s">
        <v>3848</v>
      </c>
      <c r="D137" s="3471" t="s">
        <v>3849</v>
      </c>
      <c r="E137" s="3471" t="s">
        <v>4291</v>
      </c>
      <c r="F137" s="3471" t="s">
        <v>3443</v>
      </c>
      <c r="G137" s="3471" t="s">
        <v>3850</v>
      </c>
      <c r="H137" s="3474" t="s">
        <v>4399</v>
      </c>
    </row>
    <row r="138" spans="1:8" ht="17.55" customHeight="1">
      <c r="A138" s="3470">
        <v>136</v>
      </c>
      <c r="B138" s="3470" t="s">
        <v>3847</v>
      </c>
      <c r="C138" s="3471" t="s">
        <v>3851</v>
      </c>
      <c r="D138" s="3471" t="s">
        <v>3852</v>
      </c>
      <c r="E138" s="3471" t="s">
        <v>4261</v>
      </c>
      <c r="F138" s="3471" t="s">
        <v>3443</v>
      </c>
      <c r="G138" s="3471" t="s">
        <v>3853</v>
      </c>
      <c r="H138" s="3474" t="s">
        <v>4399</v>
      </c>
    </row>
    <row r="139" spans="1:8" ht="17.55" customHeight="1">
      <c r="A139" s="3470">
        <v>137</v>
      </c>
      <c r="B139" s="3470" t="s">
        <v>3847</v>
      </c>
      <c r="C139" s="3471" t="s">
        <v>3851</v>
      </c>
      <c r="D139" s="3471" t="s">
        <v>3854</v>
      </c>
      <c r="E139" s="3471" t="s">
        <v>4327</v>
      </c>
      <c r="F139" s="3471" t="s">
        <v>3443</v>
      </c>
      <c r="G139" s="3471" t="s">
        <v>3855</v>
      </c>
      <c r="H139" s="3474" t="s">
        <v>4399</v>
      </c>
    </row>
    <row r="140" spans="1:8" ht="17.55" customHeight="1">
      <c r="A140" s="3470">
        <v>138</v>
      </c>
      <c r="B140" s="3470" t="s">
        <v>3847</v>
      </c>
      <c r="C140" s="3471" t="s">
        <v>3851</v>
      </c>
      <c r="D140" s="3471" t="s">
        <v>3856</v>
      </c>
      <c r="E140" s="3471" t="s">
        <v>4327</v>
      </c>
      <c r="F140" s="3471" t="s">
        <v>3443</v>
      </c>
      <c r="G140" s="3471" t="s">
        <v>3857</v>
      </c>
      <c r="H140" s="3474" t="s">
        <v>4399</v>
      </c>
    </row>
    <row r="141" spans="1:8" ht="17.55" customHeight="1">
      <c r="A141" s="3470">
        <v>139</v>
      </c>
      <c r="B141" s="3470" t="s">
        <v>3847</v>
      </c>
      <c r="C141" s="3471" t="s">
        <v>3851</v>
      </c>
      <c r="D141" s="3471" t="s">
        <v>3858</v>
      </c>
      <c r="E141" s="3471" t="s">
        <v>4261</v>
      </c>
      <c r="F141" s="3471" t="s">
        <v>3443</v>
      </c>
      <c r="G141" s="3471" t="s">
        <v>3859</v>
      </c>
      <c r="H141" s="3474" t="s">
        <v>4399</v>
      </c>
    </row>
    <row r="142" spans="1:8" ht="17.55" customHeight="1">
      <c r="A142" s="3470">
        <v>140</v>
      </c>
      <c r="B142" s="3470" t="s">
        <v>3847</v>
      </c>
      <c r="C142" s="3471" t="s">
        <v>3860</v>
      </c>
      <c r="D142" s="3471" t="s">
        <v>3861</v>
      </c>
      <c r="E142" s="3471" t="s">
        <v>4274</v>
      </c>
      <c r="F142" s="3471" t="s">
        <v>3443</v>
      </c>
      <c r="G142" s="3471" t="s">
        <v>3862</v>
      </c>
      <c r="H142" s="3474" t="s">
        <v>4394</v>
      </c>
    </row>
    <row r="143" spans="1:8" ht="17.55" customHeight="1">
      <c r="A143" s="3470">
        <v>141</v>
      </c>
      <c r="B143" s="3470" t="s">
        <v>3847</v>
      </c>
      <c r="C143" s="3471" t="s">
        <v>3863</v>
      </c>
      <c r="D143" s="3471" t="s">
        <v>3864</v>
      </c>
      <c r="E143" s="3471" t="s">
        <v>4292</v>
      </c>
      <c r="F143" s="3471" t="s">
        <v>3443</v>
      </c>
      <c r="G143" s="3471" t="s">
        <v>3865</v>
      </c>
      <c r="H143" s="3474" t="s">
        <v>4399</v>
      </c>
    </row>
    <row r="144" spans="1:8" ht="17.55" customHeight="1">
      <c r="A144" s="3470">
        <v>142</v>
      </c>
      <c r="B144" s="3470" t="s">
        <v>3866</v>
      </c>
      <c r="C144" s="3471" t="s">
        <v>3867</v>
      </c>
      <c r="D144" s="3471" t="s">
        <v>3868</v>
      </c>
      <c r="E144" s="3471" t="s">
        <v>4255</v>
      </c>
      <c r="F144" s="3471" t="s">
        <v>3443</v>
      </c>
      <c r="G144" s="3471" t="s">
        <v>3869</v>
      </c>
      <c r="H144" s="3474" t="s">
        <v>4399</v>
      </c>
    </row>
    <row r="145" spans="1:8" ht="17.55" customHeight="1">
      <c r="A145" s="3470">
        <v>143</v>
      </c>
      <c r="B145" s="3470" t="s">
        <v>3866</v>
      </c>
      <c r="C145" s="3471" t="s">
        <v>3870</v>
      </c>
      <c r="D145" s="3471" t="s">
        <v>3871</v>
      </c>
      <c r="E145" s="3471" t="s">
        <v>4251</v>
      </c>
      <c r="F145" s="3471" t="s">
        <v>3443</v>
      </c>
      <c r="G145" s="3471" t="s">
        <v>3872</v>
      </c>
      <c r="H145" s="3474" t="s">
        <v>4393</v>
      </c>
    </row>
    <row r="146" spans="1:8" ht="17.55" customHeight="1">
      <c r="A146" s="3470">
        <v>144</v>
      </c>
      <c r="B146" s="3470" t="s">
        <v>3866</v>
      </c>
      <c r="C146" s="3471" t="s">
        <v>3873</v>
      </c>
      <c r="D146" s="3471" t="s">
        <v>3874</v>
      </c>
      <c r="E146" s="3471" t="s">
        <v>4250</v>
      </c>
      <c r="F146" s="3471" t="s">
        <v>3443</v>
      </c>
      <c r="G146" s="3471" t="s">
        <v>3875</v>
      </c>
      <c r="H146" s="3474" t="s">
        <v>4399</v>
      </c>
    </row>
    <row r="147" spans="1:8" ht="17.55" customHeight="1">
      <c r="A147" s="3470">
        <v>145</v>
      </c>
      <c r="B147" s="3470" t="s">
        <v>3866</v>
      </c>
      <c r="C147" s="3471" t="s">
        <v>3876</v>
      </c>
      <c r="D147" s="3471" t="s">
        <v>3877</v>
      </c>
      <c r="E147" s="3471" t="s">
        <v>4252</v>
      </c>
      <c r="F147" s="3471" t="s">
        <v>3443</v>
      </c>
      <c r="G147" s="3471" t="s">
        <v>3878</v>
      </c>
      <c r="H147" s="3474" t="s">
        <v>4399</v>
      </c>
    </row>
    <row r="148" spans="1:8" ht="17.55" customHeight="1">
      <c r="A148" s="3470">
        <v>146</v>
      </c>
      <c r="B148" s="3470" t="s">
        <v>3866</v>
      </c>
      <c r="C148" s="3471" t="s">
        <v>3879</v>
      </c>
      <c r="D148" s="3471" t="s">
        <v>3880</v>
      </c>
      <c r="E148" s="3471" t="s">
        <v>4364</v>
      </c>
      <c r="F148" s="3471" t="s">
        <v>3443</v>
      </c>
      <c r="G148" s="3471" t="s">
        <v>3881</v>
      </c>
      <c r="H148" s="3474" t="s">
        <v>4399</v>
      </c>
    </row>
    <row r="149" spans="1:8" ht="17.55" customHeight="1">
      <c r="A149" s="3470">
        <v>147</v>
      </c>
      <c r="B149" s="3470" t="s">
        <v>3866</v>
      </c>
      <c r="C149" s="3471" t="s">
        <v>3882</v>
      </c>
      <c r="D149" s="3471" t="s">
        <v>3883</v>
      </c>
      <c r="E149" s="3471" t="s">
        <v>4364</v>
      </c>
      <c r="F149" s="3471" t="s">
        <v>3443</v>
      </c>
      <c r="G149" s="3471" t="s">
        <v>3884</v>
      </c>
      <c r="H149" s="3474" t="s">
        <v>4399</v>
      </c>
    </row>
    <row r="150" spans="1:8" ht="17.55" customHeight="1">
      <c r="A150" s="3470">
        <v>148</v>
      </c>
      <c r="B150" s="3470" t="s">
        <v>3866</v>
      </c>
      <c r="C150" s="3471" t="s">
        <v>3885</v>
      </c>
      <c r="D150" s="3471" t="s">
        <v>3886</v>
      </c>
      <c r="E150" s="3471" t="s">
        <v>4365</v>
      </c>
      <c r="F150" s="3471" t="s">
        <v>3443</v>
      </c>
      <c r="G150" s="3471" t="s">
        <v>3887</v>
      </c>
      <c r="H150" s="3474" t="s">
        <v>4399</v>
      </c>
    </row>
    <row r="151" spans="1:8" ht="17.55" customHeight="1">
      <c r="A151" s="3470">
        <v>149</v>
      </c>
      <c r="B151" s="3470" t="s">
        <v>3866</v>
      </c>
      <c r="C151" s="3471" t="s">
        <v>3888</v>
      </c>
      <c r="D151" s="3471" t="s">
        <v>3889</v>
      </c>
      <c r="E151" s="3471" t="s">
        <v>4366</v>
      </c>
      <c r="F151" s="3471" t="s">
        <v>3443</v>
      </c>
      <c r="G151" s="3471" t="s">
        <v>3890</v>
      </c>
      <c r="H151" s="3474" t="s">
        <v>4399</v>
      </c>
    </row>
    <row r="152" spans="1:8" ht="17.55" customHeight="1">
      <c r="A152" s="3470">
        <v>150</v>
      </c>
      <c r="B152" s="3470" t="s">
        <v>3866</v>
      </c>
      <c r="C152" s="3471" t="s">
        <v>3891</v>
      </c>
      <c r="D152" s="3471" t="s">
        <v>3892</v>
      </c>
      <c r="E152" s="3471" t="s">
        <v>4311</v>
      </c>
      <c r="F152" s="3471" t="s">
        <v>3443</v>
      </c>
      <c r="G152" s="3471" t="s">
        <v>3893</v>
      </c>
      <c r="H152" s="3474" t="s">
        <v>4399</v>
      </c>
    </row>
    <row r="153" spans="1:8" ht="17.55" customHeight="1">
      <c r="A153" s="3470">
        <v>151</v>
      </c>
      <c r="B153" s="3470" t="s">
        <v>3866</v>
      </c>
      <c r="C153" s="3471" t="s">
        <v>3894</v>
      </c>
      <c r="D153" s="3471" t="s">
        <v>3895</v>
      </c>
      <c r="E153" s="3471" t="s">
        <v>4313</v>
      </c>
      <c r="F153" s="3471" t="s">
        <v>3443</v>
      </c>
      <c r="G153" s="3471" t="s">
        <v>3896</v>
      </c>
      <c r="H153" s="3474" t="s">
        <v>4399</v>
      </c>
    </row>
    <row r="154" spans="1:8" ht="17.55" customHeight="1">
      <c r="A154" s="3470">
        <v>152</v>
      </c>
      <c r="B154" s="3470" t="s">
        <v>3866</v>
      </c>
      <c r="C154" s="3471" t="s">
        <v>3897</v>
      </c>
      <c r="D154" s="3471" t="s">
        <v>3898</v>
      </c>
      <c r="E154" s="3471" t="s">
        <v>4253</v>
      </c>
      <c r="F154" s="3471" t="s">
        <v>3525</v>
      </c>
      <c r="G154" s="3471" t="s">
        <v>3899</v>
      </c>
      <c r="H154" s="3474" t="s">
        <v>4399</v>
      </c>
    </row>
    <row r="155" spans="1:8" ht="17.55" customHeight="1">
      <c r="A155" s="3470">
        <v>153</v>
      </c>
      <c r="B155" s="3470" t="s">
        <v>3866</v>
      </c>
      <c r="C155" s="3471" t="s">
        <v>3900</v>
      </c>
      <c r="D155" s="3471" t="s">
        <v>3901</v>
      </c>
      <c r="E155" s="3471" t="s">
        <v>4254</v>
      </c>
      <c r="F155" s="3471" t="s">
        <v>3525</v>
      </c>
      <c r="G155" s="3471" t="s">
        <v>3902</v>
      </c>
      <c r="H155" s="3474" t="s">
        <v>4399</v>
      </c>
    </row>
    <row r="156" spans="1:8" ht="17.55" customHeight="1">
      <c r="A156" s="3470">
        <v>154</v>
      </c>
      <c r="B156" s="3470" t="s">
        <v>3866</v>
      </c>
      <c r="C156" s="3471" t="s">
        <v>3903</v>
      </c>
      <c r="D156" s="3471" t="s">
        <v>3904</v>
      </c>
      <c r="E156" s="3471" t="s">
        <v>4254</v>
      </c>
      <c r="F156" s="3471" t="s">
        <v>3525</v>
      </c>
      <c r="G156" s="3471" t="s">
        <v>3905</v>
      </c>
      <c r="H156" s="3474" t="s">
        <v>4399</v>
      </c>
    </row>
    <row r="157" spans="1:8" ht="17.55" customHeight="1">
      <c r="A157" s="3470">
        <v>155</v>
      </c>
      <c r="B157" s="3470" t="s">
        <v>3866</v>
      </c>
      <c r="C157" s="3471" t="s">
        <v>3906</v>
      </c>
      <c r="D157" s="3471" t="s">
        <v>3907</v>
      </c>
      <c r="E157" s="3471" t="s">
        <v>4254</v>
      </c>
      <c r="F157" s="3471" t="s">
        <v>3525</v>
      </c>
      <c r="G157" s="3471" t="s">
        <v>3908</v>
      </c>
      <c r="H157" s="3474" t="s">
        <v>4394</v>
      </c>
    </row>
    <row r="158" spans="1:8" ht="17.55" customHeight="1">
      <c r="A158" s="3470">
        <v>156</v>
      </c>
      <c r="B158" s="3470" t="s">
        <v>3866</v>
      </c>
      <c r="C158" s="3471" t="s">
        <v>3909</v>
      </c>
      <c r="D158" s="3471" t="s">
        <v>3910</v>
      </c>
      <c r="E158" s="3471" t="s">
        <v>4255</v>
      </c>
      <c r="F158" s="3471" t="s">
        <v>3525</v>
      </c>
      <c r="G158" s="3471" t="s">
        <v>3911</v>
      </c>
      <c r="H158" s="3474" t="s">
        <v>4399</v>
      </c>
    </row>
    <row r="159" spans="1:8" ht="17.55" customHeight="1">
      <c r="A159" s="3470">
        <v>157</v>
      </c>
      <c r="B159" s="3470" t="s">
        <v>3866</v>
      </c>
      <c r="C159" s="3471" t="s">
        <v>3912</v>
      </c>
      <c r="D159" s="3471" t="s">
        <v>3913</v>
      </c>
      <c r="E159" s="3471" t="s">
        <v>4251</v>
      </c>
      <c r="F159" s="3471" t="s">
        <v>3525</v>
      </c>
      <c r="G159" s="3471" t="s">
        <v>3914</v>
      </c>
      <c r="H159" s="3474" t="s">
        <v>4393</v>
      </c>
    </row>
    <row r="160" spans="1:8" ht="17.55" customHeight="1">
      <c r="A160" s="3470">
        <v>158</v>
      </c>
      <c r="B160" s="3470" t="s">
        <v>3866</v>
      </c>
      <c r="C160" s="3471" t="s">
        <v>3915</v>
      </c>
      <c r="D160" s="3471" t="s">
        <v>3916</v>
      </c>
      <c r="E160" s="3471" t="s">
        <v>4328</v>
      </c>
      <c r="F160" s="3471" t="s">
        <v>3525</v>
      </c>
      <c r="G160" s="3471" t="s">
        <v>3917</v>
      </c>
      <c r="H160" s="3474" t="s">
        <v>4399</v>
      </c>
    </row>
    <row r="161" spans="1:8" ht="17.55" customHeight="1">
      <c r="A161" s="3470">
        <v>159</v>
      </c>
      <c r="B161" s="3470" t="s">
        <v>3866</v>
      </c>
      <c r="C161" s="3471" t="s">
        <v>3918</v>
      </c>
      <c r="D161" s="3471" t="s">
        <v>3919</v>
      </c>
      <c r="E161" s="3471" t="s">
        <v>4329</v>
      </c>
      <c r="F161" s="3471" t="s">
        <v>3525</v>
      </c>
      <c r="G161" s="3471" t="s">
        <v>3920</v>
      </c>
      <c r="H161" s="3474" t="s">
        <v>4399</v>
      </c>
    </row>
    <row r="162" spans="1:8" ht="17.55" customHeight="1">
      <c r="A162" s="3470">
        <v>160</v>
      </c>
      <c r="B162" s="3470" t="s">
        <v>3866</v>
      </c>
      <c r="C162" s="3471" t="s">
        <v>3921</v>
      </c>
      <c r="D162" s="3471" t="s">
        <v>3922</v>
      </c>
      <c r="E162" s="3471" t="s">
        <v>4314</v>
      </c>
      <c r="F162" s="3471" t="s">
        <v>3525</v>
      </c>
      <c r="G162" s="3471" t="s">
        <v>3923</v>
      </c>
      <c r="H162" s="3474" t="s">
        <v>4399</v>
      </c>
    </row>
    <row r="163" spans="1:8" ht="17.55" customHeight="1">
      <c r="A163" s="3470">
        <v>161</v>
      </c>
      <c r="B163" s="3470" t="s">
        <v>3866</v>
      </c>
      <c r="C163" s="3471" t="s">
        <v>3924</v>
      </c>
      <c r="D163" s="3471" t="s">
        <v>3925</v>
      </c>
      <c r="E163" s="3471" t="s">
        <v>4336</v>
      </c>
      <c r="F163" s="3471" t="s">
        <v>3525</v>
      </c>
      <c r="G163" s="3471" t="s">
        <v>3926</v>
      </c>
      <c r="H163" s="3474" t="s">
        <v>4399</v>
      </c>
    </row>
    <row r="164" spans="1:8" ht="17.55" customHeight="1">
      <c r="A164" s="3470">
        <v>162</v>
      </c>
      <c r="B164" s="3470" t="s">
        <v>3866</v>
      </c>
      <c r="C164" s="3471" t="s">
        <v>3927</v>
      </c>
      <c r="D164" s="3471" t="s">
        <v>3928</v>
      </c>
      <c r="E164" s="3471" t="s">
        <v>4337</v>
      </c>
      <c r="F164" s="3471" t="s">
        <v>3525</v>
      </c>
      <c r="G164" s="3471" t="s">
        <v>3929</v>
      </c>
      <c r="H164" s="3474" t="s">
        <v>4399</v>
      </c>
    </row>
    <row r="165" spans="1:8" ht="17.55" customHeight="1">
      <c r="A165" s="3470">
        <v>163</v>
      </c>
      <c r="B165" s="3470" t="s">
        <v>3866</v>
      </c>
      <c r="C165" s="3471" t="s">
        <v>3930</v>
      </c>
      <c r="D165" s="3471" t="s">
        <v>3931</v>
      </c>
      <c r="E165" s="3471" t="s">
        <v>4338</v>
      </c>
      <c r="F165" s="3471" t="s">
        <v>3525</v>
      </c>
      <c r="G165" s="3471" t="s">
        <v>3932</v>
      </c>
      <c r="H165" s="3474" t="s">
        <v>4393</v>
      </c>
    </row>
    <row r="166" spans="1:8" ht="17.55" customHeight="1">
      <c r="A166" s="3470">
        <v>164</v>
      </c>
      <c r="B166" s="3470" t="s">
        <v>3866</v>
      </c>
      <c r="C166" s="3471" t="s">
        <v>3933</v>
      </c>
      <c r="D166" s="3471" t="s">
        <v>3934</v>
      </c>
      <c r="E166" s="3471" t="s">
        <v>4339</v>
      </c>
      <c r="F166" s="3471" t="s">
        <v>3525</v>
      </c>
      <c r="G166" s="3471" t="s">
        <v>3935</v>
      </c>
      <c r="H166" s="3474" t="s">
        <v>4399</v>
      </c>
    </row>
    <row r="167" spans="1:8" ht="17.55" customHeight="1">
      <c r="A167" s="3470">
        <v>165</v>
      </c>
      <c r="B167" s="3470" t="s">
        <v>3866</v>
      </c>
      <c r="C167" s="3471" t="s">
        <v>3936</v>
      </c>
      <c r="D167" s="3471" t="s">
        <v>3937</v>
      </c>
      <c r="E167" s="3471" t="s">
        <v>4340</v>
      </c>
      <c r="F167" s="3471" t="s">
        <v>3525</v>
      </c>
      <c r="G167" s="3471" t="s">
        <v>3938</v>
      </c>
      <c r="H167" s="3474" t="s">
        <v>4393</v>
      </c>
    </row>
    <row r="168" spans="1:8" ht="17.55" customHeight="1">
      <c r="A168" s="3470">
        <v>166</v>
      </c>
      <c r="B168" s="3470" t="s">
        <v>3866</v>
      </c>
      <c r="C168" s="3471" t="s">
        <v>3939</v>
      </c>
      <c r="D168" s="3471" t="s">
        <v>3940</v>
      </c>
      <c r="E168" s="3471" t="s">
        <v>4341</v>
      </c>
      <c r="F168" s="3471" t="s">
        <v>3525</v>
      </c>
      <c r="G168" s="3471" t="s">
        <v>3941</v>
      </c>
      <c r="H168" s="3474" t="s">
        <v>4399</v>
      </c>
    </row>
    <row r="169" spans="1:8" ht="17.55" customHeight="1">
      <c r="A169" s="3470">
        <v>167</v>
      </c>
      <c r="B169" s="3470" t="s">
        <v>3942</v>
      </c>
      <c r="C169" s="3471" t="s">
        <v>3943</v>
      </c>
      <c r="D169" s="3471" t="s">
        <v>3944</v>
      </c>
      <c r="E169" s="3471" t="s">
        <v>4330</v>
      </c>
      <c r="F169" s="3471" t="s">
        <v>3525</v>
      </c>
      <c r="G169" s="3471" t="s">
        <v>3945</v>
      </c>
      <c r="H169" s="3474" t="s">
        <v>4399</v>
      </c>
    </row>
    <row r="170" spans="1:8" ht="17.55" customHeight="1">
      <c r="A170" s="3470">
        <v>168</v>
      </c>
      <c r="B170" s="3470" t="s">
        <v>3942</v>
      </c>
      <c r="C170" s="3471" t="s">
        <v>3946</v>
      </c>
      <c r="D170" s="3471" t="s">
        <v>3947</v>
      </c>
      <c r="E170" s="3471" t="s">
        <v>4331</v>
      </c>
      <c r="F170" s="3471" t="s">
        <v>3525</v>
      </c>
      <c r="G170" s="3471" t="s">
        <v>3948</v>
      </c>
      <c r="H170" s="3474" t="s">
        <v>4399</v>
      </c>
    </row>
    <row r="171" spans="1:8" ht="17.55" customHeight="1">
      <c r="A171" s="3470">
        <v>169</v>
      </c>
      <c r="B171" s="3470" t="s">
        <v>3942</v>
      </c>
      <c r="C171" s="3471" t="s">
        <v>3949</v>
      </c>
      <c r="D171" s="3471" t="s">
        <v>3950</v>
      </c>
      <c r="E171" s="3471" t="s">
        <v>4282</v>
      </c>
      <c r="F171" s="3471" t="s">
        <v>3525</v>
      </c>
      <c r="G171" s="3471" t="s">
        <v>3951</v>
      </c>
      <c r="H171" s="3474" t="s">
        <v>4399</v>
      </c>
    </row>
    <row r="172" spans="1:8" ht="17.55" customHeight="1">
      <c r="A172" s="3470">
        <v>170</v>
      </c>
      <c r="B172" s="3470" t="s">
        <v>3942</v>
      </c>
      <c r="C172" s="3471" t="s">
        <v>3952</v>
      </c>
      <c r="D172" s="3471" t="s">
        <v>3953</v>
      </c>
      <c r="E172" s="3471" t="s">
        <v>4282</v>
      </c>
      <c r="F172" s="3471" t="s">
        <v>3525</v>
      </c>
      <c r="G172" s="3471" t="s">
        <v>3954</v>
      </c>
      <c r="H172" s="3474" t="s">
        <v>4399</v>
      </c>
    </row>
    <row r="173" spans="1:8" ht="17.55" customHeight="1">
      <c r="A173" s="3470">
        <v>171</v>
      </c>
      <c r="B173" s="3470" t="s">
        <v>3942</v>
      </c>
      <c r="C173" s="3471" t="s">
        <v>3955</v>
      </c>
      <c r="D173" s="3471" t="s">
        <v>3956</v>
      </c>
      <c r="E173" s="3471" t="s">
        <v>4334</v>
      </c>
      <c r="F173" s="3471" t="s">
        <v>3525</v>
      </c>
      <c r="G173" s="3471" t="s">
        <v>3957</v>
      </c>
      <c r="H173" s="3474" t="s">
        <v>4399</v>
      </c>
    </row>
    <row r="174" spans="1:8" ht="17.55" customHeight="1">
      <c r="A174" s="3470">
        <v>172</v>
      </c>
      <c r="B174" s="3470" t="s">
        <v>3942</v>
      </c>
      <c r="C174" s="3471" t="s">
        <v>3958</v>
      </c>
      <c r="D174" s="3471" t="s">
        <v>3959</v>
      </c>
      <c r="E174" s="3471" t="s">
        <v>4335</v>
      </c>
      <c r="F174" s="3471" t="s">
        <v>3525</v>
      </c>
      <c r="G174" s="3471" t="s">
        <v>3960</v>
      </c>
      <c r="H174" s="3474" t="s">
        <v>4393</v>
      </c>
    </row>
    <row r="175" spans="1:8" ht="17.55" customHeight="1">
      <c r="A175" s="3470">
        <v>173</v>
      </c>
      <c r="B175" s="3470" t="s">
        <v>3942</v>
      </c>
      <c r="C175" s="3471" t="s">
        <v>3961</v>
      </c>
      <c r="D175" s="3471" t="s">
        <v>3962</v>
      </c>
      <c r="E175" s="3471" t="s">
        <v>4342</v>
      </c>
      <c r="F175" s="3471" t="s">
        <v>3525</v>
      </c>
      <c r="G175" s="3471" t="s">
        <v>3963</v>
      </c>
      <c r="H175" s="3474" t="s">
        <v>4399</v>
      </c>
    </row>
    <row r="176" spans="1:8" ht="17.55" customHeight="1">
      <c r="A176" s="3470">
        <v>174</v>
      </c>
      <c r="B176" s="3470" t="s">
        <v>3942</v>
      </c>
      <c r="C176" s="3471" t="s">
        <v>3964</v>
      </c>
      <c r="D176" s="3471" t="s">
        <v>3965</v>
      </c>
      <c r="E176" s="3471" t="s">
        <v>4262</v>
      </c>
      <c r="F176" s="3471" t="s">
        <v>3525</v>
      </c>
      <c r="G176" s="3471" t="s">
        <v>3966</v>
      </c>
      <c r="H176" s="3474" t="s">
        <v>4399</v>
      </c>
    </row>
    <row r="177" spans="1:8" ht="17.55" customHeight="1">
      <c r="A177" s="3470">
        <v>175</v>
      </c>
      <c r="B177" s="3470" t="s">
        <v>3942</v>
      </c>
      <c r="C177" s="3471" t="s">
        <v>3967</v>
      </c>
      <c r="D177" s="3471" t="s">
        <v>3968</v>
      </c>
      <c r="E177" s="3471" t="s">
        <v>4298</v>
      </c>
      <c r="F177" s="3471" t="s">
        <v>3525</v>
      </c>
      <c r="G177" s="3471" t="s">
        <v>3969</v>
      </c>
      <c r="H177" s="3474" t="s">
        <v>4399</v>
      </c>
    </row>
    <row r="178" spans="1:8" ht="17.55" customHeight="1">
      <c r="A178" s="3470">
        <v>176</v>
      </c>
      <c r="B178" s="3470" t="s">
        <v>3942</v>
      </c>
      <c r="C178" s="3471" t="s">
        <v>3970</v>
      </c>
      <c r="D178" s="3471" t="s">
        <v>3971</v>
      </c>
      <c r="E178" s="3471" t="s">
        <v>4299</v>
      </c>
      <c r="F178" s="3471" t="s">
        <v>3525</v>
      </c>
      <c r="G178" s="3471" t="s">
        <v>3972</v>
      </c>
      <c r="H178" s="3474" t="s">
        <v>4399</v>
      </c>
    </row>
    <row r="179" spans="1:8" ht="17.55" customHeight="1">
      <c r="A179" s="3470">
        <v>177</v>
      </c>
      <c r="B179" s="3470" t="s">
        <v>3942</v>
      </c>
      <c r="C179" s="3471" t="s">
        <v>3973</v>
      </c>
      <c r="D179" s="3471" t="s">
        <v>3974</v>
      </c>
      <c r="E179" s="3471" t="s">
        <v>4263</v>
      </c>
      <c r="F179" s="3471" t="s">
        <v>3525</v>
      </c>
      <c r="G179" s="3471" t="s">
        <v>3975</v>
      </c>
      <c r="H179" s="3474" t="s">
        <v>4399</v>
      </c>
    </row>
    <row r="180" spans="1:8" ht="17.55" customHeight="1">
      <c r="A180" s="3470">
        <v>178</v>
      </c>
      <c r="B180" s="3470" t="s">
        <v>3942</v>
      </c>
      <c r="C180" s="3471" t="s">
        <v>3976</v>
      </c>
      <c r="D180" s="3471" t="s">
        <v>3977</v>
      </c>
      <c r="E180" s="3471" t="s">
        <v>4290</v>
      </c>
      <c r="F180" s="3471" t="s">
        <v>3525</v>
      </c>
      <c r="G180" s="3471" t="s">
        <v>3978</v>
      </c>
      <c r="H180" s="3474" t="s">
        <v>4399</v>
      </c>
    </row>
    <row r="181" spans="1:8" ht="17.55" customHeight="1">
      <c r="A181" s="3470">
        <v>179</v>
      </c>
      <c r="B181" s="3470" t="s">
        <v>3942</v>
      </c>
      <c r="C181" s="3471" t="s">
        <v>3979</v>
      </c>
      <c r="D181" s="3471" t="s">
        <v>3980</v>
      </c>
      <c r="E181" s="3471" t="s">
        <v>4290</v>
      </c>
      <c r="F181" s="3471" t="s">
        <v>3525</v>
      </c>
      <c r="G181" s="3471" t="s">
        <v>3981</v>
      </c>
      <c r="H181" s="3474" t="s">
        <v>4399</v>
      </c>
    </row>
    <row r="182" spans="1:8" ht="17.55" customHeight="1">
      <c r="A182" s="3470">
        <v>180</v>
      </c>
      <c r="B182" s="3470" t="s">
        <v>3942</v>
      </c>
      <c r="C182" s="3471" t="s">
        <v>3982</v>
      </c>
      <c r="D182" s="3471" t="s">
        <v>3983</v>
      </c>
      <c r="E182" s="3471" t="s">
        <v>4263</v>
      </c>
      <c r="F182" s="3471" t="s">
        <v>3525</v>
      </c>
      <c r="G182" s="3471" t="s">
        <v>3984</v>
      </c>
      <c r="H182" s="3474" t="s">
        <v>4399</v>
      </c>
    </row>
    <row r="183" spans="1:8" ht="17.55" customHeight="1">
      <c r="A183" s="3470">
        <v>181</v>
      </c>
      <c r="B183" s="3470" t="s">
        <v>3942</v>
      </c>
      <c r="C183" s="3471" t="s">
        <v>3985</v>
      </c>
      <c r="D183" s="3471" t="s">
        <v>3986</v>
      </c>
      <c r="E183" s="3471" t="s">
        <v>4295</v>
      </c>
      <c r="F183" s="3471" t="s">
        <v>3525</v>
      </c>
      <c r="G183" s="3471" t="s">
        <v>3987</v>
      </c>
      <c r="H183" s="3474" t="s">
        <v>4394</v>
      </c>
    </row>
    <row r="184" spans="1:8" ht="17.55" customHeight="1">
      <c r="A184" s="3470">
        <v>182</v>
      </c>
      <c r="B184" s="3470" t="s">
        <v>3942</v>
      </c>
      <c r="C184" s="3471" t="s">
        <v>3988</v>
      </c>
      <c r="D184" s="3471" t="s">
        <v>3989</v>
      </c>
      <c r="E184" s="3471" t="s">
        <v>4282</v>
      </c>
      <c r="F184" s="3471" t="s">
        <v>3525</v>
      </c>
      <c r="G184" s="3471" t="s">
        <v>3990</v>
      </c>
      <c r="H184" s="3474" t="s">
        <v>4399</v>
      </c>
    </row>
    <row r="185" spans="1:8" ht="17.55" customHeight="1">
      <c r="A185" s="3470">
        <v>183</v>
      </c>
      <c r="B185" s="3470" t="s">
        <v>3942</v>
      </c>
      <c r="C185" s="3471" t="s">
        <v>3991</v>
      </c>
      <c r="D185" s="3471" t="s">
        <v>3992</v>
      </c>
      <c r="E185" s="3471" t="s">
        <v>4282</v>
      </c>
      <c r="F185" s="3471" t="s">
        <v>3525</v>
      </c>
      <c r="G185" s="3471" t="s">
        <v>3993</v>
      </c>
      <c r="H185" s="3474" t="s">
        <v>4399</v>
      </c>
    </row>
    <row r="186" spans="1:8" ht="17.55" customHeight="1">
      <c r="A186" s="3470">
        <v>184</v>
      </c>
      <c r="B186" s="3470" t="s">
        <v>3942</v>
      </c>
      <c r="C186" s="3471" t="s">
        <v>3994</v>
      </c>
      <c r="D186" s="3471" t="s">
        <v>3995</v>
      </c>
      <c r="E186" s="3471" t="s">
        <v>4282</v>
      </c>
      <c r="F186" s="3471" t="s">
        <v>3525</v>
      </c>
      <c r="G186" s="3471" t="s">
        <v>3996</v>
      </c>
      <c r="H186" s="3474" t="s">
        <v>4399</v>
      </c>
    </row>
    <row r="187" spans="1:8" ht="17.55" customHeight="1">
      <c r="A187" s="3470">
        <v>185</v>
      </c>
      <c r="B187" s="3470" t="s">
        <v>3942</v>
      </c>
      <c r="C187" s="3471" t="s">
        <v>3997</v>
      </c>
      <c r="D187" s="3471" t="s">
        <v>3998</v>
      </c>
      <c r="E187" s="3471" t="s">
        <v>4283</v>
      </c>
      <c r="F187" s="3471" t="s">
        <v>3525</v>
      </c>
      <c r="G187" s="3471" t="s">
        <v>3999</v>
      </c>
      <c r="H187" s="3474" t="s">
        <v>4399</v>
      </c>
    </row>
    <row r="188" spans="1:8" ht="17.55" customHeight="1">
      <c r="A188" s="3470">
        <v>186</v>
      </c>
      <c r="B188" s="3470" t="s">
        <v>3942</v>
      </c>
      <c r="C188" s="3471" t="s">
        <v>4000</v>
      </c>
      <c r="D188" s="3471" t="s">
        <v>4001</v>
      </c>
      <c r="E188" s="3471" t="s">
        <v>4325</v>
      </c>
      <c r="F188" s="3471" t="s">
        <v>3525</v>
      </c>
      <c r="G188" s="3471" t="s">
        <v>4002</v>
      </c>
      <c r="H188" s="3474" t="s">
        <v>4399</v>
      </c>
    </row>
    <row r="189" spans="1:8" ht="17.55" customHeight="1">
      <c r="A189" s="3470">
        <v>187</v>
      </c>
      <c r="B189" s="3470" t="s">
        <v>4003</v>
      </c>
      <c r="C189" s="3471" t="s">
        <v>4004</v>
      </c>
      <c r="D189" s="3471" t="s">
        <v>4005</v>
      </c>
      <c r="E189" s="3471" t="s">
        <v>4279</v>
      </c>
      <c r="F189" s="3471" t="s">
        <v>3443</v>
      </c>
      <c r="G189" s="3471" t="s">
        <v>4006</v>
      </c>
      <c r="H189" s="3474" t="s">
        <v>4399</v>
      </c>
    </row>
    <row r="190" spans="1:8" ht="17.55" customHeight="1">
      <c r="A190" s="3470">
        <v>188</v>
      </c>
      <c r="B190" s="3470" t="s">
        <v>4003</v>
      </c>
      <c r="C190" s="3471" t="s">
        <v>4007</v>
      </c>
      <c r="D190" s="3471" t="s">
        <v>4008</v>
      </c>
      <c r="E190" s="3471" t="s">
        <v>4275</v>
      </c>
      <c r="F190" s="3471" t="s">
        <v>3443</v>
      </c>
      <c r="G190" s="3471" t="s">
        <v>4009</v>
      </c>
      <c r="H190" s="3474" t="s">
        <v>4394</v>
      </c>
    </row>
    <row r="191" spans="1:8" ht="17.55" customHeight="1">
      <c r="A191" s="3470">
        <v>189</v>
      </c>
      <c r="B191" s="3470" t="s">
        <v>4003</v>
      </c>
      <c r="C191" s="3471" t="s">
        <v>4010</v>
      </c>
      <c r="D191" s="3471" t="s">
        <v>4011</v>
      </c>
      <c r="E191" s="3471" t="s">
        <v>4266</v>
      </c>
      <c r="F191" s="3471" t="s">
        <v>3443</v>
      </c>
      <c r="G191" s="3471" t="s">
        <v>4012</v>
      </c>
      <c r="H191" s="3474" t="s">
        <v>4399</v>
      </c>
    </row>
    <row r="192" spans="1:8" ht="17.55" customHeight="1">
      <c r="A192" s="3470">
        <v>190</v>
      </c>
      <c r="B192" s="3470" t="s">
        <v>4003</v>
      </c>
      <c r="C192" s="3471" t="s">
        <v>4013</v>
      </c>
      <c r="D192" s="3471" t="s">
        <v>4014</v>
      </c>
      <c r="E192" s="3471" t="s">
        <v>4264</v>
      </c>
      <c r="F192" s="3471" t="s">
        <v>3443</v>
      </c>
      <c r="G192" s="3471" t="s">
        <v>4015</v>
      </c>
      <c r="H192" s="3474" t="s">
        <v>4399</v>
      </c>
    </row>
    <row r="193" spans="1:8" ht="17.55" customHeight="1">
      <c r="A193" s="3470">
        <v>191</v>
      </c>
      <c r="B193" s="3470" t="s">
        <v>4003</v>
      </c>
      <c r="C193" s="3471" t="s">
        <v>3851</v>
      </c>
      <c r="D193" s="3471" t="s">
        <v>4016</v>
      </c>
      <c r="E193" s="3471" t="s">
        <v>4265</v>
      </c>
      <c r="F193" s="3471" t="s">
        <v>3443</v>
      </c>
      <c r="G193" s="3471" t="s">
        <v>4017</v>
      </c>
      <c r="H193" s="3474" t="s">
        <v>4399</v>
      </c>
    </row>
    <row r="194" spans="1:8" ht="17.55" customHeight="1">
      <c r="A194" s="3470">
        <v>192</v>
      </c>
      <c r="B194" s="3470" t="s">
        <v>4003</v>
      </c>
      <c r="C194" s="3471" t="s">
        <v>3851</v>
      </c>
      <c r="D194" s="3471" t="s">
        <v>4018</v>
      </c>
      <c r="E194" s="3471" t="s">
        <v>4266</v>
      </c>
      <c r="F194" s="3471" t="s">
        <v>3443</v>
      </c>
      <c r="G194" s="3471" t="s">
        <v>4019</v>
      </c>
      <c r="H194" s="3474" t="s">
        <v>4399</v>
      </c>
    </row>
    <row r="195" spans="1:8" ht="17.55" customHeight="1">
      <c r="A195" s="3470">
        <v>193</v>
      </c>
      <c r="B195" s="3470" t="s">
        <v>4003</v>
      </c>
      <c r="C195" s="3471" t="s">
        <v>4020</v>
      </c>
      <c r="D195" s="3471" t="s">
        <v>4021</v>
      </c>
      <c r="E195" s="3471" t="s">
        <v>4267</v>
      </c>
      <c r="F195" s="3471" t="s">
        <v>3443</v>
      </c>
      <c r="G195" s="3471" t="s">
        <v>4022</v>
      </c>
      <c r="H195" s="3474" t="s">
        <v>4399</v>
      </c>
    </row>
    <row r="196" spans="1:8" ht="17.55" customHeight="1">
      <c r="A196" s="3470">
        <v>194</v>
      </c>
      <c r="B196" s="3470" t="s">
        <v>4003</v>
      </c>
      <c r="C196" s="3471" t="s">
        <v>4023</v>
      </c>
      <c r="D196" s="3471" t="s">
        <v>4024</v>
      </c>
      <c r="E196" s="3471" t="s">
        <v>4276</v>
      </c>
      <c r="F196" s="3471" t="s">
        <v>3443</v>
      </c>
      <c r="G196" s="3471" t="s">
        <v>4025</v>
      </c>
      <c r="H196" s="3474" t="s">
        <v>4399</v>
      </c>
    </row>
    <row r="197" spans="1:8" ht="17.55" customHeight="1">
      <c r="A197" s="3470">
        <v>195</v>
      </c>
      <c r="B197" s="3470" t="s">
        <v>4003</v>
      </c>
      <c r="C197" s="3471" t="s">
        <v>4026</v>
      </c>
      <c r="D197" s="3471" t="s">
        <v>4027</v>
      </c>
      <c r="E197" s="3471" t="s">
        <v>4277</v>
      </c>
      <c r="F197" s="3471" t="s">
        <v>3443</v>
      </c>
      <c r="G197" s="3471" t="s">
        <v>4028</v>
      </c>
      <c r="H197" s="3474" t="s">
        <v>4399</v>
      </c>
    </row>
    <row r="198" spans="1:8" ht="17.55" customHeight="1">
      <c r="A198" s="3470">
        <v>196</v>
      </c>
      <c r="B198" s="3470" t="s">
        <v>4003</v>
      </c>
      <c r="C198" s="3471" t="s">
        <v>4029</v>
      </c>
      <c r="D198" s="3471" t="s">
        <v>4030</v>
      </c>
      <c r="E198" s="3471" t="s">
        <v>4278</v>
      </c>
      <c r="F198" s="3471" t="s">
        <v>3525</v>
      </c>
      <c r="G198" s="3471" t="s">
        <v>4031</v>
      </c>
      <c r="H198" s="3474" t="s">
        <v>4399</v>
      </c>
    </row>
    <row r="199" spans="1:8" ht="17.55" customHeight="1">
      <c r="A199" s="3470">
        <v>197</v>
      </c>
      <c r="B199" s="3470" t="s">
        <v>4003</v>
      </c>
      <c r="C199" s="3471" t="s">
        <v>4032</v>
      </c>
      <c r="D199" s="3471" t="s">
        <v>4033</v>
      </c>
      <c r="E199" s="3471" t="s">
        <v>4279</v>
      </c>
      <c r="F199" s="3471" t="s">
        <v>3525</v>
      </c>
      <c r="G199" s="3471" t="s">
        <v>4034</v>
      </c>
      <c r="H199" s="3474" t="s">
        <v>4399</v>
      </c>
    </row>
    <row r="200" spans="1:8" ht="17.55" customHeight="1">
      <c r="A200" s="3470">
        <v>198</v>
      </c>
      <c r="B200" s="3470" t="s">
        <v>4003</v>
      </c>
      <c r="C200" s="3471" t="s">
        <v>4035</v>
      </c>
      <c r="D200" s="3471" t="s">
        <v>4036</v>
      </c>
      <c r="E200" s="3471" t="s">
        <v>4269</v>
      </c>
      <c r="F200" s="3471" t="s">
        <v>3525</v>
      </c>
      <c r="G200" s="3471" t="s">
        <v>4037</v>
      </c>
      <c r="H200" s="3474" t="s">
        <v>4393</v>
      </c>
    </row>
    <row r="201" spans="1:8" ht="17.55" customHeight="1">
      <c r="A201" s="3470">
        <v>199</v>
      </c>
      <c r="B201" s="3470" t="s">
        <v>4003</v>
      </c>
      <c r="C201" s="3471" t="s">
        <v>4038</v>
      </c>
      <c r="D201" s="3471" t="s">
        <v>4039</v>
      </c>
      <c r="E201" s="3471" t="s">
        <v>4280</v>
      </c>
      <c r="F201" s="3471" t="s">
        <v>3525</v>
      </c>
      <c r="G201" s="3471" t="s">
        <v>4040</v>
      </c>
      <c r="H201" s="3474" t="s">
        <v>4399</v>
      </c>
    </row>
    <row r="202" spans="1:8" ht="17.55" customHeight="1">
      <c r="A202" s="3470">
        <v>200</v>
      </c>
      <c r="B202" s="3470" t="s">
        <v>4003</v>
      </c>
      <c r="C202" s="3471" t="s">
        <v>4041</v>
      </c>
      <c r="D202" s="3471" t="s">
        <v>4042</v>
      </c>
      <c r="E202" s="3471" t="s">
        <v>4280</v>
      </c>
      <c r="F202" s="3471" t="s">
        <v>3525</v>
      </c>
      <c r="G202" s="3471" t="s">
        <v>4043</v>
      </c>
      <c r="H202" s="3474" t="s">
        <v>4399</v>
      </c>
    </row>
    <row r="203" spans="1:8" ht="17.55" customHeight="1">
      <c r="A203" s="3470">
        <v>201</v>
      </c>
      <c r="B203" s="3470" t="s">
        <v>4003</v>
      </c>
      <c r="C203" s="3471" t="s">
        <v>4044</v>
      </c>
      <c r="D203" s="3471" t="s">
        <v>4045</v>
      </c>
      <c r="E203" s="3471" t="s">
        <v>4280</v>
      </c>
      <c r="F203" s="3471" t="s">
        <v>3525</v>
      </c>
      <c r="G203" s="3471" t="s">
        <v>4046</v>
      </c>
      <c r="H203" s="3474" t="s">
        <v>4399</v>
      </c>
    </row>
    <row r="204" spans="1:8" ht="17.55" customHeight="1">
      <c r="A204" s="3470">
        <v>202</v>
      </c>
      <c r="B204" s="3470" t="s">
        <v>4003</v>
      </c>
      <c r="C204" s="3471" t="s">
        <v>4047</v>
      </c>
      <c r="D204" s="3471" t="s">
        <v>4048</v>
      </c>
      <c r="E204" s="3471" t="s">
        <v>4266</v>
      </c>
      <c r="F204" s="3471" t="s">
        <v>3525</v>
      </c>
      <c r="G204" s="3471" t="s">
        <v>4049</v>
      </c>
      <c r="H204" s="3474" t="s">
        <v>4399</v>
      </c>
    </row>
    <row r="205" spans="1:8" ht="17.55" customHeight="1">
      <c r="A205" s="3470">
        <v>203</v>
      </c>
      <c r="B205" s="3470" t="s">
        <v>4003</v>
      </c>
      <c r="C205" s="3471" t="s">
        <v>4050</v>
      </c>
      <c r="D205" s="3471" t="s">
        <v>4051</v>
      </c>
      <c r="E205" s="3471" t="s">
        <v>4265</v>
      </c>
      <c r="F205" s="3471" t="s">
        <v>3525</v>
      </c>
      <c r="G205" s="3471" t="s">
        <v>4052</v>
      </c>
      <c r="H205" s="3474" t="s">
        <v>4399</v>
      </c>
    </row>
    <row r="206" spans="1:8" ht="17.55" customHeight="1">
      <c r="A206" s="3470">
        <v>204</v>
      </c>
      <c r="B206" s="3470" t="s">
        <v>4003</v>
      </c>
      <c r="C206" s="3471" t="s">
        <v>4053</v>
      </c>
      <c r="D206" s="3471" t="s">
        <v>4054</v>
      </c>
      <c r="E206" s="3471" t="s">
        <v>4326</v>
      </c>
      <c r="F206" s="3471" t="s">
        <v>3525</v>
      </c>
      <c r="G206" s="3471" t="s">
        <v>4055</v>
      </c>
      <c r="H206" s="3474" t="s">
        <v>4399</v>
      </c>
    </row>
    <row r="207" spans="1:8" ht="17.55" customHeight="1">
      <c r="A207" s="3470">
        <v>205</v>
      </c>
      <c r="B207" s="3470" t="s">
        <v>4003</v>
      </c>
      <c r="C207" s="3471" t="s">
        <v>4056</v>
      </c>
      <c r="D207" s="3471" t="s">
        <v>4057</v>
      </c>
      <c r="E207" s="3471" t="s">
        <v>4326</v>
      </c>
      <c r="F207" s="3471" t="s">
        <v>3525</v>
      </c>
      <c r="G207" s="3471" t="s">
        <v>4058</v>
      </c>
      <c r="H207" s="3474" t="s">
        <v>4399</v>
      </c>
    </row>
    <row r="208" spans="1:8" ht="17.55" customHeight="1">
      <c r="A208" s="3470">
        <v>206</v>
      </c>
      <c r="B208" s="3470" t="s">
        <v>4003</v>
      </c>
      <c r="C208" s="3471" t="s">
        <v>4059</v>
      </c>
      <c r="D208" s="3471" t="s">
        <v>4060</v>
      </c>
      <c r="E208" s="3471" t="s">
        <v>4326</v>
      </c>
      <c r="F208" s="3471" t="s">
        <v>3525</v>
      </c>
      <c r="G208" s="3471" t="s">
        <v>4061</v>
      </c>
      <c r="H208" s="3474" t="s">
        <v>4399</v>
      </c>
    </row>
    <row r="209" spans="1:8" ht="17.55" customHeight="1">
      <c r="A209" s="3470">
        <v>207</v>
      </c>
      <c r="B209" s="3470" t="s">
        <v>4003</v>
      </c>
      <c r="C209" s="3471" t="s">
        <v>4062</v>
      </c>
      <c r="D209" s="3471" t="s">
        <v>4063</v>
      </c>
      <c r="E209" s="3471" t="s">
        <v>4265</v>
      </c>
      <c r="F209" s="3471" t="s">
        <v>3525</v>
      </c>
      <c r="G209" s="3471" t="s">
        <v>4064</v>
      </c>
      <c r="H209" s="3474" t="s">
        <v>4399</v>
      </c>
    </row>
    <row r="210" spans="1:8" ht="17.55" customHeight="1">
      <c r="A210" s="3470">
        <v>208</v>
      </c>
      <c r="B210" s="3470" t="s">
        <v>4003</v>
      </c>
      <c r="C210" s="3471" t="s">
        <v>4065</v>
      </c>
      <c r="D210" s="3471" t="s">
        <v>4066</v>
      </c>
      <c r="E210" s="3471" t="s">
        <v>4332</v>
      </c>
      <c r="F210" s="3471" t="s">
        <v>3525</v>
      </c>
      <c r="G210" s="3471" t="s">
        <v>4067</v>
      </c>
      <c r="H210" s="3474" t="s">
        <v>4399</v>
      </c>
    </row>
    <row r="211" spans="1:8" ht="17.55" customHeight="1">
      <c r="A211" s="3470">
        <v>209</v>
      </c>
      <c r="B211" s="3470" t="s">
        <v>4003</v>
      </c>
      <c r="C211" s="3471" t="s">
        <v>4068</v>
      </c>
      <c r="D211" s="3471" t="s">
        <v>4069</v>
      </c>
      <c r="E211" s="3471" t="s">
        <v>4272</v>
      </c>
      <c r="F211" s="3471" t="s">
        <v>3525</v>
      </c>
      <c r="G211" s="3471" t="s">
        <v>4070</v>
      </c>
      <c r="H211" s="3474" t="s">
        <v>4399</v>
      </c>
    </row>
    <row r="212" spans="1:8" ht="17.55" customHeight="1">
      <c r="A212" s="3470">
        <v>210</v>
      </c>
      <c r="B212" s="3470" t="s">
        <v>4003</v>
      </c>
      <c r="C212" s="3471" t="s">
        <v>4071</v>
      </c>
      <c r="D212" s="3471" t="s">
        <v>4072</v>
      </c>
      <c r="E212" s="3471" t="s">
        <v>4272</v>
      </c>
      <c r="F212" s="3471" t="s">
        <v>3525</v>
      </c>
      <c r="G212" s="3471" t="s">
        <v>4073</v>
      </c>
      <c r="H212" s="3474" t="s">
        <v>4399</v>
      </c>
    </row>
    <row r="213" spans="1:8" ht="17.55" customHeight="1">
      <c r="A213" s="3470">
        <v>211</v>
      </c>
      <c r="B213" s="3470" t="s">
        <v>4003</v>
      </c>
      <c r="C213" s="3471" t="s">
        <v>4074</v>
      </c>
      <c r="D213" s="3471" t="s">
        <v>4075</v>
      </c>
      <c r="E213" s="3471" t="s">
        <v>4281</v>
      </c>
      <c r="F213" s="3471" t="s">
        <v>3525</v>
      </c>
      <c r="G213" s="3471" t="s">
        <v>4076</v>
      </c>
      <c r="H213" s="3474" t="s">
        <v>4393</v>
      </c>
    </row>
    <row r="214" spans="1:8" ht="17.55" customHeight="1">
      <c r="A214" s="3470">
        <v>212</v>
      </c>
      <c r="B214" s="3470" t="s">
        <v>4003</v>
      </c>
      <c r="C214" s="3471" t="s">
        <v>4077</v>
      </c>
      <c r="D214" s="3471" t="s">
        <v>4078</v>
      </c>
      <c r="E214" s="3471" t="s">
        <v>4277</v>
      </c>
      <c r="F214" s="3471" t="s">
        <v>3525</v>
      </c>
      <c r="G214" s="3471" t="s">
        <v>4079</v>
      </c>
      <c r="H214" s="3474" t="s">
        <v>4399</v>
      </c>
    </row>
    <row r="215" spans="1:8" ht="17.55" customHeight="1">
      <c r="A215" s="3470">
        <v>213</v>
      </c>
      <c r="B215" s="3470" t="s">
        <v>4003</v>
      </c>
      <c r="C215" s="3471" t="s">
        <v>4080</v>
      </c>
      <c r="D215" s="3471" t="s">
        <v>4081</v>
      </c>
      <c r="E215" s="3471" t="s">
        <v>4363</v>
      </c>
      <c r="F215" s="3471" t="s">
        <v>3525</v>
      </c>
      <c r="G215" s="3471" t="s">
        <v>4082</v>
      </c>
      <c r="H215" s="3474" t="s">
        <v>4399</v>
      </c>
    </row>
    <row r="216" spans="1:8" ht="17.55" customHeight="1">
      <c r="A216" s="3470">
        <v>214</v>
      </c>
      <c r="B216" s="3470" t="s">
        <v>4083</v>
      </c>
      <c r="C216" s="3471" t="s">
        <v>4084</v>
      </c>
      <c r="D216" s="3471" t="s">
        <v>4085</v>
      </c>
      <c r="E216" s="3471" t="s">
        <v>4300</v>
      </c>
      <c r="F216" s="3471" t="s">
        <v>3443</v>
      </c>
      <c r="G216" s="3471" t="s">
        <v>4086</v>
      </c>
      <c r="H216" s="3474" t="s">
        <v>4399</v>
      </c>
    </row>
    <row r="217" spans="1:8" ht="17.55" customHeight="1">
      <c r="A217" s="3470">
        <v>215</v>
      </c>
      <c r="B217" s="3470" t="s">
        <v>4083</v>
      </c>
      <c r="C217" s="3471" t="s">
        <v>4087</v>
      </c>
      <c r="D217" s="3471" t="s">
        <v>4088</v>
      </c>
      <c r="E217" s="3471" t="s">
        <v>4301</v>
      </c>
      <c r="F217" s="3471" t="s">
        <v>3443</v>
      </c>
      <c r="G217" s="3471" t="s">
        <v>4089</v>
      </c>
      <c r="H217" s="3474" t="s">
        <v>4399</v>
      </c>
    </row>
    <row r="218" spans="1:8" ht="17.55" customHeight="1">
      <c r="A218" s="3470">
        <v>216</v>
      </c>
      <c r="B218" s="3470" t="s">
        <v>4083</v>
      </c>
      <c r="C218" s="3471" t="s">
        <v>4090</v>
      </c>
      <c r="D218" s="3471" t="s">
        <v>4091</v>
      </c>
      <c r="E218" s="3471" t="s">
        <v>4302</v>
      </c>
      <c r="F218" s="3471" t="s">
        <v>3443</v>
      </c>
      <c r="G218" s="3471" t="s">
        <v>4092</v>
      </c>
      <c r="H218" s="3474" t="s">
        <v>4393</v>
      </c>
    </row>
    <row r="219" spans="1:8" ht="17.55" customHeight="1">
      <c r="A219" s="3470">
        <v>217</v>
      </c>
      <c r="B219" s="3470" t="s">
        <v>4083</v>
      </c>
      <c r="C219" s="3471" t="s">
        <v>4093</v>
      </c>
      <c r="D219" s="3471" t="s">
        <v>4094</v>
      </c>
      <c r="E219" s="3471" t="s">
        <v>4306</v>
      </c>
      <c r="F219" s="3471" t="s">
        <v>3443</v>
      </c>
      <c r="G219" s="3471" t="s">
        <v>4095</v>
      </c>
      <c r="H219" s="3474" t="s">
        <v>4399</v>
      </c>
    </row>
    <row r="220" spans="1:8" ht="17.55" customHeight="1">
      <c r="A220" s="3470">
        <v>218</v>
      </c>
      <c r="B220" s="3470" t="s">
        <v>4083</v>
      </c>
      <c r="C220" s="3471" t="s">
        <v>4096</v>
      </c>
      <c r="D220" s="3471" t="s">
        <v>4097</v>
      </c>
      <c r="E220" s="3471" t="s">
        <v>4306</v>
      </c>
      <c r="F220" s="3471" t="s">
        <v>3443</v>
      </c>
      <c r="G220" s="3471" t="s">
        <v>4098</v>
      </c>
      <c r="H220" s="3474" t="s">
        <v>4399</v>
      </c>
    </row>
    <row r="221" spans="1:8" ht="17.55" customHeight="1">
      <c r="A221" s="3470">
        <v>219</v>
      </c>
      <c r="B221" s="3470" t="s">
        <v>4083</v>
      </c>
      <c r="C221" s="3471" t="s">
        <v>4099</v>
      </c>
      <c r="D221" s="3471" t="s">
        <v>4100</v>
      </c>
      <c r="E221" s="3471" t="s">
        <v>4338</v>
      </c>
      <c r="F221" s="3471" t="s">
        <v>3443</v>
      </c>
      <c r="G221" s="3471" t="s">
        <v>4101</v>
      </c>
      <c r="H221" s="3474" t="s">
        <v>4399</v>
      </c>
    </row>
    <row r="222" spans="1:8" ht="17.55" customHeight="1">
      <c r="A222" s="3470">
        <v>220</v>
      </c>
      <c r="B222" s="3470" t="s">
        <v>4083</v>
      </c>
      <c r="C222" s="3471" t="s">
        <v>4102</v>
      </c>
      <c r="D222" s="3471" t="s">
        <v>4103</v>
      </c>
      <c r="E222" s="3471" t="s">
        <v>4343</v>
      </c>
      <c r="F222" s="3471" t="s">
        <v>3443</v>
      </c>
      <c r="G222" s="3471" t="s">
        <v>4104</v>
      </c>
      <c r="H222" s="3474" t="s">
        <v>4399</v>
      </c>
    </row>
    <row r="223" spans="1:8" ht="17.55" customHeight="1">
      <c r="A223" s="3470">
        <v>221</v>
      </c>
      <c r="B223" s="3470" t="s">
        <v>4083</v>
      </c>
      <c r="C223" s="3471" t="s">
        <v>4105</v>
      </c>
      <c r="D223" s="3471" t="s">
        <v>4106</v>
      </c>
      <c r="E223" s="3471" t="s">
        <v>4343</v>
      </c>
      <c r="F223" s="3471" t="s">
        <v>3443</v>
      </c>
      <c r="G223" s="3471" t="s">
        <v>4107</v>
      </c>
      <c r="H223" s="3474" t="s">
        <v>4399</v>
      </c>
    </row>
    <row r="224" spans="1:8" ht="17.55" customHeight="1">
      <c r="A224" s="3470">
        <v>222</v>
      </c>
      <c r="B224" s="3470" t="s">
        <v>4083</v>
      </c>
      <c r="C224" s="3471" t="s">
        <v>4108</v>
      </c>
      <c r="D224" s="3471" t="s">
        <v>4109</v>
      </c>
      <c r="E224" s="3471" t="s">
        <v>4287</v>
      </c>
      <c r="F224" s="3471" t="s">
        <v>3443</v>
      </c>
      <c r="G224" s="3471" t="s">
        <v>4110</v>
      </c>
      <c r="H224" s="3474" t="s">
        <v>4394</v>
      </c>
    </row>
    <row r="225" spans="1:8" ht="17.55" customHeight="1">
      <c r="A225" s="3470">
        <v>223</v>
      </c>
      <c r="B225" s="3470" t="s">
        <v>4083</v>
      </c>
      <c r="C225" s="3471" t="s">
        <v>4111</v>
      </c>
      <c r="D225" s="3471" t="s">
        <v>4112</v>
      </c>
      <c r="E225" s="3471" t="s">
        <v>4344</v>
      </c>
      <c r="F225" s="3471" t="s">
        <v>3443</v>
      </c>
      <c r="G225" s="3471" t="s">
        <v>4113</v>
      </c>
      <c r="H225" s="3474" t="s">
        <v>4399</v>
      </c>
    </row>
    <row r="226" spans="1:8" ht="17.55" customHeight="1">
      <c r="A226" s="3470">
        <v>224</v>
      </c>
      <c r="B226" s="3470" t="s">
        <v>4083</v>
      </c>
      <c r="C226" s="3471" t="s">
        <v>4114</v>
      </c>
      <c r="D226" s="3471" t="s">
        <v>4115</v>
      </c>
      <c r="E226" s="3471" t="s">
        <v>4312</v>
      </c>
      <c r="F226" s="3471" t="s">
        <v>3443</v>
      </c>
      <c r="G226" s="3471" t="s">
        <v>4116</v>
      </c>
      <c r="H226" s="3474" t="s">
        <v>4399</v>
      </c>
    </row>
    <row r="227" spans="1:8" ht="17.55" customHeight="1">
      <c r="A227" s="3470">
        <v>225</v>
      </c>
      <c r="B227" s="3470" t="s">
        <v>4083</v>
      </c>
      <c r="C227" s="3471" t="s">
        <v>4117</v>
      </c>
      <c r="D227" s="3471" t="s">
        <v>4118</v>
      </c>
      <c r="E227" s="3471" t="s">
        <v>4307</v>
      </c>
      <c r="F227" s="3471" t="s">
        <v>3443</v>
      </c>
      <c r="G227" s="3471" t="s">
        <v>4119</v>
      </c>
      <c r="H227" s="3474" t="s">
        <v>4399</v>
      </c>
    </row>
    <row r="228" spans="1:8" ht="17.55" customHeight="1">
      <c r="A228" s="3470">
        <v>226</v>
      </c>
      <c r="B228" s="3470" t="s">
        <v>4083</v>
      </c>
      <c r="C228" s="3471" t="s">
        <v>4120</v>
      </c>
      <c r="D228" s="3471" t="s">
        <v>4121</v>
      </c>
      <c r="E228" s="3471" t="s">
        <v>4354</v>
      </c>
      <c r="F228" s="3471" t="s">
        <v>3443</v>
      </c>
      <c r="G228" s="3471" t="s">
        <v>4122</v>
      </c>
      <c r="H228" s="3474" t="s">
        <v>4399</v>
      </c>
    </row>
    <row r="229" spans="1:8" ht="17.55" customHeight="1">
      <c r="A229" s="3470">
        <v>227</v>
      </c>
      <c r="B229" s="3470" t="s">
        <v>4083</v>
      </c>
      <c r="C229" s="3471" t="s">
        <v>4123</v>
      </c>
      <c r="D229" s="3471" t="s">
        <v>4124</v>
      </c>
      <c r="E229" s="3471" t="s">
        <v>4308</v>
      </c>
      <c r="F229" s="3471" t="s">
        <v>3443</v>
      </c>
      <c r="G229" s="3471" t="s">
        <v>4125</v>
      </c>
      <c r="H229" s="3474" t="s">
        <v>4399</v>
      </c>
    </row>
    <row r="230" spans="1:8" ht="17.55" customHeight="1">
      <c r="A230" s="3470">
        <v>228</v>
      </c>
      <c r="B230" s="3470" t="s">
        <v>4083</v>
      </c>
      <c r="C230" s="3471" t="s">
        <v>4126</v>
      </c>
      <c r="D230" s="3471" t="s">
        <v>4127</v>
      </c>
      <c r="E230" s="3471" t="s">
        <v>4306</v>
      </c>
      <c r="F230" s="3471" t="s">
        <v>3443</v>
      </c>
      <c r="G230" s="3471" t="s">
        <v>4128</v>
      </c>
      <c r="H230" s="3474" t="s">
        <v>4399</v>
      </c>
    </row>
    <row r="231" spans="1:8" ht="17.55" customHeight="1">
      <c r="A231" s="3470">
        <v>229</v>
      </c>
      <c r="B231" s="3470" t="s">
        <v>4083</v>
      </c>
      <c r="C231" s="3471" t="s">
        <v>4129</v>
      </c>
      <c r="D231" s="3471" t="s">
        <v>4130</v>
      </c>
      <c r="E231" s="3471" t="s">
        <v>4287</v>
      </c>
      <c r="F231" s="3471" t="s">
        <v>3443</v>
      </c>
      <c r="G231" s="3471" t="s">
        <v>4131</v>
      </c>
      <c r="H231" s="3474" t="s">
        <v>4394</v>
      </c>
    </row>
    <row r="232" spans="1:8" ht="17.55" customHeight="1">
      <c r="A232" s="3470">
        <v>230</v>
      </c>
      <c r="B232" s="3470" t="s">
        <v>4083</v>
      </c>
      <c r="C232" s="3471" t="s">
        <v>4132</v>
      </c>
      <c r="D232" s="3471" t="s">
        <v>4133</v>
      </c>
      <c r="E232" s="3471" t="s">
        <v>4345</v>
      </c>
      <c r="F232" s="3471" t="s">
        <v>3443</v>
      </c>
      <c r="G232" s="3471" t="s">
        <v>4134</v>
      </c>
      <c r="H232" s="3474" t="s">
        <v>4393</v>
      </c>
    </row>
    <row r="233" spans="1:8" ht="17.55" customHeight="1">
      <c r="A233" s="3470">
        <v>231</v>
      </c>
      <c r="B233" s="3470" t="s">
        <v>4083</v>
      </c>
      <c r="C233" s="3471" t="s">
        <v>4135</v>
      </c>
      <c r="D233" s="3471" t="s">
        <v>4136</v>
      </c>
      <c r="E233" s="3471" t="s">
        <v>4362</v>
      </c>
      <c r="F233" s="3471" t="s">
        <v>3443</v>
      </c>
      <c r="G233" s="3471" t="s">
        <v>4137</v>
      </c>
      <c r="H233" s="3474" t="s">
        <v>4399</v>
      </c>
    </row>
    <row r="234" spans="1:8" ht="17.55" customHeight="1">
      <c r="A234" s="3470">
        <v>232</v>
      </c>
      <c r="B234" s="3470" t="s">
        <v>4138</v>
      </c>
      <c r="C234" s="3471" t="s">
        <v>4139</v>
      </c>
      <c r="D234" s="3471" t="s">
        <v>4140</v>
      </c>
      <c r="E234" s="3471" t="s">
        <v>4370</v>
      </c>
      <c r="F234" s="3471" t="s">
        <v>3443</v>
      </c>
      <c r="G234" s="3471" t="s">
        <v>4141</v>
      </c>
      <c r="H234" s="3474" t="s">
        <v>4399</v>
      </c>
    </row>
    <row r="235" spans="1:8" ht="17.55" customHeight="1">
      <c r="A235" s="3470">
        <v>233</v>
      </c>
      <c r="B235" s="3470" t="s">
        <v>4138</v>
      </c>
      <c r="C235" s="3471" t="s">
        <v>4142</v>
      </c>
      <c r="D235" s="3471" t="s">
        <v>4143</v>
      </c>
      <c r="E235" s="3471" t="s">
        <v>4337</v>
      </c>
      <c r="F235" s="3471" t="s">
        <v>3443</v>
      </c>
      <c r="G235" s="3471" t="s">
        <v>4144</v>
      </c>
      <c r="H235" s="3474" t="s">
        <v>4393</v>
      </c>
    </row>
    <row r="236" spans="1:8" ht="17.55" customHeight="1">
      <c r="A236" s="3470">
        <v>234</v>
      </c>
      <c r="B236" s="3470" t="s">
        <v>4138</v>
      </c>
      <c r="C236" s="3471" t="s">
        <v>4145</v>
      </c>
      <c r="D236" s="3471" t="s">
        <v>4146</v>
      </c>
      <c r="E236" s="3471" t="s">
        <v>4371</v>
      </c>
      <c r="F236" s="3471" t="s">
        <v>3443</v>
      </c>
      <c r="G236" s="3471" t="s">
        <v>4147</v>
      </c>
      <c r="H236" s="3474" t="s">
        <v>4399</v>
      </c>
    </row>
    <row r="237" spans="1:8" ht="17.55" customHeight="1">
      <c r="A237" s="3470">
        <v>235</v>
      </c>
      <c r="B237" s="3470" t="s">
        <v>4138</v>
      </c>
      <c r="C237" s="3471" t="s">
        <v>4148</v>
      </c>
      <c r="D237" s="3471" t="s">
        <v>4149</v>
      </c>
      <c r="E237" s="3471" t="s">
        <v>4326</v>
      </c>
      <c r="F237" s="3471" t="s">
        <v>3443</v>
      </c>
      <c r="G237" s="3471" t="s">
        <v>4150</v>
      </c>
      <c r="H237" s="3474" t="s">
        <v>4399</v>
      </c>
    </row>
    <row r="238" spans="1:8" ht="17.55" customHeight="1">
      <c r="A238" s="3470">
        <v>236</v>
      </c>
      <c r="B238" s="3470" t="s">
        <v>4138</v>
      </c>
      <c r="C238" s="3471" t="s">
        <v>4151</v>
      </c>
      <c r="D238" s="3471" t="s">
        <v>4152</v>
      </c>
      <c r="E238" s="3471" t="s">
        <v>4326</v>
      </c>
      <c r="F238" s="3471" t="s">
        <v>3443</v>
      </c>
      <c r="G238" s="3471" t="s">
        <v>4153</v>
      </c>
      <c r="H238" s="3474" t="s">
        <v>4399</v>
      </c>
    </row>
    <row r="239" spans="1:8" ht="17.55" customHeight="1">
      <c r="A239" s="3470">
        <v>237</v>
      </c>
      <c r="B239" s="3470" t="s">
        <v>4138</v>
      </c>
      <c r="C239" s="3471" t="s">
        <v>4154</v>
      </c>
      <c r="D239" s="3471" t="s">
        <v>4155</v>
      </c>
      <c r="E239" s="3471" t="s">
        <v>4372</v>
      </c>
      <c r="F239" s="3471" t="s">
        <v>3443</v>
      </c>
      <c r="G239" s="3471" t="s">
        <v>4156</v>
      </c>
      <c r="H239" s="3474" t="s">
        <v>4399</v>
      </c>
    </row>
    <row r="240" spans="1:8" ht="17.55" customHeight="1">
      <c r="A240" s="3470">
        <v>238</v>
      </c>
      <c r="B240" s="3470" t="s">
        <v>4138</v>
      </c>
      <c r="C240" s="3471" t="s">
        <v>4157</v>
      </c>
      <c r="D240" s="3471" t="s">
        <v>4158</v>
      </c>
      <c r="E240" s="3471" t="s">
        <v>4368</v>
      </c>
      <c r="F240" s="3471" t="s">
        <v>3443</v>
      </c>
      <c r="G240" s="3471" t="s">
        <v>4159</v>
      </c>
      <c r="H240" s="3474" t="s">
        <v>4393</v>
      </c>
    </row>
    <row r="241" spans="1:8" ht="17.55" customHeight="1">
      <c r="A241" s="3470">
        <v>239</v>
      </c>
      <c r="B241" s="3470" t="s">
        <v>4138</v>
      </c>
      <c r="C241" s="3471" t="s">
        <v>4160</v>
      </c>
      <c r="D241" s="3471" t="s">
        <v>4161</v>
      </c>
      <c r="E241" s="3471" t="s">
        <v>4369</v>
      </c>
      <c r="F241" s="3471" t="s">
        <v>3443</v>
      </c>
      <c r="G241" s="3471" t="s">
        <v>4162</v>
      </c>
      <c r="H241" s="3474" t="s">
        <v>4399</v>
      </c>
    </row>
    <row r="242" spans="1:8" ht="17.55" customHeight="1">
      <c r="A242" s="3470">
        <v>240</v>
      </c>
      <c r="B242" s="3470" t="s">
        <v>4138</v>
      </c>
      <c r="C242" s="3471" t="s">
        <v>4163</v>
      </c>
      <c r="D242" s="3471" t="s">
        <v>4164</v>
      </c>
      <c r="E242" s="3471" t="s">
        <v>4370</v>
      </c>
      <c r="F242" s="3471" t="s">
        <v>3525</v>
      </c>
      <c r="G242" s="3471" t="s">
        <v>4165</v>
      </c>
      <c r="H242" s="3474" t="s">
        <v>4399</v>
      </c>
    </row>
    <row r="243" spans="1:8" ht="17.55" customHeight="1">
      <c r="A243" s="3470">
        <v>241</v>
      </c>
      <c r="B243" s="3470" t="s">
        <v>4138</v>
      </c>
      <c r="C243" s="3471" t="s">
        <v>4166</v>
      </c>
      <c r="D243" s="3471" t="s">
        <v>4167</v>
      </c>
      <c r="E243" s="3471" t="s">
        <v>4373</v>
      </c>
      <c r="F243" s="3471" t="s">
        <v>3525</v>
      </c>
      <c r="G243" s="3471" t="s">
        <v>4168</v>
      </c>
      <c r="H243" s="3474" t="s">
        <v>4399</v>
      </c>
    </row>
    <row r="244" spans="1:8" ht="17.55" customHeight="1">
      <c r="A244" s="3470">
        <v>242</v>
      </c>
      <c r="B244" s="3470" t="s">
        <v>4138</v>
      </c>
      <c r="C244" s="3471" t="s">
        <v>4169</v>
      </c>
      <c r="D244" s="3471" t="s">
        <v>4170</v>
      </c>
      <c r="E244" s="3471" t="s">
        <v>4374</v>
      </c>
      <c r="F244" s="3471" t="s">
        <v>3525</v>
      </c>
      <c r="G244" s="3471" t="s">
        <v>4171</v>
      </c>
      <c r="H244" s="3474" t="s">
        <v>4399</v>
      </c>
    </row>
    <row r="245" spans="1:8" ht="17.55" customHeight="1">
      <c r="A245" s="3470">
        <v>243</v>
      </c>
      <c r="B245" s="3470" t="s">
        <v>4138</v>
      </c>
      <c r="C245" s="3471" t="s">
        <v>4172</v>
      </c>
      <c r="D245" s="3471" t="s">
        <v>4173</v>
      </c>
      <c r="E245" s="3471" t="s">
        <v>4272</v>
      </c>
      <c r="F245" s="3471" t="s">
        <v>3525</v>
      </c>
      <c r="G245" s="3471" t="s">
        <v>4174</v>
      </c>
      <c r="H245" s="3474" t="s">
        <v>4399</v>
      </c>
    </row>
    <row r="246" spans="1:8" ht="17.55" customHeight="1">
      <c r="A246" s="3470">
        <v>244</v>
      </c>
      <c r="B246" s="3470" t="s">
        <v>4138</v>
      </c>
      <c r="C246" s="3471" t="s">
        <v>4175</v>
      </c>
      <c r="D246" s="3471" t="s">
        <v>4176</v>
      </c>
      <c r="E246" s="3471" t="s">
        <v>4375</v>
      </c>
      <c r="F246" s="3471" t="s">
        <v>3525</v>
      </c>
      <c r="G246" s="3471" t="s">
        <v>4177</v>
      </c>
      <c r="H246" s="3474" t="s">
        <v>4399</v>
      </c>
    </row>
    <row r="247" spans="1:8" ht="17.55" customHeight="1">
      <c r="A247" s="3470">
        <v>245</v>
      </c>
      <c r="B247" s="3470" t="s">
        <v>4138</v>
      </c>
      <c r="C247" s="3471" t="s">
        <v>4178</v>
      </c>
      <c r="D247" s="3471" t="s">
        <v>4179</v>
      </c>
      <c r="E247" s="3471" t="s">
        <v>4376</v>
      </c>
      <c r="F247" s="3471" t="s">
        <v>3525</v>
      </c>
      <c r="G247" s="3471" t="s">
        <v>4180</v>
      </c>
      <c r="H247" s="3474" t="s">
        <v>4393</v>
      </c>
    </row>
    <row r="248" spans="1:8" ht="17.55" customHeight="1">
      <c r="A248" s="3470">
        <v>246</v>
      </c>
      <c r="B248" s="3470" t="s">
        <v>4138</v>
      </c>
      <c r="C248" s="3471" t="s">
        <v>4181</v>
      </c>
      <c r="D248" s="3471" t="s">
        <v>4182</v>
      </c>
      <c r="E248" s="3471" t="s">
        <v>4377</v>
      </c>
      <c r="F248" s="3471" t="s">
        <v>3525</v>
      </c>
      <c r="G248" s="3471" t="s">
        <v>4183</v>
      </c>
      <c r="H248" s="3474" t="s">
        <v>4393</v>
      </c>
    </row>
    <row r="249" spans="1:8" ht="17.55" customHeight="1">
      <c r="A249" s="3470">
        <v>247</v>
      </c>
      <c r="B249" s="3470" t="s">
        <v>4138</v>
      </c>
      <c r="C249" s="3471" t="s">
        <v>4184</v>
      </c>
      <c r="D249" s="3471" t="s">
        <v>4185</v>
      </c>
      <c r="E249" s="3471" t="s">
        <v>4266</v>
      </c>
      <c r="F249" s="3471" t="s">
        <v>3525</v>
      </c>
      <c r="G249" s="3471" t="s">
        <v>4186</v>
      </c>
      <c r="H249" s="3474" t="s">
        <v>4399</v>
      </c>
    </row>
    <row r="250" spans="1:8" ht="17.55" customHeight="1">
      <c r="A250" s="3470">
        <v>248</v>
      </c>
      <c r="B250" s="3470" t="s">
        <v>4138</v>
      </c>
      <c r="C250" s="3471" t="s">
        <v>4187</v>
      </c>
      <c r="D250" s="3471" t="s">
        <v>4188</v>
      </c>
      <c r="E250" s="3471" t="s">
        <v>4367</v>
      </c>
      <c r="F250" s="3471" t="s">
        <v>3525</v>
      </c>
      <c r="G250" s="3471" t="s">
        <v>4189</v>
      </c>
      <c r="H250" s="3474" t="s">
        <v>4399</v>
      </c>
    </row>
    <row r="251" spans="1:8" ht="17.55" customHeight="1">
      <c r="A251" s="3470">
        <v>249</v>
      </c>
      <c r="B251" s="3470" t="s">
        <v>4138</v>
      </c>
      <c r="C251" s="3471" t="s">
        <v>4190</v>
      </c>
      <c r="D251" s="3471" t="s">
        <v>4191</v>
      </c>
      <c r="E251" s="3471" t="s">
        <v>4326</v>
      </c>
      <c r="F251" s="3471" t="s">
        <v>3525</v>
      </c>
      <c r="G251" s="3471" t="s">
        <v>4192</v>
      </c>
      <c r="H251" s="3474" t="s">
        <v>4399</v>
      </c>
    </row>
    <row r="252" spans="1:8" ht="17.55" customHeight="1">
      <c r="A252" s="3470">
        <v>250</v>
      </c>
      <c r="B252" s="3470" t="s">
        <v>4138</v>
      </c>
      <c r="C252" s="3471" t="s">
        <v>4193</v>
      </c>
      <c r="D252" s="3471" t="s">
        <v>4194</v>
      </c>
      <c r="E252" s="3471" t="s">
        <v>4326</v>
      </c>
      <c r="F252" s="3471" t="s">
        <v>3525</v>
      </c>
      <c r="G252" s="3471" t="s">
        <v>4195</v>
      </c>
      <c r="H252" s="3474" t="s">
        <v>4399</v>
      </c>
    </row>
    <row r="253" spans="1:8" ht="17.55" customHeight="1">
      <c r="A253" s="3470">
        <v>251</v>
      </c>
      <c r="B253" s="3470" t="s">
        <v>4138</v>
      </c>
      <c r="C253" s="3471" t="s">
        <v>4196</v>
      </c>
      <c r="D253" s="3471" t="s">
        <v>4197</v>
      </c>
      <c r="E253" s="3471" t="s">
        <v>4326</v>
      </c>
      <c r="F253" s="3471" t="s">
        <v>3525</v>
      </c>
      <c r="G253" s="3471" t="s">
        <v>4198</v>
      </c>
      <c r="H253" s="3474" t="s">
        <v>4399</v>
      </c>
    </row>
    <row r="254" spans="1:8" ht="17.55" customHeight="1">
      <c r="A254" s="3470">
        <v>252</v>
      </c>
      <c r="B254" s="3470" t="s">
        <v>4138</v>
      </c>
      <c r="C254" s="3471" t="s">
        <v>4199</v>
      </c>
      <c r="D254" s="3471" t="s">
        <v>4200</v>
      </c>
      <c r="E254" s="3471" t="s">
        <v>4326</v>
      </c>
      <c r="F254" s="3471" t="s">
        <v>3525</v>
      </c>
      <c r="G254" s="3471" t="s">
        <v>4201</v>
      </c>
      <c r="H254" s="3474" t="s">
        <v>4399</v>
      </c>
    </row>
    <row r="255" spans="1:8" ht="17.55" customHeight="1">
      <c r="A255" s="3470">
        <v>253</v>
      </c>
      <c r="B255" s="3470" t="s">
        <v>4138</v>
      </c>
      <c r="C255" s="3471" t="s">
        <v>4202</v>
      </c>
      <c r="D255" s="3471" t="s">
        <v>4203</v>
      </c>
      <c r="E255" s="3471" t="s">
        <v>4367</v>
      </c>
      <c r="F255" s="3471" t="s">
        <v>3525</v>
      </c>
      <c r="G255" s="3471" t="s">
        <v>4204</v>
      </c>
      <c r="H255" s="3474" t="s">
        <v>4399</v>
      </c>
    </row>
    <row r="256" spans="1:8" ht="17.55" customHeight="1">
      <c r="A256" s="3470">
        <v>254</v>
      </c>
      <c r="B256" s="3470" t="s">
        <v>4138</v>
      </c>
      <c r="C256" s="3471" t="s">
        <v>4205</v>
      </c>
      <c r="D256" s="3471" t="s">
        <v>4206</v>
      </c>
      <c r="E256" s="3471" t="s">
        <v>4266</v>
      </c>
      <c r="F256" s="3471" t="s">
        <v>3525</v>
      </c>
      <c r="G256" s="3471" t="s">
        <v>4207</v>
      </c>
      <c r="H256" s="3474" t="s">
        <v>4399</v>
      </c>
    </row>
    <row r="257" spans="1:8" ht="17.55" customHeight="1">
      <c r="A257" s="3470">
        <v>255</v>
      </c>
      <c r="B257" s="3470" t="s">
        <v>4138</v>
      </c>
      <c r="C257" s="3471" t="s">
        <v>4208</v>
      </c>
      <c r="D257" s="3471" t="s">
        <v>4209</v>
      </c>
      <c r="E257" s="3471" t="s">
        <v>4243</v>
      </c>
      <c r="F257" s="3471" t="s">
        <v>3525</v>
      </c>
      <c r="G257" s="3471" t="s">
        <v>4210</v>
      </c>
      <c r="H257" s="3474" t="s">
        <v>4399</v>
      </c>
    </row>
    <row r="258" spans="1:8" ht="17.55" customHeight="1">
      <c r="A258" s="3470">
        <v>256</v>
      </c>
      <c r="B258" s="3470" t="s">
        <v>4138</v>
      </c>
      <c r="C258" s="3471" t="s">
        <v>4211</v>
      </c>
      <c r="D258" s="3471" t="s">
        <v>4212</v>
      </c>
      <c r="E258" s="3471" t="s">
        <v>4243</v>
      </c>
      <c r="F258" s="3471" t="s">
        <v>3525</v>
      </c>
      <c r="G258" s="3471" t="s">
        <v>4213</v>
      </c>
      <c r="H258" s="3474" t="s">
        <v>4399</v>
      </c>
    </row>
    <row r="259" spans="1:8" ht="17.55" customHeight="1">
      <c r="A259" s="3470">
        <v>257</v>
      </c>
      <c r="B259" s="3470" t="s">
        <v>4138</v>
      </c>
      <c r="C259" s="3471" t="s">
        <v>4214</v>
      </c>
      <c r="D259" s="3471" t="s">
        <v>4215</v>
      </c>
      <c r="E259" s="3471" t="s">
        <v>4243</v>
      </c>
      <c r="F259" s="3471" t="s">
        <v>3525</v>
      </c>
      <c r="G259" s="3471" t="s">
        <v>4216</v>
      </c>
      <c r="H259" s="3474" t="s">
        <v>4399</v>
      </c>
    </row>
    <row r="260" spans="1:8" ht="17.55" customHeight="1">
      <c r="A260" s="3470">
        <v>258</v>
      </c>
      <c r="B260" s="3470" t="s">
        <v>4138</v>
      </c>
      <c r="C260" s="3471" t="s">
        <v>4217</v>
      </c>
      <c r="D260" s="3471" t="s">
        <v>4218</v>
      </c>
      <c r="E260" s="3471" t="s">
        <v>4368</v>
      </c>
      <c r="F260" s="3471" t="s">
        <v>3525</v>
      </c>
      <c r="G260" s="3471" t="s">
        <v>4219</v>
      </c>
      <c r="H260" s="3474" t="s">
        <v>4393</v>
      </c>
    </row>
    <row r="261" spans="1:8" ht="17.55" customHeight="1">
      <c r="A261" s="3470">
        <v>259</v>
      </c>
      <c r="B261" s="3470" t="s">
        <v>4138</v>
      </c>
      <c r="C261" s="3471" t="s">
        <v>4220</v>
      </c>
      <c r="D261" s="3471" t="s">
        <v>4221</v>
      </c>
      <c r="E261" s="3471" t="s">
        <v>4369</v>
      </c>
      <c r="F261" s="3471" t="s">
        <v>3525</v>
      </c>
      <c r="G261" s="3471" t="s">
        <v>4222</v>
      </c>
      <c r="H261" s="3474" t="s">
        <v>4399</v>
      </c>
    </row>
    <row r="262" spans="1:8" ht="17.55" customHeight="1">
      <c r="A262" s="3470">
        <v>260</v>
      </c>
      <c r="B262" s="3470" t="s">
        <v>4223</v>
      </c>
      <c r="C262" s="3471" t="s">
        <v>4224</v>
      </c>
      <c r="D262" s="3471" t="s">
        <v>4225</v>
      </c>
      <c r="E262" s="3471" t="s">
        <v>4378</v>
      </c>
      <c r="F262" s="3471" t="s">
        <v>3443</v>
      </c>
      <c r="G262" s="3471" t="s">
        <v>4226</v>
      </c>
      <c r="H262" s="3474" t="s">
        <v>4399</v>
      </c>
    </row>
    <row r="263" spans="1:8" ht="17.55" customHeight="1">
      <c r="A263" s="3470">
        <v>261</v>
      </c>
      <c r="B263" s="3470" t="s">
        <v>4223</v>
      </c>
      <c r="C263" s="3471" t="s">
        <v>4227</v>
      </c>
      <c r="D263" s="3471" t="s">
        <v>4228</v>
      </c>
      <c r="E263" s="3471" t="s">
        <v>4379</v>
      </c>
      <c r="F263" s="3471" t="s">
        <v>3443</v>
      </c>
      <c r="G263" s="3471" t="s">
        <v>4229</v>
      </c>
      <c r="H263" s="3474" t="s">
        <v>4399</v>
      </c>
    </row>
    <row r="264" spans="1:8" ht="17.55" customHeight="1">
      <c r="A264" s="3470">
        <v>262</v>
      </c>
      <c r="B264" s="3470" t="s">
        <v>4223</v>
      </c>
      <c r="C264" s="3471" t="s">
        <v>4230</v>
      </c>
      <c r="D264" s="3471" t="s">
        <v>4231</v>
      </c>
      <c r="E264" s="3471" t="s">
        <v>4379</v>
      </c>
      <c r="F264" s="3471" t="s">
        <v>3443</v>
      </c>
      <c r="G264" s="3471" t="s">
        <v>4232</v>
      </c>
      <c r="H264" s="3474" t="s">
        <v>4399</v>
      </c>
    </row>
    <row r="265" spans="1:8" ht="17.55" customHeight="1">
      <c r="A265" s="3470">
        <v>263</v>
      </c>
      <c r="B265" s="3470" t="s">
        <v>4223</v>
      </c>
      <c r="C265" s="3471" t="s">
        <v>4233</v>
      </c>
      <c r="D265" s="3471" t="s">
        <v>4234</v>
      </c>
      <c r="E265" s="3471" t="s">
        <v>4380</v>
      </c>
      <c r="F265" s="3471" t="s">
        <v>3443</v>
      </c>
      <c r="G265" s="3471" t="s">
        <v>4235</v>
      </c>
      <c r="H265" s="3474" t="s">
        <v>4399</v>
      </c>
    </row>
  </sheetData>
  <autoFilter ref="A2:H265"/>
  <mergeCells count="1">
    <mergeCell ref="A1:H1"/>
  </mergeCells>
  <phoneticPr fontId="134" type="noConversion"/>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45882</v>
      </c>
      <c r="B1" s="3210" t="s">
        <v>3375</v>
      </c>
      <c r="C1" s="3211"/>
      <c r="D1" s="3211"/>
      <c r="E1" s="3211"/>
      <c r="F1" s="3211"/>
      <c r="G1" s="3211"/>
      <c r="H1" s="3211"/>
      <c r="I1" s="3211"/>
      <c r="J1" s="3165"/>
      <c r="K1" s="3211" t="s">
        <v>454</v>
      </c>
      <c r="L1" s="3211"/>
      <c r="M1" s="3211"/>
      <c r="N1" s="3211"/>
      <c r="O1" s="3211"/>
      <c r="P1" s="3211"/>
      <c r="Q1" s="3165"/>
      <c r="R1" s="3810" t="s">
        <v>456</v>
      </c>
      <c r="S1" s="3811"/>
      <c r="T1" s="3811"/>
      <c r="U1" s="3811"/>
      <c r="V1" s="3811"/>
      <c r="W1" s="3811"/>
      <c r="X1" s="3165"/>
      <c r="Y1" s="3810" t="s">
        <v>457</v>
      </c>
      <c r="Z1" s="3811"/>
      <c r="AA1" s="3811"/>
      <c r="AB1" s="3811"/>
      <c r="AC1" s="3811"/>
      <c r="AD1" s="3811"/>
    </row>
    <row r="2" spans="1:44" s="3143" customFormat="1" ht="15" thickBot="1">
      <c r="B2" s="3144"/>
      <c r="C2" s="3145"/>
      <c r="D2" s="3146" t="s">
        <v>2807</v>
      </c>
      <c r="E2" s="3147" t="s">
        <v>2808</v>
      </c>
      <c r="F2" s="3147" t="s">
        <v>2809</v>
      </c>
      <c r="G2" s="3147" t="s">
        <v>2810</v>
      </c>
      <c r="H2" s="3147" t="s">
        <v>2811</v>
      </c>
      <c r="I2" s="3147" t="s">
        <v>2628</v>
      </c>
      <c r="J2" s="3148"/>
      <c r="K2" s="3146" t="s">
        <v>2807</v>
      </c>
      <c r="L2" s="3147" t="s">
        <v>2808</v>
      </c>
      <c r="M2" s="3147" t="s">
        <v>2809</v>
      </c>
      <c r="N2" s="3147" t="s">
        <v>2810</v>
      </c>
      <c r="O2" s="3147" t="s">
        <v>2812</v>
      </c>
      <c r="P2" s="3147" t="s">
        <v>2628</v>
      </c>
      <c r="Q2" s="3148"/>
      <c r="R2" s="3146" t="s">
        <v>2807</v>
      </c>
      <c r="S2" s="3147" t="s">
        <v>2808</v>
      </c>
      <c r="T2" s="3147" t="s">
        <v>2809</v>
      </c>
      <c r="U2" s="3147" t="s">
        <v>2813</v>
      </c>
      <c r="V2" s="3147" t="s">
        <v>2814</v>
      </c>
      <c r="W2" s="3147" t="s">
        <v>2628</v>
      </c>
      <c r="X2" s="3148"/>
      <c r="Y2" s="3146" t="s">
        <v>2807</v>
      </c>
      <c r="Z2" s="3147" t="s">
        <v>2808</v>
      </c>
      <c r="AA2" s="3147" t="s">
        <v>2809</v>
      </c>
      <c r="AB2" s="3147" t="s">
        <v>2815</v>
      </c>
      <c r="AC2" s="3147" t="s">
        <v>2814</v>
      </c>
      <c r="AD2" s="3147" t="s">
        <v>2628</v>
      </c>
      <c r="AF2" t="s">
        <v>3402</v>
      </c>
      <c r="AG2" t="s">
        <v>673</v>
      </c>
      <c r="AH2" t="s">
        <v>21</v>
      </c>
      <c r="AI2" t="s">
        <v>3403</v>
      </c>
      <c r="AJ2" t="s">
        <v>3</v>
      </c>
      <c r="AK2" t="s">
        <v>3404</v>
      </c>
      <c r="AM2" t="s">
        <v>3402</v>
      </c>
      <c r="AN2" t="s">
        <v>673</v>
      </c>
      <c r="AO2" t="s">
        <v>21</v>
      </c>
      <c r="AP2" t="s">
        <v>3403</v>
      </c>
      <c r="AQ2" t="s">
        <v>3</v>
      </c>
      <c r="AR2" t="s">
        <v>3404</v>
      </c>
    </row>
    <row r="3" spans="1:44" s="3161" customFormat="1" ht="13.2">
      <c r="A3" s="3149" t="s">
        <v>2816</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3401</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3400</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3399</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3407</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3406</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2817</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2818</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2819</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2820</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2821</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3378</v>
      </c>
    </row>
    <row r="27" spans="1:44" s="3009" customFormat="1">
      <c r="I27" s="3208" t="s">
        <v>2822</v>
      </c>
    </row>
    <row r="28" spans="1:44" s="3009" customFormat="1"/>
    <row r="29" spans="1:44" s="3209" customFormat="1" ht="13.2">
      <c r="B29" s="3210" t="s">
        <v>3376</v>
      </c>
      <c r="C29" s="3211"/>
      <c r="D29" s="3211"/>
      <c r="E29" s="3211"/>
      <c r="F29" s="3211"/>
      <c r="G29" s="3211"/>
      <c r="H29" s="3211"/>
      <c r="I29" s="3211"/>
      <c r="J29" s="3165"/>
      <c r="K29" s="3211" t="s">
        <v>2823</v>
      </c>
      <c r="L29" s="3211"/>
      <c r="M29" s="3211"/>
      <c r="N29" s="3211"/>
      <c r="O29" s="3211"/>
      <c r="P29" s="3211"/>
      <c r="Q29" s="3165"/>
      <c r="R29" s="3810" t="s">
        <v>2824</v>
      </c>
      <c r="S29" s="3811"/>
      <c r="T29" s="3811"/>
      <c r="U29" s="3811"/>
      <c r="V29" s="3811"/>
      <c r="W29" s="3811"/>
      <c r="X29" s="3165"/>
      <c r="Y29" s="3810" t="s">
        <v>2825</v>
      </c>
      <c r="Z29" s="3811"/>
      <c r="AA29" s="3811"/>
      <c r="AB29" s="3811"/>
      <c r="AC29" s="3811"/>
      <c r="AD29" s="3811"/>
    </row>
    <row r="30" spans="1:44" s="3143" customFormat="1" ht="15" thickBot="1">
      <c r="B30" s="3144"/>
      <c r="C30" s="3145"/>
      <c r="D30" s="3146" t="s">
        <v>2826</v>
      </c>
      <c r="E30" s="3147" t="s">
        <v>2827</v>
      </c>
      <c r="F30" s="3147" t="s">
        <v>2828</v>
      </c>
      <c r="G30" s="3147" t="s">
        <v>2829</v>
      </c>
      <c r="H30" s="3147"/>
      <c r="I30" s="3147" t="s">
        <v>2830</v>
      </c>
      <c r="J30" s="3148"/>
      <c r="K30" s="3146" t="s">
        <v>2826</v>
      </c>
      <c r="L30" s="3147" t="s">
        <v>2827</v>
      </c>
      <c r="M30" s="3147" t="s">
        <v>2828</v>
      </c>
      <c r="N30" s="3147" t="s">
        <v>2829</v>
      </c>
      <c r="O30" s="3147"/>
      <c r="P30" s="3147" t="s">
        <v>2830</v>
      </c>
      <c r="Q30" s="3148"/>
      <c r="R30" s="3146" t="s">
        <v>2826</v>
      </c>
      <c r="S30" s="3147" t="s">
        <v>2827</v>
      </c>
      <c r="T30" s="3147" t="s">
        <v>2828</v>
      </c>
      <c r="U30" s="3147" t="s">
        <v>2829</v>
      </c>
      <c r="V30" s="3147"/>
      <c r="W30" s="3147" t="s">
        <v>2830</v>
      </c>
      <c r="X30" s="3148"/>
      <c r="Y30" s="3146" t="s">
        <v>2826</v>
      </c>
      <c r="Z30" s="3147" t="s">
        <v>2827</v>
      </c>
      <c r="AA30" s="3147" t="s">
        <v>2828</v>
      </c>
      <c r="AB30" s="3147" t="s">
        <v>2829</v>
      </c>
      <c r="AC30" s="3147"/>
      <c r="AD30" s="3147" t="s">
        <v>2830</v>
      </c>
      <c r="AG30" t="s">
        <v>673</v>
      </c>
      <c r="AH30" t="s">
        <v>21</v>
      </c>
      <c r="AI30" t="s">
        <v>3403</v>
      </c>
      <c r="AJ30"/>
      <c r="AK30" t="s">
        <v>3404</v>
      </c>
      <c r="AN30" t="s">
        <v>673</v>
      </c>
      <c r="AO30" t="s">
        <v>21</v>
      </c>
      <c r="AP30" t="s">
        <v>3403</v>
      </c>
      <c r="AQ30"/>
      <c r="AR30" t="s">
        <v>3404</v>
      </c>
    </row>
    <row r="31" spans="1:44" s="3161" customFormat="1" ht="13.2">
      <c r="A31" s="3149" t="s">
        <v>2831</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3401</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3400</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3408</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3405</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3406</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2832</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2833</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2834</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2835</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2821</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5" t="s">
        <v>2836</v>
      </c>
      <c r="B1" s="3825"/>
      <c r="C1" s="3825"/>
      <c r="D1" s="3825"/>
      <c r="E1" s="3825"/>
      <c r="F1" s="3825"/>
      <c r="G1" s="3826"/>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1.4"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823" t="s">
        <v>2863</v>
      </c>
      <c r="B3" s="3230"/>
      <c r="C3" s="3231" t="s">
        <v>2808</v>
      </c>
      <c r="D3" s="3231" t="s">
        <v>2864</v>
      </c>
      <c r="E3" s="3231" t="s">
        <v>2810</v>
      </c>
      <c r="F3" s="3231" t="s">
        <v>2865</v>
      </c>
      <c r="G3" s="3231" t="s">
        <v>2628</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1.4" thickBot="1">
      <c r="A4" s="3824"/>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1.4"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1.4"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1.4"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1.4"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45882</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2306</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1" t="str">
        <f>IF(项目基本情况!B9="房地产市场价值","估价结果一览表","结果表-2")</f>
        <v>估价结果一览表</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房地产市场价值</v>
      </c>
      <c r="I2" s="3502"/>
    </row>
    <row r="3" spans="1:9" ht="15.6">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10.32</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6">
      <c r="A6" s="3496" t="str">
        <f>结果表!A120</f>
        <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6">
      <c r="A8" s="3496" t="str">
        <f>结果表!A122</f>
        <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6">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6">
      <c r="A12" s="3496" t="str">
        <f>结果表!A126</f>
        <v/>
      </c>
      <c r="B12" s="3496"/>
      <c r="C12" s="3496"/>
      <c r="D12" s="3496" t="str">
        <f>结果表!D126</f>
        <v>——</v>
      </c>
      <c r="E12" s="3496"/>
      <c r="F12" s="3496"/>
      <c r="G12" s="3496"/>
      <c r="H12" s="3496"/>
      <c r="I12" s="3496"/>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9" t="s">
        <v>949</v>
      </c>
      <c r="B1" s="3509"/>
      <c r="C1" s="3509"/>
      <c r="D1" s="3509"/>
    </row>
    <row r="2" spans="1:4" ht="17.399999999999999">
      <c r="A2" s="3510" t="s">
        <v>933</v>
      </c>
      <c r="B2" s="3510"/>
      <c r="C2" s="3510"/>
      <c r="D2" s="351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0" t="s">
        <v>939</v>
      </c>
      <c r="B6" s="3510"/>
      <c r="C6" s="3510"/>
      <c r="D6" s="351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1" t="s">
        <v>942</v>
      </c>
      <c r="B11" s="3503"/>
      <c r="C11" s="3503"/>
      <c r="D11" s="3503"/>
    </row>
    <row r="12" spans="1:4" ht="15.6">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3" t="str">
        <f>IF(项目基本情况!B8="抵押","3.抵押双方在办理抵押登记手续时，应使用本公司出具的正式《房地产评估报告》，特提醒报告使用者注意。","——")</f>
        <v>——</v>
      </c>
      <c r="B13" s="3508"/>
      <c r="C13" s="3508"/>
      <c r="D13" s="3508"/>
    </row>
    <row r="14" spans="1:4" ht="15.75" customHeight="1">
      <c r="A14" s="3503" t="str">
        <f>IF(项目基本情况!B8="抵押","4.本次评估估价师所知悉的法定优先受偿款情况说明如下：","——")</f>
        <v>——</v>
      </c>
      <c r="B14" s="3508"/>
      <c r="C14" s="3508"/>
      <c r="D14" s="3508"/>
    </row>
    <row r="15" spans="1:4" ht="42" customHeight="1">
      <c r="A15" s="3503" t="str">
        <f>IF(项目基本情况!B8="抵押","（1）"&amp;CONCATENATE(项目基本情况!L20,项目基本情况!L21,项目基本情况!L22),"——")</f>
        <v>——</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2136</v>
      </c>
      <c r="B2" s="2339">
        <f ca="1">TODAY()</f>
        <v>45904</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t="str">
        <f ca="1">IF(C9&lt;B2,"已过期",1120060040)</f>
        <v>已过期</v>
      </c>
      <c r="C9" s="2350">
        <v>45592</v>
      </c>
      <c r="D9" s="2346" t="str">
        <f t="shared" ca="1" si="0"/>
        <v>陈颖（注册号：已过期）</v>
      </c>
      <c r="E9" s="2347" t="s">
        <v>2150</v>
      </c>
      <c r="F9" s="1304">
        <f ca="1">IF(G9&lt;B2,"已过期",2004110096)</f>
        <v>2004110096</v>
      </c>
      <c r="G9" s="2348">
        <v>47118</v>
      </c>
      <c r="H9" s="2349" t="str">
        <f t="shared" ca="1" si="1"/>
        <v>陈颖（注册号：2004110096）</v>
      </c>
    </row>
    <row r="10" spans="1:8" ht="24" customHeight="1">
      <c r="A10" s="1304" t="s">
        <v>2151</v>
      </c>
      <c r="B10" s="1304" t="str">
        <f ca="1">IF(C10&lt;B2,"已过期",1120100036)</f>
        <v>已过期</v>
      </c>
      <c r="C10" s="2350">
        <v>45752</v>
      </c>
      <c r="D10" s="2346" t="str">
        <f t="shared" ca="1" si="0"/>
        <v>崔锴（注册号：已过期）</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2157</v>
      </c>
      <c r="B17" s="3520"/>
      <c r="C17" s="3520"/>
      <c r="D17" s="3520"/>
      <c r="E17" s="3520"/>
      <c r="F17" s="3520"/>
      <c r="G17" s="3520"/>
      <c r="H17" s="3520"/>
    </row>
    <row r="18" spans="1:8" ht="24" customHeight="1">
      <c r="A18" s="3521" t="s">
        <v>2158</v>
      </c>
      <c r="B18" s="3521"/>
      <c r="C18" s="3521"/>
      <c r="D18" s="2343"/>
      <c r="E18" s="3522" t="s">
        <v>2159</v>
      </c>
      <c r="F18" s="3521"/>
      <c r="G18" s="3521"/>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估价对象汇总</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2025-09-04T07:07:30Z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