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2北京市平谷区兴谷街道寨笆路7号院、8号院的仓储共计263\"/>
    </mc:Choice>
  </mc:AlternateContent>
  <bookViews>
    <workbookView xWindow="0" yWindow="0" windowWidth="23892" windowHeight="13332" tabRatio="900" firstSheet="15"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住宅、综合" sheetId="39" state="hidden" r:id="rId33"/>
    <sheet name="土地比较法-工业" sheetId="40" state="hidden" r:id="rId34"/>
    <sheet name="案例0.5" sheetId="81" r:id="rId35"/>
    <sheet name="比较法-仓储 (1)" sheetId="85" r:id="rId36"/>
    <sheet name="案例0.15" sheetId="84"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因素修正幅度" sheetId="65" r:id="rId43"/>
    <sheet name="区片价（范围）" sheetId="75" state="hidden" r:id="rId44"/>
    <sheet name="估价对象汇总" sheetId="80" r:id="rId45"/>
    <sheet name="住宅仓储价格对比" sheetId="83" r:id="rId46"/>
    <sheet name="Sheet1" sheetId="82"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46" hidden="1">Sheet1!$A$4:$H$235</definedName>
    <definedName name="_xlnm._FilterDatabase" localSheetId="28" hidden="1">'比较法-办公'!$A$1:$L$50</definedName>
    <definedName name="_xlnm._FilterDatabase" localSheetId="31" hidden="1">'比较法-仓储'!$A$1:$L$37</definedName>
    <definedName name="_xlnm._FilterDatabase" localSheetId="35" hidden="1">'比较法-仓储 (1)'!$A$1:$L$37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估价对象汇总!$A$2:$H$266</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5">'比较法-仓储 (1)'!$A$1:$K$42,'比较法-仓储 (1)'!$A$45:$M$96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 localSheetId="35">'比较法-仓储 (1)'!$B$77:$M$77</definedName>
    <definedName name="仓储公共部分装修">'比较法-仓储'!$B$77:$M$77</definedName>
    <definedName name="仓储交易情况" localSheetId="35">'比较法-仓储 (1)'!$A$49:$M$49</definedName>
    <definedName name="仓储交易情况">'比较法-仓储'!$A$49:$M$49</definedName>
    <definedName name="仓储楼层" localSheetId="35">'比较法-仓储 (1)'!$B$69:$M$69</definedName>
    <definedName name="仓储楼层">'比较法-仓储'!$B$69:$M$69</definedName>
    <definedName name="仓储物业等级" localSheetId="35">'比较法-仓储 (1)'!$B$82:$M$82</definedName>
    <definedName name="仓储物业等级">'比较法-仓储'!$B$82:$M$82</definedName>
    <definedName name="仓储用途" localSheetId="35">'比较法-仓储 (1)'!$B$51:$M$51</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 localSheetId="35">'比较法-仓储 (1)'!$B$89:$M$89</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 localSheetId="35">'比较法-仓储 (1)'!$B$84:$M$84</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2" i="85" l="1"/>
  <c r="G32" i="85"/>
  <c r="E32" i="85"/>
  <c r="C32" i="85"/>
  <c r="L266" i="80" l="1"/>
  <c r="L4" i="80"/>
  <c r="L5" i="80"/>
  <c r="L6" i="80"/>
  <c r="L7" i="80"/>
  <c r="L8" i="80"/>
  <c r="L9" i="80"/>
  <c r="L10"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L38" i="80"/>
  <c r="L39" i="80"/>
  <c r="L40" i="80"/>
  <c r="L41" i="80"/>
  <c r="L42" i="80"/>
  <c r="L43" i="80"/>
  <c r="L44" i="80"/>
  <c r="L45" i="80"/>
  <c r="L46" i="80"/>
  <c r="L47" i="80"/>
  <c r="L48" i="80"/>
  <c r="L49" i="80"/>
  <c r="L50" i="80"/>
  <c r="L51" i="80"/>
  <c r="L52" i="80"/>
  <c r="L53" i="80"/>
  <c r="L54" i="80"/>
  <c r="L55" i="80"/>
  <c r="L56" i="80"/>
  <c r="L57" i="80"/>
  <c r="L58" i="80"/>
  <c r="L59" i="80"/>
  <c r="L60" i="80"/>
  <c r="L61" i="80"/>
  <c r="L62" i="80"/>
  <c r="L63" i="80"/>
  <c r="L64" i="80"/>
  <c r="L65" i="80"/>
  <c r="L66" i="80"/>
  <c r="L67" i="80"/>
  <c r="L68" i="80"/>
  <c r="L69" i="80"/>
  <c r="L70" i="80"/>
  <c r="L71" i="80"/>
  <c r="L72" i="80"/>
  <c r="L73" i="80"/>
  <c r="L74"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L109" i="80"/>
  <c r="L110" i="80"/>
  <c r="L111" i="80"/>
  <c r="L112" i="80"/>
  <c r="L113" i="80"/>
  <c r="L114" i="80"/>
  <c r="L115" i="80"/>
  <c r="L116" i="80"/>
  <c r="L117" i="80"/>
  <c r="L118" i="80"/>
  <c r="L119" i="80"/>
  <c r="L120" i="80"/>
  <c r="L121" i="80"/>
  <c r="L122" i="80"/>
  <c r="L123" i="80"/>
  <c r="L124" i="80"/>
  <c r="L125" i="80"/>
  <c r="L126" i="80"/>
  <c r="L127" i="80"/>
  <c r="L128" i="80"/>
  <c r="L129" i="80"/>
  <c r="L130" i="80"/>
  <c r="L131" i="80"/>
  <c r="L132" i="80"/>
  <c r="L133" i="80"/>
  <c r="L134" i="80"/>
  <c r="L135" i="80"/>
  <c r="L136" i="80"/>
  <c r="L137" i="80"/>
  <c r="L138" i="80"/>
  <c r="L139" i="80"/>
  <c r="L140" i="80"/>
  <c r="L141" i="80"/>
  <c r="L142" i="80"/>
  <c r="L143" i="80"/>
  <c r="L144" i="80"/>
  <c r="L145" i="80"/>
  <c r="L146" i="80"/>
  <c r="L147" i="80"/>
  <c r="L148" i="80"/>
  <c r="L149" i="80"/>
  <c r="L150" i="80"/>
  <c r="L151" i="80"/>
  <c r="L152" i="80"/>
  <c r="L153" i="80"/>
  <c r="L154" i="80"/>
  <c r="L155" i="80"/>
  <c r="L156" i="80"/>
  <c r="L157" i="80"/>
  <c r="L158" i="80"/>
  <c r="L159" i="80"/>
  <c r="L160" i="80"/>
  <c r="L161" i="80"/>
  <c r="L162" i="80"/>
  <c r="L163" i="80"/>
  <c r="L164" i="80"/>
  <c r="L165" i="80"/>
  <c r="L166" i="80"/>
  <c r="L167" i="80"/>
  <c r="L168" i="80"/>
  <c r="L169" i="80"/>
  <c r="L170" i="80"/>
  <c r="L171" i="80"/>
  <c r="L172" i="80"/>
  <c r="L173" i="80"/>
  <c r="L174" i="80"/>
  <c r="L175" i="80"/>
  <c r="L176" i="80"/>
  <c r="L177" i="80"/>
  <c r="L178" i="80"/>
  <c r="L179" i="80"/>
  <c r="L180" i="80"/>
  <c r="L181" i="80"/>
  <c r="L182" i="80"/>
  <c r="L183" i="80"/>
  <c r="L184" i="80"/>
  <c r="L185" i="80"/>
  <c r="L186" i="80"/>
  <c r="L187" i="80"/>
  <c r="L188" i="80"/>
  <c r="L189" i="80"/>
  <c r="L190" i="80"/>
  <c r="L191" i="80"/>
  <c r="L192" i="80"/>
  <c r="L193" i="80"/>
  <c r="L194" i="80"/>
  <c r="L195" i="80"/>
  <c r="L196" i="80"/>
  <c r="L197" i="80"/>
  <c r="L198" i="80"/>
  <c r="L199" i="80"/>
  <c r="L200" i="80"/>
  <c r="L201" i="80"/>
  <c r="L202" i="80"/>
  <c r="L203" i="80"/>
  <c r="L204" i="80"/>
  <c r="L205" i="80"/>
  <c r="L206" i="80"/>
  <c r="L207" i="80"/>
  <c r="L208" i="80"/>
  <c r="L209" i="80"/>
  <c r="L210" i="80"/>
  <c r="L211" i="80"/>
  <c r="L212" i="80"/>
  <c r="L213" i="80"/>
  <c r="L214" i="80"/>
  <c r="L215" i="80"/>
  <c r="L216" i="80"/>
  <c r="L217" i="80"/>
  <c r="L218" i="80"/>
  <c r="L219" i="80"/>
  <c r="L220" i="80"/>
  <c r="L221" i="80"/>
  <c r="L222" i="80"/>
  <c r="L223" i="80"/>
  <c r="L224" i="80"/>
  <c r="L225" i="80"/>
  <c r="L226" i="80"/>
  <c r="L227" i="80"/>
  <c r="L228" i="80"/>
  <c r="L229" i="80"/>
  <c r="L230" i="80"/>
  <c r="L231" i="80"/>
  <c r="L232" i="80"/>
  <c r="L233" i="80"/>
  <c r="L234" i="80"/>
  <c r="L235" i="80"/>
  <c r="L236" i="80"/>
  <c r="L237" i="80"/>
  <c r="L238" i="80"/>
  <c r="L239" i="80"/>
  <c r="L240" i="80"/>
  <c r="L241" i="80"/>
  <c r="L242" i="80"/>
  <c r="L243" i="80"/>
  <c r="L244" i="80"/>
  <c r="L245" i="80"/>
  <c r="L246" i="80"/>
  <c r="L247" i="80"/>
  <c r="L248" i="80"/>
  <c r="L249" i="80"/>
  <c r="L250" i="80"/>
  <c r="L251" i="80"/>
  <c r="L252" i="80"/>
  <c r="L253" i="80"/>
  <c r="L254" i="80"/>
  <c r="L255" i="80"/>
  <c r="L256" i="80"/>
  <c r="L257" i="80"/>
  <c r="L258" i="80"/>
  <c r="L259" i="80"/>
  <c r="L260" i="80"/>
  <c r="L261" i="80"/>
  <c r="L262" i="80"/>
  <c r="L263" i="80"/>
  <c r="L264" i="80"/>
  <c r="L265" i="80"/>
  <c r="L3" i="80"/>
  <c r="I35" i="85" l="1"/>
  <c r="G35" i="85"/>
  <c r="I30" i="85"/>
  <c r="G30" i="85"/>
  <c r="I7" i="85"/>
  <c r="G7" i="85"/>
  <c r="E30" i="85"/>
  <c r="I42" i="85"/>
  <c r="J42" i="85" s="1"/>
  <c r="E35" i="85"/>
  <c r="E7" i="85"/>
  <c r="I5" i="85"/>
  <c r="G5" i="85"/>
  <c r="E5" i="85"/>
  <c r="B95" i="85"/>
  <c r="B93" i="85"/>
  <c r="B91" i="85"/>
  <c r="H32" i="85" s="1"/>
  <c r="AB32" i="85" s="1"/>
  <c r="M86" i="85"/>
  <c r="L86" i="85"/>
  <c r="K86" i="85"/>
  <c r="J86" i="85"/>
  <c r="I86" i="85"/>
  <c r="H86" i="85"/>
  <c r="G86" i="85"/>
  <c r="F86" i="85"/>
  <c r="E86" i="85"/>
  <c r="D86" i="85"/>
  <c r="C86" i="85"/>
  <c r="H85" i="85"/>
  <c r="I85" i="85" s="1"/>
  <c r="J85" i="85" s="1"/>
  <c r="K85" i="85" s="1"/>
  <c r="L85" i="85" s="1"/>
  <c r="M85" i="85" s="1"/>
  <c r="D85" i="85"/>
  <c r="E85" i="85" s="1"/>
  <c r="F85" i="85" s="1"/>
  <c r="G85" i="85" s="1"/>
  <c r="D83" i="85"/>
  <c r="E83" i="85" s="1"/>
  <c r="F83" i="85" s="1"/>
  <c r="G83" i="85" s="1"/>
  <c r="H83" i="85" s="1"/>
  <c r="I83" i="85" s="1"/>
  <c r="J83" i="85" s="1"/>
  <c r="K83" i="85" s="1"/>
  <c r="L83" i="85" s="1"/>
  <c r="M83" i="85" s="1"/>
  <c r="D81" i="85"/>
  <c r="E81" i="85" s="1"/>
  <c r="F81" i="85" s="1"/>
  <c r="G81" i="85" s="1"/>
  <c r="H81" i="85" s="1"/>
  <c r="I81" i="85" s="1"/>
  <c r="J81" i="85" s="1"/>
  <c r="K81" i="85" s="1"/>
  <c r="L81" i="85" s="1"/>
  <c r="M81" i="85" s="1"/>
  <c r="G79" i="85"/>
  <c r="F79" i="85"/>
  <c r="E79" i="85"/>
  <c r="D79" i="85"/>
  <c r="C79" i="85"/>
  <c r="D78" i="85"/>
  <c r="E78" i="85" s="1"/>
  <c r="F78" i="85" s="1"/>
  <c r="G78" i="85" s="1"/>
  <c r="H78" i="85" s="1"/>
  <c r="I78" i="85" s="1"/>
  <c r="J78" i="85" s="1"/>
  <c r="K78" i="85" s="1"/>
  <c r="L78" i="85" s="1"/>
  <c r="M78" i="85" s="1"/>
  <c r="B75" i="85"/>
  <c r="B73" i="85"/>
  <c r="B71" i="85"/>
  <c r="D70" i="85"/>
  <c r="G68" i="85"/>
  <c r="D68" i="85"/>
  <c r="E68" i="85" s="1"/>
  <c r="F68" i="85" s="1"/>
  <c r="D66" i="85"/>
  <c r="E66" i="85" s="1"/>
  <c r="F66" i="85" s="1"/>
  <c r="G66" i="85" s="1"/>
  <c r="D64" i="85"/>
  <c r="E64" i="85" s="1"/>
  <c r="D62" i="85"/>
  <c r="E62" i="85" s="1"/>
  <c r="B59" i="85"/>
  <c r="B57" i="85"/>
  <c r="B55" i="85"/>
  <c r="C51" i="85"/>
  <c r="J47" i="85"/>
  <c r="I47" i="85"/>
  <c r="F47" i="85"/>
  <c r="G47" i="85" s="1"/>
  <c r="E42" i="85"/>
  <c r="F42" i="85" s="1"/>
  <c r="P37" i="85"/>
  <c r="P36" i="85"/>
  <c r="K36" i="85"/>
  <c r="T35" i="85"/>
  <c r="R35" i="85"/>
  <c r="P35" i="85"/>
  <c r="U34" i="85"/>
  <c r="Q34" i="85"/>
  <c r="Z34" i="85" s="1"/>
  <c r="J34" i="85"/>
  <c r="AC34" i="85" s="1"/>
  <c r="H34" i="85"/>
  <c r="AB34" i="85" s="1"/>
  <c r="F34" i="85"/>
  <c r="AA34" i="85" s="1"/>
  <c r="AA33" i="85"/>
  <c r="Q33" i="85"/>
  <c r="Z33" i="85" s="1"/>
  <c r="J33" i="85"/>
  <c r="AC33" i="85" s="1"/>
  <c r="H33" i="85"/>
  <c r="AB33" i="85" s="1"/>
  <c r="F33" i="85"/>
  <c r="S33" i="85" s="1"/>
  <c r="Q32" i="85"/>
  <c r="Z32" i="85" s="1"/>
  <c r="J32" i="85"/>
  <c r="AC32" i="85" s="1"/>
  <c r="Q31" i="85"/>
  <c r="Z31" i="85" s="1"/>
  <c r="J31" i="85"/>
  <c r="AC31" i="85" s="1"/>
  <c r="H31" i="85"/>
  <c r="AB31" i="85" s="1"/>
  <c r="F31" i="85"/>
  <c r="AA31" i="85" s="1"/>
  <c r="Q30" i="85"/>
  <c r="Z30" i="85" s="1"/>
  <c r="H30" i="85"/>
  <c r="AB30" i="85" s="1"/>
  <c r="C30" i="85"/>
  <c r="F30" i="85" s="1"/>
  <c r="Q29" i="85"/>
  <c r="Z29" i="85" s="1"/>
  <c r="J29" i="85"/>
  <c r="AC29" i="85" s="1"/>
  <c r="H29" i="85"/>
  <c r="AB29" i="85" s="1"/>
  <c r="F29" i="85"/>
  <c r="AA29" i="85" s="1"/>
  <c r="Q28" i="85"/>
  <c r="Z28" i="85" s="1"/>
  <c r="J28" i="85"/>
  <c r="AC28" i="85" s="1"/>
  <c r="H28" i="85"/>
  <c r="AB28" i="85" s="1"/>
  <c r="F28" i="85"/>
  <c r="S28" i="85" s="1"/>
  <c r="Z27" i="85"/>
  <c r="Q27" i="85"/>
  <c r="I27" i="85"/>
  <c r="J27" i="85" s="1"/>
  <c r="G27" i="85"/>
  <c r="H27" i="85" s="1"/>
  <c r="E27" i="85"/>
  <c r="F27" i="85" s="1"/>
  <c r="Q26" i="85"/>
  <c r="Z26" i="85" s="1"/>
  <c r="J26" i="85"/>
  <c r="AC26" i="85" s="1"/>
  <c r="H26" i="85"/>
  <c r="AB26" i="85" s="1"/>
  <c r="F26" i="85"/>
  <c r="AA26" i="85" s="1"/>
  <c r="AA25" i="85"/>
  <c r="S25" i="85"/>
  <c r="Q25" i="85"/>
  <c r="Z25" i="85" s="1"/>
  <c r="F25" i="85"/>
  <c r="Z24" i="85"/>
  <c r="Q24" i="85"/>
  <c r="J24" i="85"/>
  <c r="AC24" i="85" s="1"/>
  <c r="H24" i="85"/>
  <c r="AB24" i="85" s="1"/>
  <c r="F24" i="85"/>
  <c r="AA24" i="85" s="1"/>
  <c r="Q23" i="85"/>
  <c r="Z23" i="85" s="1"/>
  <c r="J23" i="85"/>
  <c r="AC23" i="85" s="1"/>
  <c r="H23" i="85"/>
  <c r="AB23" i="85" s="1"/>
  <c r="F23" i="85"/>
  <c r="AA23" i="85" s="1"/>
  <c r="U22" i="85"/>
  <c r="Q22" i="85"/>
  <c r="Z22" i="85" s="1"/>
  <c r="J22" i="85"/>
  <c r="AC22" i="85" s="1"/>
  <c r="H22" i="85"/>
  <c r="AB22" i="85" s="1"/>
  <c r="F22" i="85"/>
  <c r="AA22" i="85" s="1"/>
  <c r="Q20" i="85"/>
  <c r="Z20" i="85" s="1"/>
  <c r="J20" i="85"/>
  <c r="AC20" i="85" s="1"/>
  <c r="H20" i="85"/>
  <c r="AB20" i="85" s="1"/>
  <c r="F20" i="85"/>
  <c r="AA20" i="85" s="1"/>
  <c r="C20" i="85"/>
  <c r="Q18" i="85"/>
  <c r="Z18" i="85" s="1"/>
  <c r="J18" i="85"/>
  <c r="AC18" i="85" s="1"/>
  <c r="H18" i="85"/>
  <c r="AB18" i="85" s="1"/>
  <c r="F18" i="85"/>
  <c r="AA18" i="85" s="1"/>
  <c r="C18" i="85"/>
  <c r="Q16" i="85"/>
  <c r="Z16" i="85" s="1"/>
  <c r="F16" i="85"/>
  <c r="S16" i="85" s="1"/>
  <c r="C16" i="85"/>
  <c r="Q14" i="85"/>
  <c r="Z14" i="85" s="1"/>
  <c r="C14" i="85"/>
  <c r="AA13" i="85"/>
  <c r="S13" i="85"/>
  <c r="Q13" i="85"/>
  <c r="Z13" i="85" s="1"/>
  <c r="F13" i="85"/>
  <c r="Q12" i="85"/>
  <c r="Z12" i="85" s="1"/>
  <c r="J12" i="85"/>
  <c r="AC12" i="85" s="1"/>
  <c r="H12" i="85"/>
  <c r="AB12" i="85" s="1"/>
  <c r="F12" i="85"/>
  <c r="AA12" i="85" s="1"/>
  <c r="AC11" i="85"/>
  <c r="Q11" i="85"/>
  <c r="Z11" i="85" s="1"/>
  <c r="J11" i="85"/>
  <c r="W11" i="85" s="1"/>
  <c r="H11" i="85"/>
  <c r="AB11" i="85" s="1"/>
  <c r="F11" i="85"/>
  <c r="AA11" i="85" s="1"/>
  <c r="U10" i="85"/>
  <c r="Q10" i="85"/>
  <c r="Z10" i="85" s="1"/>
  <c r="J10" i="85"/>
  <c r="AC10" i="85" s="1"/>
  <c r="H10" i="85"/>
  <c r="AB10" i="85" s="1"/>
  <c r="F10" i="85"/>
  <c r="AA10" i="85" s="1"/>
  <c r="AA9" i="85"/>
  <c r="Q9" i="85"/>
  <c r="Z9" i="85" s="1"/>
  <c r="J9" i="85"/>
  <c r="AC9" i="85" s="1"/>
  <c r="H9" i="85"/>
  <c r="F9" i="85"/>
  <c r="S9" i="85" s="1"/>
  <c r="AA8" i="85"/>
  <c r="S8" i="85"/>
  <c r="J8" i="85"/>
  <c r="AC8" i="85" s="1"/>
  <c r="H8" i="85"/>
  <c r="F8" i="85"/>
  <c r="C7" i="85"/>
  <c r="C46" i="85" s="1"/>
  <c r="D3" i="85"/>
  <c r="D2" i="85"/>
  <c r="F32" i="85" l="1"/>
  <c r="AA32" i="85" s="1"/>
  <c r="V35" i="85"/>
  <c r="G42" i="85"/>
  <c r="H42" i="85" s="1"/>
  <c r="U30" i="85"/>
  <c r="D46" i="85"/>
  <c r="E46" i="85" s="1"/>
  <c r="F46" i="85" s="1"/>
  <c r="G46" i="85" s="1"/>
  <c r="H46" i="85" s="1"/>
  <c r="I46" i="85" s="1"/>
  <c r="J46" i="85" s="1"/>
  <c r="K46" i="85" s="1"/>
  <c r="L46" i="85" s="1"/>
  <c r="M46" i="85" s="1"/>
  <c r="N46" i="85" s="1"/>
  <c r="O46" i="85" s="1"/>
  <c r="J7" i="85"/>
  <c r="AA16" i="85"/>
  <c r="U26" i="85"/>
  <c r="AC27" i="85"/>
  <c r="W27" i="85"/>
  <c r="AA28" i="85"/>
  <c r="W31" i="85"/>
  <c r="J13" i="85"/>
  <c r="H13" i="85"/>
  <c r="J25" i="85"/>
  <c r="H25" i="85"/>
  <c r="S20" i="85"/>
  <c r="W23" i="85"/>
  <c r="U29" i="85"/>
  <c r="F62" i="85"/>
  <c r="J14" i="85" s="1"/>
  <c r="S18" i="85"/>
  <c r="AA27" i="85"/>
  <c r="S27" i="85"/>
  <c r="AB9" i="85"/>
  <c r="U9" i="85"/>
  <c r="W8" i="85"/>
  <c r="U8" i="85"/>
  <c r="AB8" i="85"/>
  <c r="AB27" i="85"/>
  <c r="U27" i="85"/>
  <c r="AA30" i="85"/>
  <c r="S30" i="85"/>
  <c r="F64" i="85"/>
  <c r="G64" i="85" s="1"/>
  <c r="J16" i="85"/>
  <c r="H16" i="85"/>
  <c r="W10" i="85"/>
  <c r="S12" i="85"/>
  <c r="U18" i="85"/>
  <c r="U20" i="85"/>
  <c r="W22" i="85"/>
  <c r="S24" i="85"/>
  <c r="W26" i="85"/>
  <c r="U28" i="85"/>
  <c r="W29" i="85"/>
  <c r="J30" i="85"/>
  <c r="U33" i="85"/>
  <c r="W34" i="85"/>
  <c r="S11" i="85"/>
  <c r="W18" i="85"/>
  <c r="W20" i="85"/>
  <c r="S23" i="85"/>
  <c r="U24" i="85"/>
  <c r="W28" i="85"/>
  <c r="S31" i="85"/>
  <c r="U32" i="85"/>
  <c r="W33" i="85"/>
  <c r="W9" i="85"/>
  <c r="U12" i="85"/>
  <c r="S10" i="85"/>
  <c r="U11" i="85"/>
  <c r="W12" i="85"/>
  <c r="S22" i="85"/>
  <c r="U23" i="85"/>
  <c r="W24" i="85"/>
  <c r="S26" i="85"/>
  <c r="S29" i="85"/>
  <c r="U31" i="85"/>
  <c r="W32" i="85"/>
  <c r="S34" i="85"/>
  <c r="L265" i="82"/>
  <c r="G284" i="82"/>
  <c r="G281" i="82"/>
  <c r="G282" i="82"/>
  <c r="G283" i="82"/>
  <c r="G280" i="82"/>
  <c r="G272" i="82"/>
  <c r="G245" i="82"/>
  <c r="G246" i="82"/>
  <c r="G247" i="82"/>
  <c r="G248" i="82"/>
  <c r="G249" i="82"/>
  <c r="G250" i="82"/>
  <c r="G251" i="82"/>
  <c r="G252" i="82"/>
  <c r="G253" i="82"/>
  <c r="G254" i="82"/>
  <c r="G255" i="82"/>
  <c r="G256" i="82"/>
  <c r="G257" i="82"/>
  <c r="G258" i="82"/>
  <c r="G259" i="82"/>
  <c r="G260" i="82"/>
  <c r="G261" i="82"/>
  <c r="G262" i="82"/>
  <c r="G263" i="82"/>
  <c r="G264" i="82"/>
  <c r="G265" i="82"/>
  <c r="G266" i="82"/>
  <c r="G267" i="82"/>
  <c r="G268" i="82"/>
  <c r="G269" i="82"/>
  <c r="G270" i="82"/>
  <c r="G271" i="82"/>
  <c r="G244" i="82"/>
  <c r="G6" i="82"/>
  <c r="G7" i="82"/>
  <c r="G8" i="82"/>
  <c r="G9" i="82"/>
  <c r="G10" i="82"/>
  <c r="G11" i="82"/>
  <c r="G12" i="82"/>
  <c r="G13" i="82"/>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213" i="82"/>
  <c r="G214" i="82"/>
  <c r="G215" i="82"/>
  <c r="G216" i="82"/>
  <c r="G217" i="82"/>
  <c r="G218" i="82"/>
  <c r="G219" i="82"/>
  <c r="G220" i="82"/>
  <c r="G221" i="82"/>
  <c r="G222" i="82"/>
  <c r="G223" i="82"/>
  <c r="G224" i="82"/>
  <c r="G225" i="82"/>
  <c r="G226" i="82"/>
  <c r="G227" i="82"/>
  <c r="G228" i="82"/>
  <c r="G229" i="82"/>
  <c r="G230" i="82"/>
  <c r="G231" i="82"/>
  <c r="G232" i="82"/>
  <c r="G233" i="82"/>
  <c r="G234" i="82"/>
  <c r="G235" i="82"/>
  <c r="G5" i="82"/>
  <c r="G236" i="82"/>
  <c r="E266" i="80"/>
  <c r="H14" i="85" l="1"/>
  <c r="S32" i="85"/>
  <c r="AC14" i="85"/>
  <c r="W14" i="85"/>
  <c r="AB13" i="85"/>
  <c r="U13" i="85"/>
  <c r="W7" i="85"/>
  <c r="AC7" i="85"/>
  <c r="AB16" i="85"/>
  <c r="U16" i="85"/>
  <c r="AC30" i="85"/>
  <c r="W30" i="85"/>
  <c r="G62" i="85"/>
  <c r="F14" i="85"/>
  <c r="AC13" i="85"/>
  <c r="W13" i="85"/>
  <c r="AC16" i="85"/>
  <c r="W16" i="85"/>
  <c r="AB25" i="85"/>
  <c r="U25" i="85"/>
  <c r="F7" i="85"/>
  <c r="AB14" i="85"/>
  <c r="U14" i="85"/>
  <c r="AC25" i="85"/>
  <c r="W25" i="85"/>
  <c r="H7" i="85"/>
  <c r="J17" i="80"/>
  <c r="K17" i="80"/>
  <c r="J18" i="80"/>
  <c r="K18" i="80"/>
  <c r="J19" i="80"/>
  <c r="K19" i="80"/>
  <c r="J20" i="80"/>
  <c r="K20" i="80"/>
  <c r="J21" i="80"/>
  <c r="K21" i="80"/>
  <c r="J22" i="80"/>
  <c r="K22" i="80"/>
  <c r="J23" i="80"/>
  <c r="K23" i="80"/>
  <c r="J24" i="80"/>
  <c r="K24" i="80"/>
  <c r="J25" i="80"/>
  <c r="K25" i="80"/>
  <c r="J26" i="80"/>
  <c r="K26" i="80"/>
  <c r="J27" i="80"/>
  <c r="K27" i="80"/>
  <c r="J28" i="80"/>
  <c r="K28" i="80"/>
  <c r="J29" i="80"/>
  <c r="K29" i="80"/>
  <c r="J30" i="80"/>
  <c r="K30" i="80"/>
  <c r="J31" i="80"/>
  <c r="K31" i="80"/>
  <c r="J32" i="80"/>
  <c r="K32" i="80"/>
  <c r="J33" i="80"/>
  <c r="K33" i="80"/>
  <c r="J34" i="80"/>
  <c r="K34" i="80"/>
  <c r="J35" i="80"/>
  <c r="K35" i="80"/>
  <c r="J36" i="80"/>
  <c r="K36" i="80"/>
  <c r="J37" i="80"/>
  <c r="K37" i="80"/>
  <c r="J38" i="80"/>
  <c r="K38" i="80"/>
  <c r="J39" i="80"/>
  <c r="K39" i="80"/>
  <c r="J40" i="80"/>
  <c r="K40" i="80"/>
  <c r="J41" i="80"/>
  <c r="K41" i="80"/>
  <c r="J42" i="80"/>
  <c r="K42" i="80"/>
  <c r="J43" i="80"/>
  <c r="K43" i="80"/>
  <c r="J44" i="80"/>
  <c r="K44" i="80"/>
  <c r="J45" i="80"/>
  <c r="K45" i="80"/>
  <c r="J46" i="80"/>
  <c r="K46" i="80"/>
  <c r="J47" i="80"/>
  <c r="K47" i="80"/>
  <c r="J48" i="80"/>
  <c r="K48" i="80"/>
  <c r="J49" i="80"/>
  <c r="K49" i="80"/>
  <c r="J50" i="80"/>
  <c r="K50" i="80"/>
  <c r="J51" i="80"/>
  <c r="K51" i="80"/>
  <c r="J52" i="80"/>
  <c r="K52" i="80"/>
  <c r="J53" i="80"/>
  <c r="K53" i="80"/>
  <c r="J54" i="80"/>
  <c r="K54" i="80"/>
  <c r="J55" i="80"/>
  <c r="K55" i="80"/>
  <c r="J56" i="80"/>
  <c r="K56" i="80"/>
  <c r="J57" i="80"/>
  <c r="K57" i="80"/>
  <c r="J58" i="80"/>
  <c r="K58" i="80"/>
  <c r="J59" i="80"/>
  <c r="K59" i="80"/>
  <c r="J60" i="80"/>
  <c r="K60" i="80"/>
  <c r="J61" i="80"/>
  <c r="K61" i="80"/>
  <c r="J62" i="80"/>
  <c r="K62" i="80"/>
  <c r="J63" i="80"/>
  <c r="K63" i="80"/>
  <c r="J64" i="80"/>
  <c r="K64" i="80"/>
  <c r="J65" i="80"/>
  <c r="K65" i="80"/>
  <c r="J66" i="80"/>
  <c r="K66" i="80"/>
  <c r="J67" i="80"/>
  <c r="K67" i="80"/>
  <c r="J68" i="80"/>
  <c r="K68" i="80"/>
  <c r="J69" i="80"/>
  <c r="K69" i="80"/>
  <c r="J70" i="80"/>
  <c r="K70" i="80"/>
  <c r="J71" i="80"/>
  <c r="K71" i="80"/>
  <c r="J72" i="80"/>
  <c r="K72" i="80"/>
  <c r="J73" i="80"/>
  <c r="K73" i="80"/>
  <c r="J74" i="80"/>
  <c r="K74" i="80"/>
  <c r="J75" i="80"/>
  <c r="K75" i="80"/>
  <c r="J76" i="80"/>
  <c r="K76" i="80"/>
  <c r="J77" i="80"/>
  <c r="K77" i="80"/>
  <c r="J78" i="80"/>
  <c r="K78" i="80"/>
  <c r="J79" i="80"/>
  <c r="K79" i="80"/>
  <c r="J80" i="80"/>
  <c r="K80" i="80"/>
  <c r="J81" i="80"/>
  <c r="K81" i="80"/>
  <c r="J82" i="80"/>
  <c r="K82" i="80"/>
  <c r="J83" i="80"/>
  <c r="K83" i="80"/>
  <c r="J84" i="80"/>
  <c r="K84" i="80"/>
  <c r="J85" i="80"/>
  <c r="K85" i="80"/>
  <c r="J86" i="80"/>
  <c r="K86" i="80"/>
  <c r="J87" i="80"/>
  <c r="K87" i="80"/>
  <c r="J88" i="80"/>
  <c r="K88" i="80"/>
  <c r="J89" i="80"/>
  <c r="K89" i="80"/>
  <c r="J90" i="80"/>
  <c r="K90" i="80"/>
  <c r="J91" i="80"/>
  <c r="K91" i="80"/>
  <c r="J92" i="80"/>
  <c r="K92" i="80"/>
  <c r="J93" i="80"/>
  <c r="K93" i="80"/>
  <c r="J94" i="80"/>
  <c r="K94" i="80"/>
  <c r="J95" i="80"/>
  <c r="K95" i="80"/>
  <c r="J96" i="80"/>
  <c r="K96" i="80"/>
  <c r="J97" i="80"/>
  <c r="K97" i="80"/>
  <c r="J98" i="80"/>
  <c r="K98" i="80"/>
  <c r="J99" i="80"/>
  <c r="K99" i="80"/>
  <c r="J100" i="80"/>
  <c r="K100" i="80"/>
  <c r="J101" i="80"/>
  <c r="K101" i="80"/>
  <c r="J102" i="80"/>
  <c r="K102" i="80"/>
  <c r="J103" i="80"/>
  <c r="K103" i="80"/>
  <c r="J104" i="80"/>
  <c r="K104" i="80"/>
  <c r="J105" i="80"/>
  <c r="K105" i="80"/>
  <c r="J106" i="80"/>
  <c r="K106" i="80"/>
  <c r="J107" i="80"/>
  <c r="K107" i="80"/>
  <c r="J108" i="80"/>
  <c r="K108" i="80"/>
  <c r="J109" i="80"/>
  <c r="K109" i="80"/>
  <c r="J110" i="80"/>
  <c r="K110" i="80"/>
  <c r="J111" i="80"/>
  <c r="K111" i="80"/>
  <c r="J112" i="80"/>
  <c r="K112" i="80"/>
  <c r="J113" i="80"/>
  <c r="K113" i="80"/>
  <c r="J114" i="80"/>
  <c r="K114" i="80"/>
  <c r="J115" i="80"/>
  <c r="K115" i="80"/>
  <c r="J116" i="80"/>
  <c r="K116" i="80"/>
  <c r="J117" i="80"/>
  <c r="K117" i="80"/>
  <c r="J118" i="80"/>
  <c r="K118" i="80"/>
  <c r="J119" i="80"/>
  <c r="K119" i="80"/>
  <c r="J120" i="80"/>
  <c r="K120" i="80"/>
  <c r="J121" i="80"/>
  <c r="K121" i="80"/>
  <c r="J122" i="80"/>
  <c r="K122" i="80"/>
  <c r="J123" i="80"/>
  <c r="K123" i="80"/>
  <c r="J124" i="80"/>
  <c r="K124" i="80"/>
  <c r="J125" i="80"/>
  <c r="K125" i="80"/>
  <c r="J126" i="80"/>
  <c r="K126" i="80"/>
  <c r="J127" i="80"/>
  <c r="K127" i="80"/>
  <c r="J128" i="80"/>
  <c r="K128" i="80"/>
  <c r="J129" i="80"/>
  <c r="K129" i="80"/>
  <c r="J130" i="80"/>
  <c r="K130" i="80"/>
  <c r="J131" i="80"/>
  <c r="K131" i="80"/>
  <c r="J132" i="80"/>
  <c r="K132" i="80"/>
  <c r="J133" i="80"/>
  <c r="K133" i="80"/>
  <c r="J134" i="80"/>
  <c r="K134" i="80"/>
  <c r="J135" i="80"/>
  <c r="K135" i="80"/>
  <c r="J136" i="80"/>
  <c r="K136" i="80"/>
  <c r="J137" i="80"/>
  <c r="K137" i="80"/>
  <c r="J138" i="80"/>
  <c r="K138" i="80"/>
  <c r="J139" i="80"/>
  <c r="K139" i="80"/>
  <c r="J140" i="80"/>
  <c r="K140" i="80"/>
  <c r="J141" i="80"/>
  <c r="K141" i="80"/>
  <c r="J142" i="80"/>
  <c r="K142" i="80"/>
  <c r="J143" i="80"/>
  <c r="K143" i="80"/>
  <c r="J144" i="80"/>
  <c r="K144" i="80"/>
  <c r="J145" i="80"/>
  <c r="K145" i="80"/>
  <c r="J146" i="80"/>
  <c r="K146" i="80"/>
  <c r="J147" i="80"/>
  <c r="K147" i="80"/>
  <c r="J148" i="80"/>
  <c r="K148" i="80"/>
  <c r="J149" i="80"/>
  <c r="K149" i="80"/>
  <c r="J150" i="80"/>
  <c r="K150" i="80"/>
  <c r="J151" i="80"/>
  <c r="K151" i="80"/>
  <c r="J152" i="80"/>
  <c r="K152" i="80"/>
  <c r="J153" i="80"/>
  <c r="K153" i="80"/>
  <c r="J154" i="80"/>
  <c r="K154" i="80"/>
  <c r="J155" i="80"/>
  <c r="K155" i="80"/>
  <c r="J156" i="80"/>
  <c r="K156" i="80"/>
  <c r="J157" i="80"/>
  <c r="K157" i="80"/>
  <c r="J158" i="80"/>
  <c r="K158" i="80"/>
  <c r="J159" i="80"/>
  <c r="K159" i="80"/>
  <c r="J160" i="80"/>
  <c r="K160" i="80"/>
  <c r="J161" i="80"/>
  <c r="K161" i="80"/>
  <c r="J162" i="80"/>
  <c r="K162" i="80"/>
  <c r="J163" i="80"/>
  <c r="K163" i="80"/>
  <c r="J164" i="80"/>
  <c r="K164" i="80"/>
  <c r="J165" i="80"/>
  <c r="K165" i="80"/>
  <c r="J166" i="80"/>
  <c r="K166" i="80"/>
  <c r="J167" i="80"/>
  <c r="K167" i="80"/>
  <c r="J168" i="80"/>
  <c r="K168" i="80"/>
  <c r="J169" i="80"/>
  <c r="K169" i="80"/>
  <c r="J170" i="80"/>
  <c r="K170" i="80"/>
  <c r="J171" i="80"/>
  <c r="K171" i="80"/>
  <c r="J172" i="80"/>
  <c r="K172" i="80"/>
  <c r="J173" i="80"/>
  <c r="K173" i="80"/>
  <c r="J174" i="80"/>
  <c r="K174" i="80"/>
  <c r="J175" i="80"/>
  <c r="K175" i="80"/>
  <c r="J176" i="80"/>
  <c r="K176" i="80"/>
  <c r="J177" i="80"/>
  <c r="K177" i="80"/>
  <c r="J178" i="80"/>
  <c r="K178" i="80"/>
  <c r="J179" i="80"/>
  <c r="K179" i="80"/>
  <c r="J180" i="80"/>
  <c r="K180" i="80"/>
  <c r="J181" i="80"/>
  <c r="K181" i="80"/>
  <c r="J182" i="80"/>
  <c r="K182" i="80"/>
  <c r="J183" i="80"/>
  <c r="K183" i="80"/>
  <c r="J184" i="80"/>
  <c r="K184" i="80"/>
  <c r="J185" i="80"/>
  <c r="K185" i="80"/>
  <c r="J186" i="80"/>
  <c r="K186" i="80"/>
  <c r="J187" i="80"/>
  <c r="K187" i="80"/>
  <c r="J188" i="80"/>
  <c r="K188" i="80"/>
  <c r="J189" i="80"/>
  <c r="K189" i="80"/>
  <c r="J190" i="80"/>
  <c r="K190" i="80"/>
  <c r="J191" i="80"/>
  <c r="K191" i="80"/>
  <c r="J192" i="80"/>
  <c r="K192" i="80"/>
  <c r="J193" i="80"/>
  <c r="K193" i="80"/>
  <c r="J194" i="80"/>
  <c r="K194" i="80"/>
  <c r="J195" i="80"/>
  <c r="K195" i="80"/>
  <c r="J196" i="80"/>
  <c r="K196" i="80"/>
  <c r="J197" i="80"/>
  <c r="K197" i="80"/>
  <c r="J198" i="80"/>
  <c r="K198" i="80"/>
  <c r="J199" i="80"/>
  <c r="K199" i="80"/>
  <c r="J200" i="80"/>
  <c r="K200" i="80"/>
  <c r="J201" i="80"/>
  <c r="K201" i="80"/>
  <c r="J202" i="80"/>
  <c r="K202" i="80"/>
  <c r="J203" i="80"/>
  <c r="K203" i="80"/>
  <c r="J204" i="80"/>
  <c r="K204" i="80"/>
  <c r="J205" i="80"/>
  <c r="K205" i="80"/>
  <c r="J206" i="80"/>
  <c r="K206" i="80"/>
  <c r="J207" i="80"/>
  <c r="K207" i="80"/>
  <c r="J208" i="80"/>
  <c r="K208" i="80"/>
  <c r="J209" i="80"/>
  <c r="K209" i="80"/>
  <c r="J210" i="80"/>
  <c r="K210" i="80"/>
  <c r="J211" i="80"/>
  <c r="K211" i="80"/>
  <c r="J212" i="80"/>
  <c r="K212" i="80"/>
  <c r="J213" i="80"/>
  <c r="K213" i="80"/>
  <c r="J214" i="80"/>
  <c r="K214" i="80"/>
  <c r="J215" i="80"/>
  <c r="K215" i="80"/>
  <c r="J216" i="80"/>
  <c r="K216" i="80"/>
  <c r="J217" i="80"/>
  <c r="K217" i="80"/>
  <c r="J218" i="80"/>
  <c r="K218" i="80"/>
  <c r="J219" i="80"/>
  <c r="K219" i="80"/>
  <c r="J220" i="80"/>
  <c r="K220" i="80"/>
  <c r="J221" i="80"/>
  <c r="K221" i="80"/>
  <c r="J222" i="80"/>
  <c r="K222" i="80"/>
  <c r="J223" i="80"/>
  <c r="K223" i="80"/>
  <c r="J224" i="80"/>
  <c r="K224" i="80"/>
  <c r="J225" i="80"/>
  <c r="K225" i="80"/>
  <c r="J226" i="80"/>
  <c r="K226" i="80"/>
  <c r="J227" i="80"/>
  <c r="K227" i="80"/>
  <c r="J228" i="80"/>
  <c r="K228" i="80"/>
  <c r="J229" i="80"/>
  <c r="K229" i="80"/>
  <c r="J230" i="80"/>
  <c r="K230" i="80"/>
  <c r="J231" i="80"/>
  <c r="K231" i="80"/>
  <c r="J232" i="80"/>
  <c r="K232" i="80"/>
  <c r="J233" i="80"/>
  <c r="K233" i="80"/>
  <c r="J234" i="80"/>
  <c r="K234" i="80"/>
  <c r="J235" i="80"/>
  <c r="K235" i="80"/>
  <c r="J236" i="80"/>
  <c r="K236" i="80"/>
  <c r="J237" i="80"/>
  <c r="K237" i="80"/>
  <c r="J238" i="80"/>
  <c r="K238" i="80"/>
  <c r="J239" i="80"/>
  <c r="K239" i="80"/>
  <c r="J240" i="80"/>
  <c r="K240" i="80"/>
  <c r="J241" i="80"/>
  <c r="K241" i="80"/>
  <c r="J242" i="80"/>
  <c r="K242" i="80"/>
  <c r="J243" i="80"/>
  <c r="K243" i="80"/>
  <c r="J244" i="80"/>
  <c r="K244" i="80"/>
  <c r="J245" i="80"/>
  <c r="K245" i="80"/>
  <c r="J246" i="80"/>
  <c r="K246" i="80"/>
  <c r="J247" i="80"/>
  <c r="K247" i="80"/>
  <c r="J248" i="80"/>
  <c r="K248" i="80"/>
  <c r="J249" i="80"/>
  <c r="K249" i="80"/>
  <c r="J250" i="80"/>
  <c r="K250" i="80"/>
  <c r="J251" i="80"/>
  <c r="K251" i="80"/>
  <c r="J252" i="80"/>
  <c r="K252" i="80"/>
  <c r="J253" i="80"/>
  <c r="K253" i="80"/>
  <c r="J254" i="80"/>
  <c r="K254" i="80"/>
  <c r="J255" i="80"/>
  <c r="K255" i="80"/>
  <c r="J256" i="80"/>
  <c r="K256" i="80"/>
  <c r="J257" i="80"/>
  <c r="K257" i="80"/>
  <c r="J258" i="80"/>
  <c r="K258" i="80"/>
  <c r="J259" i="80"/>
  <c r="K259" i="80"/>
  <c r="J260" i="80"/>
  <c r="K260" i="80"/>
  <c r="J261" i="80"/>
  <c r="K261" i="80"/>
  <c r="J262" i="80"/>
  <c r="K262" i="80"/>
  <c r="J263" i="80"/>
  <c r="K263" i="80"/>
  <c r="J264" i="80"/>
  <c r="K264" i="80"/>
  <c r="J265" i="80"/>
  <c r="K265" i="80"/>
  <c r="J4" i="80"/>
  <c r="K4" i="80"/>
  <c r="J5" i="80"/>
  <c r="K5" i="80"/>
  <c r="J6" i="80"/>
  <c r="K6" i="80"/>
  <c r="J7" i="80"/>
  <c r="K7" i="80"/>
  <c r="J8" i="80"/>
  <c r="K8" i="80"/>
  <c r="J9" i="80"/>
  <c r="K9" i="80"/>
  <c r="J10" i="80"/>
  <c r="K10" i="80"/>
  <c r="J11" i="80"/>
  <c r="K11" i="80"/>
  <c r="J12" i="80"/>
  <c r="K12" i="80"/>
  <c r="J13" i="80"/>
  <c r="K13" i="80"/>
  <c r="J14" i="80"/>
  <c r="K14" i="80"/>
  <c r="J15" i="80"/>
  <c r="K15" i="80"/>
  <c r="J16" i="80"/>
  <c r="K16" i="80"/>
  <c r="K3" i="80"/>
  <c r="J3" i="80"/>
  <c r="AA14" i="85" l="1"/>
  <c r="S14" i="85"/>
  <c r="S7" i="85"/>
  <c r="AA7" i="85"/>
  <c r="R36" i="85" s="1"/>
  <c r="V36" i="85"/>
  <c r="I36" i="85" s="1"/>
  <c r="U7" i="85"/>
  <c r="AB7" i="85"/>
  <c r="T36" i="85" s="1"/>
  <c r="G36" i="85" s="1"/>
  <c r="C30" i="36"/>
  <c r="I27" i="36"/>
  <c r="G27" i="36"/>
  <c r="E27" i="36"/>
  <c r="F47" i="36"/>
  <c r="J47" i="36"/>
  <c r="I47" i="36"/>
  <c r="G47" i="36"/>
  <c r="I13" i="3"/>
  <c r="D41" i="43" s="1"/>
  <c r="B3" i="4"/>
  <c r="E36" i="85" l="1"/>
  <c r="R37" i="85"/>
  <c r="G41" i="85"/>
  <c r="H41" i="85" s="1"/>
  <c r="G40" i="85"/>
  <c r="H40" i="85" s="1"/>
  <c r="I40" i="85"/>
  <c r="J40" i="85" s="1"/>
  <c r="I41" i="85"/>
  <c r="J41" i="85" s="1"/>
  <c r="G14" i="73"/>
  <c r="F14" i="73"/>
  <c r="E14" i="73"/>
  <c r="C37" i="85" l="1"/>
  <c r="C36" i="85"/>
  <c r="E40" i="85"/>
  <c r="F40" i="85" s="1"/>
  <c r="E41" i="85"/>
  <c r="F41" i="85" s="1"/>
  <c r="I12" i="79"/>
  <c r="B3" i="85" l="1"/>
  <c r="B2" i="85"/>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S48" i="79"/>
  <c r="AG48" i="79" s="1"/>
  <c r="U50" i="79"/>
  <c r="AI50" i="79" s="1"/>
  <c r="AD51" i="79"/>
  <c r="AR20" i="79"/>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8" i="71"/>
  <c r="D38" i="71" s="1"/>
  <c r="X38" i="71"/>
  <c r="B28" i="71"/>
  <c r="B27" i="71" s="1"/>
  <c r="B26" i="71"/>
  <c r="D30" i="71"/>
  <c r="C43" i="71"/>
  <c r="P28" i="71"/>
  <c r="E28" i="71" s="1"/>
  <c r="U56" i="71"/>
  <c r="E64" i="71"/>
  <c r="U64"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426" i="31"/>
  <c r="S494" i="31"/>
  <c r="S490" i="31"/>
  <c r="S487" i="31"/>
  <c r="S486" i="31"/>
  <c r="S482" i="31"/>
  <c r="S478" i="31"/>
  <c r="S475" i="31"/>
  <c r="S474" i="31"/>
  <c r="S470" i="31"/>
  <c r="S442" i="31"/>
  <c r="S438" i="31"/>
  <c r="S434" i="31"/>
  <c r="S431" i="31"/>
  <c r="S430" i="31"/>
  <c r="S506" i="31"/>
  <c r="S502" i="31"/>
  <c r="S498" i="31"/>
  <c r="S466" i="31"/>
  <c r="S462" i="31"/>
  <c r="S458" i="31"/>
  <c r="S454" i="31"/>
  <c r="S450" i="31"/>
  <c r="S446" i="31"/>
  <c r="S510" i="31"/>
  <c r="S511"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G5" i="3" s="1"/>
  <c r="BH566" i="3"/>
  <c r="BI566" i="3"/>
  <c r="BJ566" i="3"/>
  <c r="BK566" i="3"/>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H5" i="3" s="1"/>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R5" i="3" s="1"/>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E5" i="3" s="1"/>
  <c r="BF572" i="3"/>
  <c r="BG572" i="3"/>
  <c r="BH572" i="3"/>
  <c r="BI572" i="3"/>
  <c r="BI5" i="3" s="1"/>
  <c r="BJ572" i="3"/>
  <c r="BK572" i="3"/>
  <c r="BM572" i="3"/>
  <c r="BN572" i="3"/>
  <c r="BN5"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S5" i="3" s="1"/>
  <c r="BT573" i="3"/>
  <c r="H574" i="3"/>
  <c r="G574" i="3" s="1"/>
  <c r="AC574" i="3"/>
  <c r="BB574" i="3"/>
  <c r="BA574" i="3" s="1"/>
  <c r="BC574" i="3"/>
  <c r="BD574" i="3"/>
  <c r="BE574" i="3"/>
  <c r="BF574" i="3"/>
  <c r="BF5" i="3" s="1"/>
  <c r="BG574" i="3"/>
  <c r="BH574" i="3"/>
  <c r="BI574" i="3"/>
  <c r="BJ574" i="3"/>
  <c r="BK574" i="3"/>
  <c r="BM574" i="3"/>
  <c r="BN574" i="3"/>
  <c r="BO574" i="3"/>
  <c r="BO5"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F11" i="35" s="1"/>
  <c r="S11" i="35" s="1"/>
  <c r="B61" i="35"/>
  <c r="B59" i="35"/>
  <c r="F12" i="35" s="1"/>
  <c r="B131" i="34"/>
  <c r="B129" i="34"/>
  <c r="F46" i="34" s="1"/>
  <c r="AA46" i="34" s="1"/>
  <c r="B127" i="34"/>
  <c r="B99" i="34"/>
  <c r="B97" i="34"/>
  <c r="B95" i="34"/>
  <c r="F30" i="34" s="1"/>
  <c r="S30" i="34" s="1"/>
  <c r="B93" i="34"/>
  <c r="B75" i="34"/>
  <c r="B73" i="34"/>
  <c r="B71" i="34"/>
  <c r="B130" i="33"/>
  <c r="B128" i="33"/>
  <c r="B126" i="33"/>
  <c r="B98" i="33"/>
  <c r="H31" i="33" s="1"/>
  <c r="B96" i="33"/>
  <c r="B94" i="33"/>
  <c r="B74" i="33"/>
  <c r="B72" i="33"/>
  <c r="F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J46" i="21" s="1"/>
  <c r="B128" i="21"/>
  <c r="J45" i="21" s="1"/>
  <c r="W45" i="21" s="1"/>
  <c r="B126" i="21"/>
  <c r="B98" i="21"/>
  <c r="H31" i="21" s="1"/>
  <c r="B96" i="21"/>
  <c r="B94" i="21"/>
  <c r="J29" i="21"/>
  <c r="AC29" i="21" s="1"/>
  <c r="B92" i="21"/>
  <c r="B90" i="21"/>
  <c r="J27" i="21" s="1"/>
  <c r="W27" i="21" s="1"/>
  <c r="B74" i="21"/>
  <c r="B72" i="21"/>
  <c r="H13" i="21"/>
  <c r="AB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9" i="33"/>
  <c r="H39" i="37"/>
  <c r="AB39" i="37"/>
  <c r="S27" i="35"/>
  <c r="F11" i="40"/>
  <c r="AA11" i="40"/>
  <c r="H11" i="40"/>
  <c r="AB11" i="40"/>
  <c r="W8" i="40"/>
  <c r="U9" i="40"/>
  <c r="U38" i="40"/>
  <c r="F42" i="39"/>
  <c r="AA42" i="39" s="1"/>
  <c r="F41" i="39"/>
  <c r="H40" i="39"/>
  <c r="AB40" i="39" s="1"/>
  <c r="H39" i="39"/>
  <c r="U39" i="39" s="1"/>
  <c r="S34" i="39"/>
  <c r="H34" i="39"/>
  <c r="U34" i="39" s="1"/>
  <c r="F31" i="39"/>
  <c r="AA31" i="39" s="1"/>
  <c r="E100" i="39"/>
  <c r="H19" i="39"/>
  <c r="F19" i="39"/>
  <c r="AA19" i="39" s="1"/>
  <c r="H17" i="39"/>
  <c r="AB17" i="39" s="1"/>
  <c r="F17" i="39"/>
  <c r="AA17" i="39" s="1"/>
  <c r="J23" i="40"/>
  <c r="F21" i="40"/>
  <c r="AA21" i="40"/>
  <c r="J21" i="40"/>
  <c r="W21" i="40" s="1"/>
  <c r="H42" i="39"/>
  <c r="J34" i="39"/>
  <c r="AC34" i="39" s="1"/>
  <c r="F100" i="39"/>
  <c r="H27" i="39"/>
  <c r="J19" i="39"/>
  <c r="AC19" i="39" s="1"/>
  <c r="J17" i="39"/>
  <c r="J27" i="39"/>
  <c r="AC27" i="39"/>
  <c r="F27" i="39"/>
  <c r="F11" i="21"/>
  <c r="S11" i="21" s="1"/>
  <c r="S40" i="21"/>
  <c r="U34" i="21"/>
  <c r="C25" i="39"/>
  <c r="H11" i="39"/>
  <c r="S40" i="39"/>
  <c r="C15" i="39"/>
  <c r="H32" i="33"/>
  <c r="AB32" i="33" s="1"/>
  <c r="H11" i="21"/>
  <c r="U11" i="21" s="1"/>
  <c r="J11" i="21"/>
  <c r="W11" i="21" s="1"/>
  <c r="H37" i="40"/>
  <c r="H36" i="40"/>
  <c r="AB36" i="40" s="1"/>
  <c r="F35" i="40"/>
  <c r="AA35" i="40" s="1"/>
  <c r="H23" i="40"/>
  <c r="AB23" i="40" s="1"/>
  <c r="H17" i="40"/>
  <c r="U17" i="40"/>
  <c r="J15" i="40"/>
  <c r="W15" i="40" s="1"/>
  <c r="J11" i="40"/>
  <c r="W11" i="40"/>
  <c r="AB12" i="35"/>
  <c r="AB12" i="36"/>
  <c r="W32" i="40"/>
  <c r="S44" i="39"/>
  <c r="J34" i="36"/>
  <c r="W34" i="36" s="1"/>
  <c r="U30" i="36"/>
  <c r="J30" i="35"/>
  <c r="W30" i="35" s="1"/>
  <c r="H30" i="35"/>
  <c r="AB30" i="35" s="1"/>
  <c r="F22" i="35"/>
  <c r="H10" i="35"/>
  <c r="U10" i="35" s="1"/>
  <c r="AA33" i="36"/>
  <c r="H16" i="36"/>
  <c r="AB16" i="36" s="1"/>
  <c r="E85" i="36"/>
  <c r="F85" i="36" s="1"/>
  <c r="G85" i="36" s="1"/>
  <c r="H85" i="36" s="1"/>
  <c r="I85" i="36" s="1"/>
  <c r="J85" i="36"/>
  <c r="K85" i="36" s="1"/>
  <c r="L85" i="36" s="1"/>
  <c r="M85" i="36" s="1"/>
  <c r="J29" i="36"/>
  <c r="AC29" i="36" s="1"/>
  <c r="F12" i="36"/>
  <c r="AA12" i="36" s="1"/>
  <c r="F24" i="36"/>
  <c r="AA24" i="36"/>
  <c r="F34" i="36"/>
  <c r="S34" i="36" s="1"/>
  <c r="F14" i="35"/>
  <c r="AA14" i="35" s="1"/>
  <c r="F23" i="35"/>
  <c r="J32" i="35"/>
  <c r="AC32" i="35" s="1"/>
  <c r="J16" i="35"/>
  <c r="AC16" i="35" s="1"/>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J28" i="34"/>
  <c r="W28" i="34" s="1"/>
  <c r="F41" i="33"/>
  <c r="S38" i="33"/>
  <c r="E113" i="33"/>
  <c r="F32" i="33"/>
  <c r="AA32" i="33" s="1"/>
  <c r="J19" i="33"/>
  <c r="J15" i="33"/>
  <c r="AC15" i="33" s="1"/>
  <c r="F11" i="33"/>
  <c r="AA11" i="33" s="1"/>
  <c r="S26" i="33"/>
  <c r="U40" i="33"/>
  <c r="F37" i="40"/>
  <c r="AA37" i="40" s="1"/>
  <c r="F36" i="40"/>
  <c r="H28" i="40"/>
  <c r="U28" i="40"/>
  <c r="F23" i="40"/>
  <c r="AA23" i="40"/>
  <c r="F17" i="40"/>
  <c r="AA17" i="40" s="1"/>
  <c r="J17" i="40"/>
  <c r="W17" i="40" s="1"/>
  <c r="F15" i="40"/>
  <c r="S15" i="40" s="1"/>
  <c r="H15" i="40"/>
  <c r="AB15" i="40"/>
  <c r="AC11" i="40"/>
  <c r="S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S23" i="34" s="1"/>
  <c r="J19" i="34"/>
  <c r="AC19" i="34" s="1"/>
  <c r="F17" i="34"/>
  <c r="AA17" i="34"/>
  <c r="J17" i="34"/>
  <c r="W17" i="34" s="1"/>
  <c r="AB17" i="34"/>
  <c r="F113" i="33"/>
  <c r="G113" i="33" s="1"/>
  <c r="H113" i="33" s="1"/>
  <c r="I113" i="33" s="1"/>
  <c r="J113" i="33" s="1"/>
  <c r="K113" i="33" s="1"/>
  <c r="L113" i="33" s="1"/>
  <c r="M113" i="33" s="1"/>
  <c r="H37" i="33"/>
  <c r="AB37" i="33" s="1"/>
  <c r="H15" i="33"/>
  <c r="H11" i="33"/>
  <c r="AB11" i="33" s="1"/>
  <c r="F28" i="40"/>
  <c r="AA28" i="40" s="1"/>
  <c r="AA29" i="35"/>
  <c r="AC38" i="34"/>
  <c r="AA38" i="34"/>
  <c r="J37" i="34"/>
  <c r="AC37" i="34" s="1"/>
  <c r="J11" i="33"/>
  <c r="W11" i="33" s="1"/>
  <c r="S28" i="34"/>
  <c r="I123" i="21"/>
  <c r="J123" i="21" s="1"/>
  <c r="K123" i="21" s="1"/>
  <c r="L123" i="21" s="1"/>
  <c r="M123" i="21" s="1"/>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4" i="21"/>
  <c r="U44" i="21"/>
  <c r="F44" i="21"/>
  <c r="AA44" i="21" s="1"/>
  <c r="H46" i="21"/>
  <c r="U46" i="21" s="1"/>
  <c r="E119" i="21"/>
  <c r="F119" i="21" s="1"/>
  <c r="G119" i="21" s="1"/>
  <c r="H119" i="21" s="1"/>
  <c r="I119" i="21" s="1"/>
  <c r="J119" i="21" s="1"/>
  <c r="K119" i="21" s="1"/>
  <c r="L119" i="21" s="1"/>
  <c r="M119" i="21" s="1"/>
  <c r="H26" i="33"/>
  <c r="U26" i="33" s="1"/>
  <c r="H28" i="33"/>
  <c r="U28" i="33" s="1"/>
  <c r="F28" i="33"/>
  <c r="S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F28" i="36"/>
  <c r="AA28" i="36" s="1"/>
  <c r="J13" i="21"/>
  <c r="AC13" i="21" s="1"/>
  <c r="H27" i="21"/>
  <c r="AB27" i="21" s="1"/>
  <c r="H29" i="21"/>
  <c r="U29" i="21"/>
  <c r="F31" i="21"/>
  <c r="S31" i="21" s="1"/>
  <c r="F45" i="21"/>
  <c r="AA45" i="21" s="1"/>
  <c r="F27" i="33"/>
  <c r="AA27" i="33"/>
  <c r="H13" i="33"/>
  <c r="U13" i="33" s="1"/>
  <c r="J29" i="33"/>
  <c r="H29" i="33"/>
  <c r="U29" i="33" s="1"/>
  <c r="F29" i="33"/>
  <c r="S29" i="33" s="1"/>
  <c r="H45" i="33"/>
  <c r="U45" i="33"/>
  <c r="J45" i="33"/>
  <c r="W45" i="33" s="1"/>
  <c r="F45" i="33"/>
  <c r="AA45" i="33" s="1"/>
  <c r="J14" i="34"/>
  <c r="W14" i="34" s="1"/>
  <c r="F14" i="34"/>
  <c r="S14" i="34"/>
  <c r="H14" i="34"/>
  <c r="H30" i="34"/>
  <c r="U30" i="34" s="1"/>
  <c r="H32" i="34"/>
  <c r="F32" i="34"/>
  <c r="J32" i="34"/>
  <c r="W32" i="34" s="1"/>
  <c r="J11" i="35"/>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F40" i="37"/>
  <c r="AA40" i="37" s="1"/>
  <c r="AC12" i="40"/>
  <c r="W12" i="40"/>
  <c r="H14" i="33"/>
  <c r="U14" i="33" s="1"/>
  <c r="F14" i="33"/>
  <c r="S14" i="33" s="1"/>
  <c r="J14" i="33"/>
  <c r="AC14" i="33" s="1"/>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H13" i="39"/>
  <c r="J14" i="40"/>
  <c r="W14" i="40" s="1"/>
  <c r="J27" i="37"/>
  <c r="AA44" i="33"/>
  <c r="J36" i="37"/>
  <c r="AC36" i="37"/>
  <c r="J10" i="36"/>
  <c r="AC10" i="36" s="1"/>
  <c r="AB26" i="33"/>
  <c r="S11" i="36"/>
  <c r="AA14" i="34"/>
  <c r="AB45" i="33"/>
  <c r="S44" i="34"/>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4" i="3"/>
  <c r="BL560" i="3"/>
  <c r="BL554" i="3"/>
  <c r="AZ554" i="3" s="1"/>
  <c r="BL546" i="3"/>
  <c r="BL542" i="3"/>
  <c r="BL538" i="3"/>
  <c r="BL534" i="3"/>
  <c r="AZ534" i="3" s="1"/>
  <c r="BL530" i="3"/>
  <c r="BL526" i="3"/>
  <c r="BL522" i="3"/>
  <c r="BL516" i="3"/>
  <c r="BL512" i="3"/>
  <c r="BL506" i="3"/>
  <c r="BL502" i="3"/>
  <c r="BL498" i="3"/>
  <c r="AZ498" i="3" s="1"/>
  <c r="BL494" i="3"/>
  <c r="BL574"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0" i="3"/>
  <c r="AZ580" i="3" s="1"/>
  <c r="BA572" i="3"/>
  <c r="AZ572"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81" i="3"/>
  <c r="BA573"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9" i="3"/>
  <c r="G577" i="3"/>
  <c r="G575" i="3"/>
  <c r="G571" i="3"/>
  <c r="G567" i="3"/>
  <c r="G565" i="3"/>
  <c r="G563" i="3"/>
  <c r="G561" i="3"/>
  <c r="BL558" i="3"/>
  <c r="BA557" i="3"/>
  <c r="AZ557" i="3" s="1"/>
  <c r="AC557" i="3"/>
  <c r="BQ557" i="3"/>
  <c r="BL557" i="3" s="1"/>
  <c r="BQ583" i="3"/>
  <c r="BQ581" i="3"/>
  <c r="BL581" i="3"/>
  <c r="BQ579" i="3"/>
  <c r="BQ577" i="3"/>
  <c r="BQ575" i="3"/>
  <c r="BQ573" i="3"/>
  <c r="BQ571" i="3"/>
  <c r="BL571" i="3"/>
  <c r="BQ569" i="3"/>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H28" i="34"/>
  <c r="AB28" i="34"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c r="F31" i="40"/>
  <c r="S31" i="40" s="1"/>
  <c r="AA31" i="40"/>
  <c r="H31" i="40"/>
  <c r="U31" i="40"/>
  <c r="F32" i="40"/>
  <c r="S32" i="40"/>
  <c r="H32" i="40"/>
  <c r="AB32" i="40"/>
  <c r="J36" i="40"/>
  <c r="AC36" i="40" s="1"/>
  <c r="W36" i="40"/>
  <c r="H19" i="37"/>
  <c r="AB19" i="37" s="1"/>
  <c r="F123" i="33"/>
  <c r="G123" i="33" s="1"/>
  <c r="H123" i="33" s="1"/>
  <c r="I123" i="33" s="1"/>
  <c r="J123" i="33" s="1"/>
  <c r="K123" i="33" s="1"/>
  <c r="L123" i="33" s="1"/>
  <c r="M123" i="33" s="1"/>
  <c r="H42" i="33"/>
  <c r="AB42" i="33" s="1"/>
  <c r="J43" i="33"/>
  <c r="W23" i="35"/>
  <c r="U39" i="37"/>
  <c r="U26" i="37"/>
  <c r="AC36" i="34"/>
  <c r="AC45" i="33"/>
  <c r="U11" i="33"/>
  <c r="U19" i="21"/>
  <c r="F43" i="33"/>
  <c r="AA43" i="33"/>
  <c r="W16" i="35"/>
  <c r="G107" i="37"/>
  <c r="H107" i="37"/>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J5" i="3"/>
  <c r="AZ325" i="3"/>
  <c r="G548" i="3"/>
  <c r="G538" i="3"/>
  <c r="G520" i="3"/>
  <c r="G502" i="3"/>
  <c r="BK5" i="3"/>
  <c r="BC5" i="3"/>
  <c r="G17" i="3"/>
  <c r="BA17" i="3"/>
  <c r="AZ350" i="3"/>
  <c r="BA15" i="3"/>
  <c r="AZ499" i="3"/>
  <c r="G509" i="3"/>
  <c r="BL493" i="3"/>
  <c r="U36" i="40"/>
  <c r="F83" i="43"/>
  <c r="H85" i="43" s="1"/>
  <c r="F50" i="43"/>
  <c r="H54" i="43" s="1"/>
  <c r="F72" i="43"/>
  <c r="H75" i="43" s="1"/>
  <c r="U17" i="39"/>
  <c r="S14" i="35"/>
  <c r="U43" i="21"/>
  <c r="AC35" i="2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c r="F20" i="35"/>
  <c r="AA20" i="35"/>
  <c r="AB29" i="36"/>
  <c r="U29" i="36"/>
  <c r="H32" i="37"/>
  <c r="F96" i="37"/>
  <c r="H27" i="40"/>
  <c r="U27" i="40"/>
  <c r="J27" i="40"/>
  <c r="F27" i="40"/>
  <c r="S27" i="40" s="1"/>
  <c r="J30" i="40"/>
  <c r="AC30" i="40" s="1"/>
  <c r="F30" i="40"/>
  <c r="S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69" i="3"/>
  <c r="AZ86"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S35"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J21" i="39"/>
  <c r="W21" i="39" s="1"/>
  <c r="F21" i="39"/>
  <c r="G94" i="39"/>
  <c r="H21" i="39"/>
  <c r="U21" i="39" s="1"/>
  <c r="W19" i="39"/>
  <c r="S17" i="39"/>
  <c r="S15" i="39"/>
  <c r="AA12" i="39"/>
  <c r="S9" i="39"/>
  <c r="U14" i="39"/>
  <c r="U12" i="39"/>
  <c r="U13" i="36"/>
  <c r="U26" i="36"/>
  <c r="S33" i="36"/>
  <c r="AA34" i="36"/>
  <c r="AC26" i="36"/>
  <c r="AA22" i="36"/>
  <c r="U22" i="36"/>
  <c r="S16" i="36"/>
  <c r="AA25" i="36"/>
  <c r="S24" i="36"/>
  <c r="U24" i="36"/>
  <c r="AB20" i="36"/>
  <c r="AA25" i="35"/>
  <c r="W24" i="35"/>
  <c r="AB13" i="35"/>
  <c r="U29" i="35"/>
  <c r="U28" i="35"/>
  <c r="AB27" i="35"/>
  <c r="U36" i="35"/>
  <c r="U32" i="35"/>
  <c r="AC30" i="35"/>
  <c r="S32" i="35"/>
  <c r="AA36" i="35"/>
  <c r="S28" i="35"/>
  <c r="U22" i="35"/>
  <c r="S20" i="35"/>
  <c r="AC20" i="35"/>
  <c r="U14" i="35"/>
  <c r="AA11" i="35"/>
  <c r="AC12" i="35"/>
  <c r="W13" i="35"/>
  <c r="F9" i="35"/>
  <c r="S9" i="35" s="1"/>
  <c r="H9" i="35"/>
  <c r="U9" i="35" s="1"/>
  <c r="AC29" i="37"/>
  <c r="U29" i="37"/>
  <c r="S32" i="37"/>
  <c r="W30" i="37"/>
  <c r="S36" i="37"/>
  <c r="AA38" i="37"/>
  <c r="W38" i="37"/>
  <c r="AC35" i="37"/>
  <c r="W39" i="37"/>
  <c r="S30" i="37"/>
  <c r="S37" i="37"/>
  <c r="AC15" i="37"/>
  <c r="J17" i="37"/>
  <c r="W17" i="37" s="1"/>
  <c r="F17" i="37"/>
  <c r="AA17" i="37" s="1"/>
  <c r="AB17" i="37"/>
  <c r="F75" i="37"/>
  <c r="F19" i="37"/>
  <c r="S19" i="37" s="1"/>
  <c r="F79" i="37"/>
  <c r="F23" i="37"/>
  <c r="U15" i="37"/>
  <c r="AC13" i="37"/>
  <c r="AA13" i="37"/>
  <c r="H10" i="37"/>
  <c r="AB10" i="37" s="1"/>
  <c r="F11" i="37"/>
  <c r="S11" i="37" s="1"/>
  <c r="W25" i="34"/>
  <c r="AA33" i="34"/>
  <c r="U43" i="34"/>
  <c r="AC39" i="34"/>
  <c r="W41" i="34"/>
  <c r="AC42" i="34"/>
  <c r="AB35" i="34"/>
  <c r="U39" i="34"/>
  <c r="AA25" i="34"/>
  <c r="U28" i="34"/>
  <c r="S17" i="34"/>
  <c r="AA29" i="34"/>
  <c r="U27"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S25" i="33" s="1"/>
  <c r="J23" i="33"/>
  <c r="AC23" i="33" s="1"/>
  <c r="F85" i="33"/>
  <c r="H23" i="33"/>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D120" i="9"/>
  <c r="F34" i="67"/>
  <c r="F62" i="67" s="1"/>
  <c r="M20" i="67"/>
  <c r="F34" i="15"/>
  <c r="F62" i="15" s="1"/>
  <c r="BL17" i="3"/>
  <c r="AZ17" i="3"/>
  <c r="BL13" i="3"/>
  <c r="J56" i="9"/>
  <c r="J57" i="9" s="1"/>
  <c r="J59" i="9" s="1"/>
  <c r="J61" i="9" s="1"/>
  <c r="U29" i="34"/>
  <c r="E32" i="6"/>
  <c r="G1" i="68"/>
  <c r="K1" i="12"/>
  <c r="E19" i="69"/>
  <c r="E19" i="68"/>
  <c r="E19" i="11"/>
  <c r="G22" i="69"/>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U32" i="40"/>
  <c r="AB31" i="40"/>
  <c r="S37" i="40"/>
  <c r="AB28" i="40"/>
  <c r="W28" i="40"/>
  <c r="W34" i="40"/>
  <c r="W37" i="40"/>
  <c r="AC14" i="40"/>
  <c r="S13" i="40"/>
  <c r="S33" i="40"/>
  <c r="AA15" i="40"/>
  <c r="U11" i="40"/>
  <c r="AB13" i="40"/>
  <c r="U15" i="40"/>
  <c r="AB17" i="40"/>
  <c r="U8" i="40"/>
  <c r="S8" i="40"/>
  <c r="AA39" i="39"/>
  <c r="AC41" i="39"/>
  <c r="U41" i="39"/>
  <c r="W25" i="39"/>
  <c r="AC25" i="39"/>
  <c r="U13" i="39"/>
  <c r="AB13" i="39"/>
  <c r="AA13" i="39"/>
  <c r="S13" i="39"/>
  <c r="AA14" i="39"/>
  <c r="U43" i="39"/>
  <c r="AB43" i="39"/>
  <c r="AB11" i="39"/>
  <c r="U11" i="39"/>
  <c r="AA27" i="39"/>
  <c r="S27" i="39"/>
  <c r="W17" i="39"/>
  <c r="AC17" i="39"/>
  <c r="AA45" i="39"/>
  <c r="AB39" i="39"/>
  <c r="W34" i="39"/>
  <c r="U38" i="39"/>
  <c r="S8" i="39"/>
  <c r="S20" i="36"/>
  <c r="AC25" i="36"/>
  <c r="W29" i="36"/>
  <c r="AC20" i="36"/>
  <c r="U25" i="36"/>
  <c r="AB28" i="36"/>
  <c r="AA13" i="36"/>
  <c r="W9" i="36"/>
  <c r="W22" i="36"/>
  <c r="AB20" i="35"/>
  <c r="AC25" i="35"/>
  <c r="U25" i="35"/>
  <c r="U24" i="35"/>
  <c r="S35" i="35"/>
  <c r="W35" i="35"/>
  <c r="AA16" i="35"/>
  <c r="AA35" i="37"/>
  <c r="W36" i="37"/>
  <c r="S27" i="37"/>
  <c r="W32" i="37"/>
  <c r="U36" i="37"/>
  <c r="S40" i="37"/>
  <c r="AB37" i="37"/>
  <c r="AC34" i="37"/>
  <c r="AB35" i="37"/>
  <c r="AA31" i="37"/>
  <c r="U19" i="37"/>
  <c r="U8" i="37"/>
  <c r="AB40" i="34"/>
  <c r="U19" i="34"/>
  <c r="W19" i="34"/>
  <c r="AC45" i="34"/>
  <c r="AA31" i="34"/>
  <c r="AA30" i="34"/>
  <c r="AB45" i="34"/>
  <c r="AB47" i="34"/>
  <c r="U25" i="34"/>
  <c r="AB36" i="34"/>
  <c r="AC32" i="34"/>
  <c r="AC29" i="34"/>
  <c r="S32" i="34"/>
  <c r="AA32" i="34"/>
  <c r="S37" i="34"/>
  <c r="AC40" i="34"/>
  <c r="W40" i="34"/>
  <c r="AA19" i="34"/>
  <c r="S19" i="34"/>
  <c r="AA36" i="34"/>
  <c r="S36" i="34"/>
  <c r="AA8" i="34"/>
  <c r="S8" i="34"/>
  <c r="S46" i="34"/>
  <c r="U32" i="34"/>
  <c r="AB32" i="34"/>
  <c r="U14" i="34"/>
  <c r="AB14" i="34"/>
  <c r="AC43" i="34"/>
  <c r="W43" i="34"/>
  <c r="W23" i="34"/>
  <c r="AC35" i="34"/>
  <c r="W35" i="34"/>
  <c r="AB28" i="33"/>
  <c r="AC37" i="33"/>
  <c r="W46" i="33"/>
  <c r="U39" i="33"/>
  <c r="U38" i="33"/>
  <c r="S33" i="33"/>
  <c r="AB34" i="33"/>
  <c r="U44" i="33"/>
  <c r="AB44" i="33"/>
  <c r="S30" i="33"/>
  <c r="AA30" i="33"/>
  <c r="W14" i="33"/>
  <c r="AC30" i="33"/>
  <c r="W30" i="33"/>
  <c r="S11" i="33"/>
  <c r="U37" i="33"/>
  <c r="AC28" i="33"/>
  <c r="W9" i="33"/>
  <c r="W8" i="33"/>
  <c r="S44"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A18" i="62"/>
  <c r="B64" i="72" s="1"/>
  <c r="U32" i="39"/>
  <c r="AC32" i="39"/>
  <c r="J63" i="37"/>
  <c r="K63" i="37" s="1"/>
  <c r="L63" i="37" s="1"/>
  <c r="M63" i="37" s="1"/>
  <c r="J11" i="37"/>
  <c r="AC11" i="37" s="1"/>
  <c r="J11" i="34"/>
  <c r="W11" i="34" s="1"/>
  <c r="AB36" i="33"/>
  <c r="W25" i="33"/>
  <c r="AC25" i="33"/>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M23" i="67"/>
  <c r="L48" i="67"/>
  <c r="F9" i="15"/>
  <c r="D6" i="73"/>
  <c r="F7" i="73"/>
  <c r="E10" i="76"/>
  <c r="E7" i="76"/>
  <c r="F26" i="67"/>
  <c r="E13" i="76"/>
  <c r="M22" i="15"/>
  <c r="F3" i="73"/>
  <c r="M6" i="15"/>
  <c r="B12" i="76"/>
  <c r="E11" i="76"/>
  <c r="F13" i="15"/>
  <c r="M29" i="15"/>
  <c r="M9" i="67"/>
  <c r="B8" i="76"/>
  <c r="L48" i="15"/>
  <c r="F42" i="15"/>
  <c r="B7" i="76"/>
  <c r="D34" i="9"/>
  <c r="F6" i="15"/>
  <c r="J15" i="67"/>
  <c r="M23" i="15"/>
  <c r="M24" i="15"/>
  <c r="F13" i="67"/>
  <c r="E12" i="76"/>
  <c r="L47" i="15"/>
  <c r="AO13" i="1"/>
  <c r="E2" i="69"/>
  <c r="F6" i="67"/>
  <c r="M26" i="67"/>
  <c r="F6" i="73"/>
  <c r="F5" i="73"/>
  <c r="F40" i="15"/>
  <c r="F16" i="15"/>
  <c r="F7" i="15"/>
  <c r="F4" i="73"/>
  <c r="M28" i="15"/>
  <c r="E8" i="76"/>
  <c r="M6" i="67"/>
  <c r="D35" i="9"/>
  <c r="F38" i="67"/>
  <c r="M8" i="67"/>
  <c r="E9" i="76"/>
  <c r="B11" i="76"/>
  <c r="F42" i="67"/>
  <c r="F38" i="15"/>
  <c r="B10" i="76"/>
  <c r="F36" i="15"/>
  <c r="B9" i="76"/>
  <c r="F26" i="15"/>
  <c r="M9" i="15"/>
  <c r="M29" i="67"/>
  <c r="M28" i="67"/>
  <c r="B13" i="76"/>
  <c r="C76" i="15"/>
  <c r="F7" i="67"/>
  <c r="F20" i="31"/>
  <c r="F43" i="67"/>
  <c r="BA13" i="3" l="1"/>
  <c r="D78" i="43"/>
  <c r="H5" i="3"/>
  <c r="F14" i="36"/>
  <c r="AA14" i="36" s="1"/>
  <c r="H14" i="36"/>
  <c r="U14" i="36" s="1"/>
  <c r="W14" i="36"/>
  <c r="U16" i="36"/>
  <c r="W30" i="36"/>
  <c r="F12" i="1"/>
  <c r="G12" i="1" s="1"/>
  <c r="G44" i="43"/>
  <c r="C40" i="68"/>
  <c r="G22" i="11"/>
  <c r="E1" i="73"/>
  <c r="G26" i="12"/>
  <c r="G22" i="68"/>
  <c r="G29" i="6"/>
  <c r="AC27" i="40"/>
  <c r="W27" i="40"/>
  <c r="S11" i="39"/>
  <c r="AA11" i="39"/>
  <c r="U27" i="39"/>
  <c r="AB27" i="39"/>
  <c r="AB35" i="21"/>
  <c r="U35" i="21"/>
  <c r="AZ568" i="3"/>
  <c r="U27" i="21"/>
  <c r="U31" i="37"/>
  <c r="AB31" i="37"/>
  <c r="AZ536" i="3"/>
  <c r="AB38" i="37"/>
  <c r="U38" i="37"/>
  <c r="AA28" i="37"/>
  <c r="S28" i="37"/>
  <c r="AB13" i="37"/>
  <c r="U13" i="37"/>
  <c r="AC47" i="34"/>
  <c r="W47" i="34"/>
  <c r="S45" i="34"/>
  <c r="AA45" i="34"/>
  <c r="AC44" i="33"/>
  <c r="W44" i="33"/>
  <c r="AB15" i="33"/>
  <c r="U15" i="33"/>
  <c r="W15" i="34"/>
  <c r="AC15" i="34"/>
  <c r="U25" i="37"/>
  <c r="AB25" i="37"/>
  <c r="AZ582" i="3"/>
  <c r="AZ579" i="3"/>
  <c r="AZ576" i="3"/>
  <c r="BL575" i="3"/>
  <c r="AZ575" i="3"/>
  <c r="AZ574" i="3"/>
  <c r="AZ571" i="3"/>
  <c r="AZ570" i="3"/>
  <c r="AB19" i="33"/>
  <c r="D121" i="9"/>
  <c r="D7" i="52" s="1"/>
  <c r="D6" i="52"/>
  <c r="AB32" i="37"/>
  <c r="U32" i="37"/>
  <c r="AA28" i="21"/>
  <c r="S28" i="21"/>
  <c r="S14" i="21"/>
  <c r="AA14" i="21"/>
  <c r="AA36" i="40"/>
  <c r="S36" i="40"/>
  <c r="U37" i="40"/>
  <c r="AB37" i="40"/>
  <c r="AB23" i="21"/>
  <c r="W23" i="37"/>
  <c r="S13" i="21"/>
  <c r="AB15" i="21"/>
  <c r="AB30" i="34"/>
  <c r="AC14" i="34"/>
  <c r="AA29" i="37"/>
  <c r="W19" i="40"/>
  <c r="U35" i="40"/>
  <c r="AB21" i="40"/>
  <c r="U21" i="40"/>
  <c r="AZ501" i="3"/>
  <c r="AZ529" i="3"/>
  <c r="AZ565" i="3"/>
  <c r="AA14" i="33"/>
  <c r="AC44" i="21"/>
  <c r="W44" i="21"/>
  <c r="U42" i="21"/>
  <c r="AB42" i="21"/>
  <c r="AC19" i="33"/>
  <c r="W19" i="33"/>
  <c r="AA41" i="33"/>
  <c r="S41" i="33"/>
  <c r="AA23" i="35"/>
  <c r="S23" i="35"/>
  <c r="S41" i="39"/>
  <c r="AA41" i="39"/>
  <c r="S13" i="33"/>
  <c r="AA13" i="33"/>
  <c r="U40" i="37"/>
  <c r="AB40" i="37"/>
  <c r="AA14" i="40"/>
  <c r="S14" i="40"/>
  <c r="S23" i="37"/>
  <c r="AA23" i="37"/>
  <c r="AC27" i="37"/>
  <c r="W27" i="37"/>
  <c r="W27" i="33"/>
  <c r="AC15" i="21"/>
  <c r="S45" i="21"/>
  <c r="AC43" i="33"/>
  <c r="W43" i="33"/>
  <c r="U41" i="34"/>
  <c r="AB41" i="34"/>
  <c r="S26" i="36"/>
  <c r="AA26" i="36"/>
  <c r="AA42" i="33"/>
  <c r="S42" i="33"/>
  <c r="G557" i="3"/>
  <c r="AC5" i="3"/>
  <c r="W13" i="39"/>
  <c r="AC13" i="39"/>
  <c r="AC31" i="34"/>
  <c r="W31" i="34"/>
  <c r="W11" i="35"/>
  <c r="AC11" i="35"/>
  <c r="AC29" i="35"/>
  <c r="W29" i="35"/>
  <c r="U16" i="35"/>
  <c r="AB16" i="35"/>
  <c r="AA22" i="35"/>
  <c r="S22" i="35"/>
  <c r="AB42" i="39"/>
  <c r="U42" i="39"/>
  <c r="AC23" i="40"/>
  <c r="W23" i="40"/>
  <c r="AB19" i="39"/>
  <c r="U19" i="39"/>
  <c r="U38" i="21"/>
  <c r="AB38" i="21"/>
  <c r="BA587" i="3"/>
  <c r="BA586" i="3"/>
  <c r="BL585" i="3"/>
  <c r="AZ585" i="3" s="1"/>
  <c r="F9" i="34"/>
  <c r="AA9" i="34" s="1"/>
  <c r="J9" i="34"/>
  <c r="H9" i="34"/>
  <c r="J12" i="34"/>
  <c r="H12" i="34"/>
  <c r="F12" i="34"/>
  <c r="S12" i="34" s="1"/>
  <c r="J39" i="40"/>
  <c r="H39" i="40"/>
  <c r="AA30" i="40"/>
  <c r="BD5" i="3"/>
  <c r="BM5" i="3"/>
  <c r="F29" i="6" s="1"/>
  <c r="AZ391" i="3"/>
  <c r="AZ364" i="3"/>
  <c r="AZ329" i="3"/>
  <c r="AZ306" i="3"/>
  <c r="J9" i="37"/>
  <c r="W9" i="37" s="1"/>
  <c r="BL577" i="3"/>
  <c r="AZ577" i="3" s="1"/>
  <c r="AZ513" i="3"/>
  <c r="AZ528" i="3"/>
  <c r="AZ548" i="3"/>
  <c r="AZ502" i="3"/>
  <c r="S45" i="33"/>
  <c r="U46" i="33"/>
  <c r="J14" i="37"/>
  <c r="F14" i="37"/>
  <c r="H11" i="35"/>
  <c r="AB11" i="35" s="1"/>
  <c r="H46" i="34"/>
  <c r="J30" i="34"/>
  <c r="J31" i="33"/>
  <c r="J13" i="33"/>
  <c r="S33" i="35"/>
  <c r="AA28" i="33"/>
  <c r="F46" i="21"/>
  <c r="AA23" i="34"/>
  <c r="S38" i="39"/>
  <c r="W33" i="33"/>
  <c r="H36" i="39"/>
  <c r="AC40" i="33"/>
  <c r="W40" i="33"/>
  <c r="AC8" i="34"/>
  <c r="W8" i="34"/>
  <c r="J37" i="39"/>
  <c r="F37" i="39"/>
  <c r="BA551" i="3"/>
  <c r="AZ551" i="3" s="1"/>
  <c r="BA550" i="3"/>
  <c r="BL548" i="3"/>
  <c r="BL566" i="3"/>
  <c r="AZ566" i="3" s="1"/>
  <c r="J46" i="34"/>
  <c r="F31" i="33"/>
  <c r="F27" i="21"/>
  <c r="S42" i="34"/>
  <c r="AB8" i="39"/>
  <c r="U34" i="40"/>
  <c r="AA9" i="40"/>
  <c r="W25" i="37"/>
  <c r="G585" i="3"/>
  <c r="H23" i="36"/>
  <c r="J23" i="36"/>
  <c r="H31" i="39"/>
  <c r="J31" i="39"/>
  <c r="U9" i="33"/>
  <c r="W9" i="35"/>
  <c r="AZ384" i="3"/>
  <c r="AZ322" i="3"/>
  <c r="AZ313" i="3"/>
  <c r="AZ160" i="3"/>
  <c r="AZ394" i="3"/>
  <c r="W9" i="39"/>
  <c r="AZ519" i="3"/>
  <c r="AZ531" i="3"/>
  <c r="BL573" i="3"/>
  <c r="AZ573" i="3" s="1"/>
  <c r="BL583" i="3"/>
  <c r="AZ583" i="3" s="1"/>
  <c r="H14" i="40"/>
  <c r="J40" i="37"/>
  <c r="S36" i="33"/>
  <c r="S17" i="37"/>
  <c r="AA15" i="21"/>
  <c r="W25" i="21"/>
  <c r="U38" i="34"/>
  <c r="W33" i="34"/>
  <c r="AA40" i="34"/>
  <c r="U32" i="36"/>
  <c r="AC11" i="33"/>
  <c r="S43" i="34"/>
  <c r="AB8" i="34"/>
  <c r="AZ14" i="3"/>
  <c r="AZ388" i="3"/>
  <c r="AZ345" i="3"/>
  <c r="AZ334" i="3"/>
  <c r="AZ372" i="3"/>
  <c r="AZ347" i="3"/>
  <c r="AZ337" i="3"/>
  <c r="AZ200" i="3"/>
  <c r="AZ192" i="3"/>
  <c r="AZ376" i="3"/>
  <c r="AZ309" i="3"/>
  <c r="AC12" i="37"/>
  <c r="AZ515" i="3"/>
  <c r="AZ523" i="3"/>
  <c r="AZ547" i="3"/>
  <c r="BL569" i="3"/>
  <c r="AZ569" i="3" s="1"/>
  <c r="AZ516" i="3"/>
  <c r="AZ524" i="3"/>
  <c r="AC28" i="21"/>
  <c r="J31" i="21"/>
  <c r="AB23" i="34"/>
  <c r="W31" i="40"/>
  <c r="F23" i="36"/>
  <c r="F25" i="37"/>
  <c r="AC40" i="39"/>
  <c r="W40" i="39"/>
  <c r="AA34" i="40"/>
  <c r="S34" i="40"/>
  <c r="G566" i="3"/>
  <c r="G558" i="3"/>
  <c r="AZ407" i="3"/>
  <c r="G398" i="3"/>
  <c r="BL400" i="3"/>
  <c r="BL408" i="3"/>
  <c r="AZ408" i="3" s="1"/>
  <c r="BL411" i="3"/>
  <c r="AZ411" i="3" s="1"/>
  <c r="BL413" i="3"/>
  <c r="G415" i="3"/>
  <c r="BL417" i="3"/>
  <c r="AZ417" i="3" s="1"/>
  <c r="BL418" i="3"/>
  <c r="BL420" i="3"/>
  <c r="G422" i="3"/>
  <c r="BL424" i="3"/>
  <c r="G426" i="3"/>
  <c r="BA428" i="3"/>
  <c r="BA429" i="3"/>
  <c r="BA430" i="3"/>
  <c r="AZ430" i="3" s="1"/>
  <c r="G435" i="3"/>
  <c r="BL435" i="3"/>
  <c r="BL436" i="3"/>
  <c r="BA438" i="3"/>
  <c r="G442" i="3"/>
  <c r="BA449" i="3"/>
  <c r="BA463" i="3"/>
  <c r="BA465" i="3"/>
  <c r="AZ465" i="3" s="1"/>
  <c r="AZ471" i="3"/>
  <c r="BA476" i="3"/>
  <c r="BA481" i="3"/>
  <c r="G484" i="3"/>
  <c r="G220" i="3"/>
  <c r="BL224" i="3"/>
  <c r="BA228" i="3"/>
  <c r="AZ400" i="3"/>
  <c r="AZ402" i="3"/>
  <c r="AZ406" i="3"/>
  <c r="AZ413" i="3"/>
  <c r="AZ448" i="3"/>
  <c r="AZ469" i="3"/>
  <c r="AZ270" i="3"/>
  <c r="B79" i="43"/>
  <c r="H23" i="35"/>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BA434" i="3"/>
  <c r="AZ434" i="3" s="1"/>
  <c r="BA435" i="3"/>
  <c r="AZ435" i="3" s="1"/>
  <c r="BA444" i="3"/>
  <c r="AZ444" i="3" s="1"/>
  <c r="BA445" i="3"/>
  <c r="BA447" i="3"/>
  <c r="AZ447" i="3" s="1"/>
  <c r="BA453" i="3"/>
  <c r="AZ453" i="3" s="1"/>
  <c r="BA455" i="3"/>
  <c r="AZ455" i="3" s="1"/>
  <c r="BL458" i="3"/>
  <c r="AZ458" i="3" s="1"/>
  <c r="BL459" i="3"/>
  <c r="G461" i="3"/>
  <c r="BA467" i="3"/>
  <c r="BA468" i="3"/>
  <c r="BL472" i="3"/>
  <c r="BA478" i="3"/>
  <c r="BA485" i="3"/>
  <c r="BL395" i="3"/>
  <c r="BL222" i="3"/>
  <c r="G241" i="3"/>
  <c r="BL587" i="3"/>
  <c r="BL586" i="3"/>
  <c r="BL16" i="3"/>
  <c r="AZ16" i="3" s="1"/>
  <c r="BA401" i="3"/>
  <c r="BA403" i="3"/>
  <c r="AZ403" i="3" s="1"/>
  <c r="BA404" i="3"/>
  <c r="AZ404" i="3" s="1"/>
  <c r="BA405" i="3"/>
  <c r="AZ405" i="3" s="1"/>
  <c r="BL410" i="3"/>
  <c r="G412" i="3"/>
  <c r="G418" i="3"/>
  <c r="BA422" i="3"/>
  <c r="AZ422" i="3" s="1"/>
  <c r="G428" i="3"/>
  <c r="BL428" i="3"/>
  <c r="BL429" i="3"/>
  <c r="BA432" i="3"/>
  <c r="BA437" i="3"/>
  <c r="AZ437" i="3" s="1"/>
  <c r="BA439" i="3"/>
  <c r="BA440" i="3"/>
  <c r="AZ440" i="3" s="1"/>
  <c r="BA442" i="3"/>
  <c r="BA446" i="3"/>
  <c r="BA451" i="3"/>
  <c r="AZ451" i="3" s="1"/>
  <c r="G457" i="3"/>
  <c r="BA466" i="3"/>
  <c r="G471" i="3"/>
  <c r="BL471" i="3"/>
  <c r="BA477" i="3"/>
  <c r="BL484" i="3"/>
  <c r="BL208" i="3"/>
  <c r="BA217" i="3"/>
  <c r="BA250" i="3"/>
  <c r="G258" i="3"/>
  <c r="BL262" i="3"/>
  <c r="AZ284" i="3"/>
  <c r="AZ301" i="3"/>
  <c r="AB21" i="37"/>
  <c r="U21" i="37"/>
  <c r="C44" i="71"/>
  <c r="D43" i="71"/>
  <c r="C67" i="71"/>
  <c r="T68" i="71"/>
  <c r="O68" i="71"/>
  <c r="T76" i="71"/>
  <c r="D76" i="71"/>
  <c r="C75" i="71"/>
  <c r="BL317" i="3"/>
  <c r="BA349" i="3"/>
  <c r="AZ349" i="3" s="1"/>
  <c r="BA353" i="3"/>
  <c r="BL353" i="3"/>
  <c r="BA358" i="3"/>
  <c r="AZ358" i="3" s="1"/>
  <c r="BL365" i="3"/>
  <c r="AZ365" i="3" s="1"/>
  <c r="BA368" i="3"/>
  <c r="BL368" i="3"/>
  <c r="BA374" i="3"/>
  <c r="AZ374" i="3" s="1"/>
  <c r="BA388" i="3"/>
  <c r="BA396" i="3"/>
  <c r="BA209" i="3"/>
  <c r="BL217" i="3"/>
  <c r="BA219" i="3"/>
  <c r="AZ219" i="3" s="1"/>
  <c r="BA221" i="3"/>
  <c r="BA223" i="3"/>
  <c r="BL228" i="3"/>
  <c r="BA230" i="3"/>
  <c r="AZ230" i="3" s="1"/>
  <c r="BL232" i="3"/>
  <c r="BL234" i="3"/>
  <c r="BA236" i="3"/>
  <c r="BA238" i="3"/>
  <c r="BA243" i="3"/>
  <c r="BL248" i="3"/>
  <c r="AZ248" i="3" s="1"/>
  <c r="BL250"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BA129" i="3"/>
  <c r="BL35" i="3"/>
  <c r="D68" i="71"/>
  <c r="AB34" i="71"/>
  <c r="AB27" i="71"/>
  <c r="AB32" i="71"/>
  <c r="AA38" i="71"/>
  <c r="AA3" i="71"/>
  <c r="AA28" i="71"/>
  <c r="AA35" i="71"/>
  <c r="Y29" i="71"/>
  <c r="Z29" i="71" s="1"/>
  <c r="Y25" i="71"/>
  <c r="Z25" i="71" s="1"/>
  <c r="C47" i="71"/>
  <c r="D47" i="71" s="1"/>
  <c r="D46" i="71"/>
  <c r="D50" i="71"/>
  <c r="C51" i="71"/>
  <c r="BL448" i="3"/>
  <c r="G451" i="3"/>
  <c r="BA454" i="3"/>
  <c r="AZ454" i="3" s="1"/>
  <c r="BA457" i="3"/>
  <c r="AZ457" i="3" s="1"/>
  <c r="BA459" i="3"/>
  <c r="BA460" i="3"/>
  <c r="AZ460" i="3" s="1"/>
  <c r="BA461" i="3"/>
  <c r="AZ461" i="3" s="1"/>
  <c r="BL464" i="3"/>
  <c r="BL466" i="3"/>
  <c r="G469" i="3"/>
  <c r="BL476" i="3"/>
  <c r="BL477" i="3"/>
  <c r="BL478" i="3"/>
  <c r="BL480" i="3"/>
  <c r="AZ480" i="3" s="1"/>
  <c r="BA483" i="3"/>
  <c r="BL483" i="3"/>
  <c r="BA486" i="3"/>
  <c r="BL489" i="3"/>
  <c r="BL491" i="3"/>
  <c r="AZ491" i="3" s="1"/>
  <c r="BL492" i="3"/>
  <c r="BA315" i="3"/>
  <c r="AZ315" i="3" s="1"/>
  <c r="BA333" i="3"/>
  <c r="BL346" i="3"/>
  <c r="AZ346" i="3" s="1"/>
  <c r="BA384" i="3"/>
  <c r="BA395" i="3"/>
  <c r="BA208" i="3"/>
  <c r="AZ208" i="3" s="1"/>
  <c r="BA211" i="3"/>
  <c r="AZ211" i="3" s="1"/>
  <c r="BL213" i="3"/>
  <c r="BL215" i="3"/>
  <c r="BA222" i="3"/>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AZ302" i="3" s="1"/>
  <c r="BA114" i="3"/>
  <c r="BL123" i="3"/>
  <c r="AZ123" i="3" s="1"/>
  <c r="BA128" i="3"/>
  <c r="AZ128" i="3" s="1"/>
  <c r="BL134" i="3"/>
  <c r="BL137" i="3"/>
  <c r="BA146" i="3"/>
  <c r="AZ146" i="3" s="1"/>
  <c r="BA150" i="3"/>
  <c r="G163" i="3"/>
  <c r="BL166" i="3"/>
  <c r="G167" i="3"/>
  <c r="AZ25" i="3"/>
  <c r="G31" i="3"/>
  <c r="BL34" i="3"/>
  <c r="T32" i="71"/>
  <c r="D32" i="71"/>
  <c r="G429" i="3"/>
  <c r="G430" i="3"/>
  <c r="BL431" i="3"/>
  <c r="G433" i="3"/>
  <c r="BL434" i="3"/>
  <c r="G436"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49" i="3"/>
  <c r="AZ149" i="3" s="1"/>
  <c r="BL161" i="3"/>
  <c r="BL169" i="3"/>
  <c r="G4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BA202" i="3"/>
  <c r="BL207" i="3"/>
  <c r="AZ207" i="3" s="1"/>
  <c r="BL18" i="3"/>
  <c r="G19" i="3"/>
  <c r="BL19" i="3"/>
  <c r="BA20" i="3"/>
  <c r="AZ20" i="3" s="1"/>
  <c r="BL25" i="3"/>
  <c r="BL27" i="3"/>
  <c r="BA28" i="3"/>
  <c r="AZ28" i="3" s="1"/>
  <c r="BA31" i="3"/>
  <c r="AZ31" i="3" s="1"/>
  <c r="BA32" i="3"/>
  <c r="G38" i="3"/>
  <c r="BA38" i="3"/>
  <c r="AZ38" i="3" s="1"/>
  <c r="BA41" i="3"/>
  <c r="BA42" i="3"/>
  <c r="G47" i="3"/>
  <c r="BL48" i="3"/>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BA130" i="3"/>
  <c r="AZ130" i="3" s="1"/>
  <c r="BL130" i="3"/>
  <c r="BA137" i="3"/>
  <c r="AZ137" i="3" s="1"/>
  <c r="BL138" i="3"/>
  <c r="BA140" i="3"/>
  <c r="AZ140" i="3" s="1"/>
  <c r="BA142" i="3"/>
  <c r="BL149" i="3"/>
  <c r="BL150" i="3"/>
  <c r="G151" i="3"/>
  <c r="BA152" i="3"/>
  <c r="AZ152" i="3" s="1"/>
  <c r="BA154" i="3"/>
  <c r="AZ154" i="3" s="1"/>
  <c r="BA160" i="3"/>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204" i="3"/>
  <c r="BL206" i="3"/>
  <c r="BA19" i="3"/>
  <c r="AZ19" i="3" s="1"/>
  <c r="G22" i="3"/>
  <c r="G24" i="3"/>
  <c r="G25" i="3"/>
  <c r="BA27" i="3"/>
  <c r="G30" i="3"/>
  <c r="BL30" i="3"/>
  <c r="AZ30" i="3" s="1"/>
  <c r="BL31" i="3"/>
  <c r="G35" i="3"/>
  <c r="G36" i="3"/>
  <c r="G37" i="3"/>
  <c r="G40" i="3"/>
  <c r="BL40" i="3"/>
  <c r="BL41" i="3"/>
  <c r="G45" i="3"/>
  <c r="BL45" i="3"/>
  <c r="BA48" i="3"/>
  <c r="BA49" i="3"/>
  <c r="BA51" i="3"/>
  <c r="AZ51" i="3" s="1"/>
  <c r="BA55" i="3"/>
  <c r="AZ55" i="3" s="1"/>
  <c r="BA56" i="3"/>
  <c r="BA57" i="3"/>
  <c r="BL58" i="3"/>
  <c r="BA60" i="3"/>
  <c r="BA71" i="3"/>
  <c r="BA95" i="3"/>
  <c r="F40" i="69"/>
  <c r="C40" i="69"/>
  <c r="P65" i="71"/>
  <c r="P66" i="71"/>
  <c r="Y27" i="71"/>
  <c r="Z27" i="71" s="1"/>
  <c r="C34" i="71"/>
  <c r="Y35" i="71"/>
  <c r="Z35" i="71" s="1"/>
  <c r="S80" i="71"/>
  <c r="B79" i="71"/>
  <c r="B78" i="71"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AZ46" i="3" s="1"/>
  <c r="BL49" i="3"/>
  <c r="BL50" i="3"/>
  <c r="AZ50" i="3" s="1"/>
  <c r="BL51" i="3"/>
  <c r="BL53" i="3"/>
  <c r="BA64" i="3"/>
  <c r="AZ64" i="3" s="1"/>
  <c r="BL73" i="3"/>
  <c r="BA74" i="3"/>
  <c r="AZ74" i="3" s="1"/>
  <c r="BA75" i="3"/>
  <c r="BL82" i="3"/>
  <c r="E39" i="71"/>
  <c r="E40" i="71" s="1"/>
  <c r="U40" i="71" s="1"/>
  <c r="Y37" i="71"/>
  <c r="Z37" i="71" s="1"/>
  <c r="F66" i="71"/>
  <c r="Q66" i="71" s="1"/>
  <c r="Q67" i="71"/>
  <c r="X25" i="71"/>
  <c r="V24" i="71"/>
  <c r="E23" i="71"/>
  <c r="E22" i="71" s="1"/>
  <c r="E21" i="71" s="1"/>
  <c r="E20" i="71" s="1"/>
  <c r="E19" i="71" s="1"/>
  <c r="E18" i="71" s="1"/>
  <c r="E17" i="71" s="1"/>
  <c r="E16" i="71" s="1"/>
  <c r="G54" i="3"/>
  <c r="G55" i="3"/>
  <c r="BL56" i="3"/>
  <c r="BA58" i="3"/>
  <c r="AZ58" i="3" s="1"/>
  <c r="BL59" i="3"/>
  <c r="AZ59" i="3" s="1"/>
  <c r="BL60" i="3"/>
  <c r="BA61" i="3"/>
  <c r="AZ61" i="3" s="1"/>
  <c r="BA68" i="3"/>
  <c r="AZ68" i="3" s="1"/>
  <c r="BA73" i="3"/>
  <c r="BA80" i="3"/>
  <c r="G84" i="3"/>
  <c r="BL84" i="3"/>
  <c r="BA89" i="3"/>
  <c r="G99" i="3"/>
  <c r="G103" i="3"/>
  <c r="BA103" i="3"/>
  <c r="AZ103" i="3" s="1"/>
  <c r="BA104" i="3"/>
  <c r="BA106" i="3"/>
  <c r="BL108" i="3"/>
  <c r="AZ108" i="3" s="1"/>
  <c r="G110" i="3"/>
  <c r="BL111" i="3"/>
  <c r="C21" i="68"/>
  <c r="AA27" i="71"/>
  <c r="S28" i="71"/>
  <c r="C83" i="71"/>
  <c r="C79" i="71"/>
  <c r="C71" i="71"/>
  <c r="C39" i="71"/>
  <c r="Y28" i="71"/>
  <c r="Z28" i="71" s="1"/>
  <c r="Y30" i="71"/>
  <c r="Z30" i="71" s="1"/>
  <c r="X28" i="71"/>
  <c r="X32" i="71"/>
  <c r="AB38" i="71"/>
  <c r="F75" i="71"/>
  <c r="F74" i="71" s="1"/>
  <c r="BL77" i="3"/>
  <c r="AZ77" i="3" s="1"/>
  <c r="BA79" i="3"/>
  <c r="AZ79" i="3" s="1"/>
  <c r="BA84" i="3"/>
  <c r="BL88" i="3"/>
  <c r="AZ88" i="3" s="1"/>
  <c r="BL90" i="3"/>
  <c r="BL92" i="3"/>
  <c r="AZ92" i="3" s="1"/>
  <c r="BA101" i="3"/>
  <c r="AZ101" i="3" s="1"/>
  <c r="BL112" i="3"/>
  <c r="F35" i="71"/>
  <c r="F36" i="71" s="1"/>
  <c r="V36" i="71" s="1"/>
  <c r="AA34" i="71"/>
  <c r="BA52" i="3"/>
  <c r="AZ52" i="3" s="1"/>
  <c r="BA53" i="3"/>
  <c r="BA54" i="3"/>
  <c r="AZ54" i="3" s="1"/>
  <c r="BL57" i="3"/>
  <c r="G59" i="3"/>
  <c r="G62" i="3"/>
  <c r="BL62" i="3"/>
  <c r="AZ62" i="3" s="1"/>
  <c r="BL63" i="3"/>
  <c r="AZ63" i="3" s="1"/>
  <c r="G65" i="3"/>
  <c r="BL65" i="3"/>
  <c r="AZ65" i="3" s="1"/>
  <c r="BL66" i="3"/>
  <c r="AZ66" i="3" s="1"/>
  <c r="BL67" i="3"/>
  <c r="AZ67" i="3" s="1"/>
  <c r="G69" i="3"/>
  <c r="G70" i="3"/>
  <c r="BL70" i="3"/>
  <c r="AZ70" i="3" s="1"/>
  <c r="BL71" i="3"/>
  <c r="BL72" i="3"/>
  <c r="AZ72" i="3" s="1"/>
  <c r="G74" i="3"/>
  <c r="G75" i="3"/>
  <c r="BL75" i="3"/>
  <c r="G79" i="3"/>
  <c r="BL81" i="3"/>
  <c r="BA82" i="3"/>
  <c r="BL83" i="3"/>
  <c r="G86" i="3"/>
  <c r="G87" i="3"/>
  <c r="G88" i="3"/>
  <c r="BA90" i="3"/>
  <c r="AZ90" i="3" s="1"/>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F50" i="15"/>
  <c r="F66" i="67"/>
  <c r="L59" i="15"/>
  <c r="N59" i="15"/>
  <c r="L58" i="15"/>
  <c r="M59" i="15"/>
  <c r="F66" i="15"/>
  <c r="F64" i="15"/>
  <c r="C27" i="67"/>
  <c r="F71" i="67"/>
  <c r="C27" i="15"/>
  <c r="B13" i="70"/>
  <c r="M7" i="67"/>
  <c r="J6" i="67" s="1"/>
  <c r="F50" i="67"/>
  <c r="F68" i="15"/>
  <c r="D9" i="68"/>
  <c r="M24" i="67"/>
  <c r="D9" i="69"/>
  <c r="D3" i="73"/>
  <c r="C36" i="69"/>
  <c r="F40" i="67"/>
  <c r="D5" i="73"/>
  <c r="M8" i="15"/>
  <c r="F36" i="67"/>
  <c r="D4" i="73"/>
  <c r="F16" i="67"/>
  <c r="C76" i="67"/>
  <c r="L47" i="67"/>
  <c r="F9" i="67"/>
  <c r="D7" i="73"/>
  <c r="F8" i="67"/>
  <c r="F37" i="15"/>
  <c r="F8" i="15"/>
  <c r="F43" i="15"/>
  <c r="C16" i="15"/>
  <c r="F37" i="67"/>
  <c r="M26" i="15"/>
  <c r="J15" i="15"/>
  <c r="M22" i="67"/>
  <c r="E59" i="40" l="1"/>
  <c r="C36" i="68"/>
  <c r="S14" i="36"/>
  <c r="AB14" i="36"/>
  <c r="P6" i="1"/>
  <c r="C13" i="12" s="1"/>
  <c r="E28" i="6"/>
  <c r="K14" i="1" s="1"/>
  <c r="K16" i="1" s="1"/>
  <c r="G26" i="43"/>
  <c r="J26" i="43"/>
  <c r="N94" i="46"/>
  <c r="N370" i="46"/>
  <c r="F26" i="43"/>
  <c r="E26" i="43"/>
  <c r="F68" i="67"/>
  <c r="F31" i="15"/>
  <c r="C6" i="15"/>
  <c r="C32" i="15" s="1"/>
  <c r="F51" i="15"/>
  <c r="C49" i="15" s="1"/>
  <c r="F71" i="15"/>
  <c r="C6" i="67"/>
  <c r="C32" i="67" s="1"/>
  <c r="F31" i="67"/>
  <c r="F51" i="67"/>
  <c r="F59" i="67" s="1"/>
  <c r="F65" i="67"/>
  <c r="F65" i="15"/>
  <c r="F64" i="67"/>
  <c r="Q71" i="67"/>
  <c r="N59" i="67"/>
  <c r="L59" i="67"/>
  <c r="Q61" i="67" s="1"/>
  <c r="L58" i="67"/>
  <c r="Q60" i="67" s="1"/>
  <c r="M59" i="67"/>
  <c r="G5" i="3"/>
  <c r="B3" i="3" s="1"/>
  <c r="E502" i="3" s="1"/>
  <c r="AZ82" i="3"/>
  <c r="C70" i="71"/>
  <c r="D70" i="71" s="1"/>
  <c r="D71" i="71"/>
  <c r="AZ75" i="3"/>
  <c r="AZ57" i="3"/>
  <c r="AZ49" i="3"/>
  <c r="AZ41" i="3"/>
  <c r="AZ126" i="3"/>
  <c r="D44" i="71"/>
  <c r="T44" i="71"/>
  <c r="AZ250" i="3"/>
  <c r="AA23" i="36"/>
  <c r="S23" i="36"/>
  <c r="U14" i="40"/>
  <c r="AB14" i="40"/>
  <c r="AC31" i="39"/>
  <c r="W31" i="39"/>
  <c r="W46" i="34"/>
  <c r="AC46" i="34"/>
  <c r="AB39" i="40"/>
  <c r="U39" i="40"/>
  <c r="W12" i="34"/>
  <c r="AC12" i="34"/>
  <c r="Q16" i="1"/>
  <c r="F28" i="12" s="1"/>
  <c r="C29" i="12" s="1"/>
  <c r="D28" i="12" s="1"/>
  <c r="G16" i="1"/>
  <c r="F10" i="39" s="1"/>
  <c r="S10" i="39" s="1"/>
  <c r="AZ53" i="3"/>
  <c r="D79" i="71"/>
  <c r="C78" i="71"/>
  <c r="D78" i="71" s="1"/>
  <c r="AZ71" i="3"/>
  <c r="C56" i="71"/>
  <c r="D55" i="71"/>
  <c r="AZ251" i="3"/>
  <c r="AZ247" i="3"/>
  <c r="AZ150" i="3"/>
  <c r="AZ222" i="3"/>
  <c r="AZ263" i="3"/>
  <c r="AZ223" i="3"/>
  <c r="D75" i="71"/>
  <c r="C74" i="71"/>
  <c r="D74" i="71" s="1"/>
  <c r="AZ217" i="3"/>
  <c r="AB31" i="39"/>
  <c r="U31" i="39"/>
  <c r="AA37" i="39"/>
  <c r="S37" i="39"/>
  <c r="AB46" i="34"/>
  <c r="U46" i="34"/>
  <c r="AC39" i="40"/>
  <c r="W39" i="40"/>
  <c r="U9" i="34"/>
  <c r="AB9" i="34"/>
  <c r="AZ586" i="3"/>
  <c r="J7" i="36"/>
  <c r="AC7" i="36" s="1"/>
  <c r="V36" i="36" s="1"/>
  <c r="I36" i="36" s="1"/>
  <c r="J6" i="15"/>
  <c r="J18" i="15" s="1"/>
  <c r="H16" i="1"/>
  <c r="AZ83" i="3"/>
  <c r="AZ299" i="3"/>
  <c r="AZ84" i="3"/>
  <c r="D83" i="71"/>
  <c r="C82" i="71"/>
  <c r="D82" i="71" s="1"/>
  <c r="D34" i="71"/>
  <c r="C35" i="71"/>
  <c r="C26" i="71"/>
  <c r="D26" i="71" s="1"/>
  <c r="D27" i="71"/>
  <c r="AZ27" i="3"/>
  <c r="AZ169" i="3"/>
  <c r="AZ229" i="3"/>
  <c r="AZ218" i="3"/>
  <c r="AZ395" i="3"/>
  <c r="AZ459" i="3"/>
  <c r="AZ271" i="3"/>
  <c r="AZ243" i="3"/>
  <c r="AZ368" i="3"/>
  <c r="AZ353" i="3"/>
  <c r="D67" i="71"/>
  <c r="C66" i="71"/>
  <c r="O67" i="71"/>
  <c r="AZ401" i="3"/>
  <c r="AZ228" i="3"/>
  <c r="AZ429" i="3"/>
  <c r="AC23" i="36"/>
  <c r="W23" i="36"/>
  <c r="AA27" i="21"/>
  <c r="S27" i="21"/>
  <c r="AC37" i="39"/>
  <c r="W37" i="39"/>
  <c r="AC13" i="33"/>
  <c r="W13" i="33"/>
  <c r="AC9" i="34"/>
  <c r="W9" i="34"/>
  <c r="AZ587" i="3"/>
  <c r="C40" i="71"/>
  <c r="D39" i="71"/>
  <c r="AZ483" i="3"/>
  <c r="C52" i="71"/>
  <c r="D51" i="71"/>
  <c r="AZ238" i="3"/>
  <c r="AZ466" i="3"/>
  <c r="AZ432" i="3"/>
  <c r="U23" i="35"/>
  <c r="AB23" i="35"/>
  <c r="AZ476" i="3"/>
  <c r="AZ428" i="3"/>
  <c r="AA25" i="37"/>
  <c r="S25" i="37"/>
  <c r="AC31" i="21"/>
  <c r="W31" i="21"/>
  <c r="AC40" i="37"/>
  <c r="W40" i="37"/>
  <c r="AB23" i="36"/>
  <c r="U23" i="36"/>
  <c r="S31" i="33"/>
  <c r="AA31" i="33"/>
  <c r="AZ550" i="3"/>
  <c r="U36" i="39"/>
  <c r="AB36" i="39"/>
  <c r="S46" i="21"/>
  <c r="AA46" i="21"/>
  <c r="AC31" i="33"/>
  <c r="W31" i="33"/>
  <c r="AA14" i="37"/>
  <c r="S14" i="37"/>
  <c r="AB12" i="34"/>
  <c r="U12" i="34"/>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C7" i="37"/>
  <c r="W7" i="37"/>
  <c r="F7" i="33"/>
  <c r="E58" i="21"/>
  <c r="F7" i="37"/>
  <c r="M17" i="67"/>
  <c r="M17" i="15"/>
  <c r="P28" i="43"/>
  <c r="B66" i="40" s="1"/>
  <c r="P25" i="43"/>
  <c r="P29" i="43"/>
  <c r="P27" i="43"/>
  <c r="B70" i="39" s="1"/>
  <c r="M11" i="67"/>
  <c r="J10" i="67" s="1"/>
  <c r="J5" i="67" s="1"/>
  <c r="F11" i="15"/>
  <c r="M11" i="15"/>
  <c r="J10" i="15" s="1"/>
  <c r="F11" i="67"/>
  <c r="F1" i="15"/>
  <c r="Q52" i="15"/>
  <c r="J18" i="67"/>
  <c r="F1" i="67"/>
  <c r="Q52" i="67"/>
  <c r="Q60" i="15"/>
  <c r="Q73" i="15"/>
  <c r="Q74" i="15"/>
  <c r="Q61" i="15"/>
  <c r="AE11" i="1"/>
  <c r="AE6" i="1"/>
  <c r="AE9" i="1"/>
  <c r="AE7" i="1"/>
  <c r="AE8" i="1"/>
  <c r="AE12" i="1"/>
  <c r="AE10" i="1"/>
  <c r="F41" i="67"/>
  <c r="G1" i="73"/>
  <c r="F27" i="69"/>
  <c r="C16" i="67"/>
  <c r="E526" i="3" l="1"/>
  <c r="E384" i="3"/>
  <c r="AL6" i="3"/>
  <c r="M14" i="1"/>
  <c r="M16" i="1" s="1"/>
  <c r="E579" i="3"/>
  <c r="E95" i="3"/>
  <c r="I6" i="3"/>
  <c r="AI6" i="3"/>
  <c r="E74" i="3"/>
  <c r="E128" i="3"/>
  <c r="E135" i="3"/>
  <c r="E133" i="3"/>
  <c r="E374" i="3"/>
  <c r="E271" i="3"/>
  <c r="E289" i="3"/>
  <c r="E142" i="3"/>
  <c r="E240" i="3"/>
  <c r="E483" i="3"/>
  <c r="E172" i="3"/>
  <c r="E531" i="3"/>
  <c r="E347" i="3"/>
  <c r="E519" i="3"/>
  <c r="E547" i="3"/>
  <c r="E226" i="3"/>
  <c r="E132" i="3"/>
  <c r="E514" i="3"/>
  <c r="AO6" i="3"/>
  <c r="E91" i="3"/>
  <c r="E366" i="3"/>
  <c r="E224" i="3"/>
  <c r="E326" i="3"/>
  <c r="E100" i="3"/>
  <c r="E215" i="3"/>
  <c r="E211" i="3"/>
  <c r="E468" i="3"/>
  <c r="E561" i="3"/>
  <c r="E395" i="3"/>
  <c r="E321" i="3"/>
  <c r="E222" i="3"/>
  <c r="E451" i="3"/>
  <c r="E242" i="3"/>
  <c r="E119" i="3"/>
  <c r="X6" i="3"/>
  <c r="E423" i="3"/>
  <c r="E161" i="3"/>
  <c r="E563" i="3"/>
  <c r="E387" i="3"/>
  <c r="E311" i="3"/>
  <c r="E509" i="3"/>
  <c r="E109" i="3"/>
  <c r="E182" i="3"/>
  <c r="E557" i="3"/>
  <c r="E327" i="3"/>
  <c r="E362" i="3"/>
  <c r="E577" i="3"/>
  <c r="E277" i="3"/>
  <c r="E399" i="3"/>
  <c r="E180" i="3"/>
  <c r="E143" i="3"/>
  <c r="E162" i="3"/>
  <c r="E31" i="3"/>
  <c r="E314" i="3"/>
  <c r="E294" i="3"/>
  <c r="E295" i="3"/>
  <c r="E256" i="3"/>
  <c r="E280" i="3"/>
  <c r="E97" i="3"/>
  <c r="E145" i="3"/>
  <c r="E82" i="3"/>
  <c r="E297" i="3"/>
  <c r="E58" i="3"/>
  <c r="E392" i="3"/>
  <c r="E419" i="3"/>
  <c r="E35" i="3"/>
  <c r="T6" i="3"/>
  <c r="E63" i="3"/>
  <c r="E510" i="3"/>
  <c r="E539" i="3"/>
  <c r="AP6" i="3"/>
  <c r="E349" i="3"/>
  <c r="E467" i="3"/>
  <c r="E371" i="3"/>
  <c r="E184" i="3"/>
  <c r="E283" i="3"/>
  <c r="E391" i="3"/>
  <c r="E174"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389" i="3"/>
  <c r="E160" i="3"/>
  <c r="E67" i="3"/>
  <c r="E309" i="3"/>
  <c r="E482" i="3"/>
  <c r="E34" i="3"/>
  <c r="E205" i="3"/>
  <c r="E405" i="3"/>
  <c r="E556" i="3"/>
  <c r="E41" i="3"/>
  <c r="E412" i="3"/>
  <c r="E49" i="3"/>
  <c r="E16" i="3"/>
  <c r="E564" i="3"/>
  <c r="E440" i="3"/>
  <c r="E463" i="3"/>
  <c r="E276" i="3"/>
  <c r="E540" i="3"/>
  <c r="E194" i="3"/>
  <c r="AQ6" i="3"/>
  <c r="E340" i="3"/>
  <c r="E365" i="3"/>
  <c r="E566" i="3"/>
  <c r="E521" i="3"/>
  <c r="E312" i="3"/>
  <c r="E446" i="3"/>
  <c r="E323" i="3"/>
  <c r="E266" i="3"/>
  <c r="E39" i="3"/>
  <c r="AD6" i="3"/>
  <c r="AC6" i="3" s="1"/>
  <c r="E187" i="3"/>
  <c r="E461" i="3"/>
  <c r="E313" i="3"/>
  <c r="E471" i="3"/>
  <c r="E14" i="3"/>
  <c r="U6" i="3"/>
  <c r="E71" i="3"/>
  <c r="AM6" i="3"/>
  <c r="E328" i="3"/>
  <c r="E523" i="3"/>
  <c r="E298" i="3"/>
  <c r="E213" i="3"/>
  <c r="E303" i="3"/>
  <c r="AA6" i="3"/>
  <c r="E262" i="3"/>
  <c r="E481" i="3"/>
  <c r="E496" i="3"/>
  <c r="E274" i="3"/>
  <c r="E252" i="3"/>
  <c r="P6" i="3"/>
  <c r="E404" i="3"/>
  <c r="E334" i="3"/>
  <c r="E553" i="3"/>
  <c r="E569" i="3"/>
  <c r="E551" i="3"/>
  <c r="E230" i="3"/>
  <c r="E260" i="3"/>
  <c r="E382" i="3"/>
  <c r="E583" i="3"/>
  <c r="E511" i="3"/>
  <c r="E458" i="3"/>
  <c r="E450" i="3"/>
  <c r="E279" i="3"/>
  <c r="E567" i="3"/>
  <c r="E107" i="3"/>
  <c r="E414" i="3"/>
  <c r="E476" i="3"/>
  <c r="E186" i="3"/>
  <c r="E44" i="3"/>
  <c r="E343" i="3"/>
  <c r="E555" i="3"/>
  <c r="E270" i="3"/>
  <c r="E538" i="3"/>
  <c r="E216" i="3"/>
  <c r="E183" i="3"/>
  <c r="E554" i="3"/>
  <c r="E59" i="3"/>
  <c r="E267" i="3"/>
  <c r="E233" i="3"/>
  <c r="E494" i="3"/>
  <c r="E18" i="3"/>
  <c r="E102" i="3"/>
  <c r="E197" i="3"/>
  <c r="E456" i="3"/>
  <c r="E13" i="3"/>
  <c r="E115" i="3"/>
  <c r="E190" i="3"/>
  <c r="E80" i="3"/>
  <c r="E188" i="3"/>
  <c r="E543" i="3"/>
  <c r="AH6" i="3"/>
  <c r="E25" i="3"/>
  <c r="E346" i="3"/>
  <c r="E15" i="3"/>
  <c r="E234" i="3"/>
  <c r="E36" i="3"/>
  <c r="E20" i="3"/>
  <c r="E524" i="3"/>
  <c r="E460" i="3"/>
  <c r="E24" i="3"/>
  <c r="E416" i="3"/>
  <c r="E138" i="3"/>
  <c r="E464" i="3"/>
  <c r="E584" i="3"/>
  <c r="E462" i="3"/>
  <c r="E195" i="3"/>
  <c r="E504" i="3"/>
  <c r="E136" i="3"/>
  <c r="E474" i="3"/>
  <c r="E54" i="3"/>
  <c r="E93" i="3"/>
  <c r="E548" i="3"/>
  <c r="E92" i="3"/>
  <c r="E53" i="3"/>
  <c r="E359" i="3"/>
  <c r="E506" i="3"/>
  <c r="E169" i="3"/>
  <c r="E302" i="3"/>
  <c r="E402" i="3"/>
  <c r="E156" i="3"/>
  <c r="E177" i="3"/>
  <c r="E424" i="3"/>
  <c r="E55" i="3"/>
  <c r="E580" i="3"/>
  <c r="E164" i="3"/>
  <c r="E443" i="3"/>
  <c r="E121" i="3"/>
  <c r="E30" i="3"/>
  <c r="E282" i="3"/>
  <c r="E229" i="3"/>
  <c r="V6" i="3"/>
  <c r="E130" i="3"/>
  <c r="E117" i="3"/>
  <c r="E578" i="3"/>
  <c r="E253" i="3"/>
  <c r="E45" i="3"/>
  <c r="E527" i="3"/>
  <c r="E433" i="3"/>
  <c r="E351" i="3"/>
  <c r="E549" i="3"/>
  <c r="E585" i="3"/>
  <c r="E477" i="3"/>
  <c r="E447" i="3"/>
  <c r="E210" i="3"/>
  <c r="E441" i="3"/>
  <c r="E305" i="3"/>
  <c r="E410" i="3"/>
  <c r="E533" i="3"/>
  <c r="E439" i="3"/>
  <c r="E185" i="3"/>
  <c r="E361" i="3"/>
  <c r="E134" i="3"/>
  <c r="E495" i="3"/>
  <c r="E77" i="3"/>
  <c r="AK6" i="3"/>
  <c r="K6" i="3"/>
  <c r="H6" i="3" s="1"/>
  <c r="E465" i="3"/>
  <c r="E454" i="3"/>
  <c r="E214" i="3"/>
  <c r="E227" i="3"/>
  <c r="E536" i="3"/>
  <c r="E37" i="3"/>
  <c r="E409" i="3"/>
  <c r="E310" i="3"/>
  <c r="E68" i="3"/>
  <c r="E198" i="3"/>
  <c r="E235" i="3"/>
  <c r="E113" i="3"/>
  <c r="E173" i="3"/>
  <c r="E408" i="3"/>
  <c r="E470" i="3"/>
  <c r="E225" i="3"/>
  <c r="E324" i="3"/>
  <c r="E158" i="3"/>
  <c r="E116" i="3"/>
  <c r="E507" i="3"/>
  <c r="J6" i="3"/>
  <c r="E108" i="3"/>
  <c r="L6" i="3"/>
  <c r="E79" i="3"/>
  <c r="E299" i="3"/>
  <c r="E123" i="3"/>
  <c r="E62" i="3"/>
  <c r="E165" i="3"/>
  <c r="E348" i="3"/>
  <c r="E250" i="3"/>
  <c r="E500" i="3"/>
  <c r="E48" i="3"/>
  <c r="E436" i="3"/>
  <c r="E341" i="3"/>
  <c r="E66" i="3"/>
  <c r="E87" i="3"/>
  <c r="E307" i="3"/>
  <c r="E157" i="3"/>
  <c r="E438" i="3"/>
  <c r="E168" i="3"/>
  <c r="E207" i="3"/>
  <c r="E367" i="3"/>
  <c r="E126" i="3"/>
  <c r="E501" i="3"/>
  <c r="E285" i="3"/>
  <c r="E418" i="3"/>
  <c r="E304" i="3"/>
  <c r="E221" i="3"/>
  <c r="AN6" i="3"/>
  <c r="E434" i="3"/>
  <c r="E330" i="3"/>
  <c r="E344" i="3"/>
  <c r="E203" i="3"/>
  <c r="E32" i="3"/>
  <c r="E576" i="3"/>
  <c r="E581" i="3"/>
  <c r="E166" i="3"/>
  <c r="E480" i="3"/>
  <c r="E239" i="3"/>
  <c r="E151" i="3"/>
  <c r="E407" i="3"/>
  <c r="E415" i="3"/>
  <c r="E290" i="3"/>
  <c r="E518" i="3"/>
  <c r="E85" i="3"/>
  <c r="E193" i="3"/>
  <c r="E457"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F27" i="68"/>
  <c r="C47" i="68" s="1"/>
  <c r="D45" i="68" s="1"/>
  <c r="E378" i="3"/>
  <c r="E248" i="3"/>
  <c r="E131" i="3"/>
  <c r="E139" i="3"/>
  <c r="E369" i="3"/>
  <c r="E94" i="3"/>
  <c r="E219" i="3"/>
  <c r="E275" i="3"/>
  <c r="E148" i="3"/>
  <c r="E246" i="3"/>
  <c r="E263" i="3"/>
  <c r="E535" i="3"/>
  <c r="E69" i="3"/>
  <c r="AB6" i="3"/>
  <c r="E201" i="3"/>
  <c r="E322" i="3"/>
  <c r="E572" i="3"/>
  <c r="E70" i="3"/>
  <c r="E400" i="3"/>
  <c r="E204" i="3"/>
  <c r="E171" i="3"/>
  <c r="E406" i="3"/>
  <c r="E545" i="3"/>
  <c r="E586" i="3"/>
  <c r="E528" i="3"/>
  <c r="E388" i="3"/>
  <c r="AS6" i="3"/>
  <c r="E150" i="3"/>
  <c r="E336" i="3"/>
  <c r="E358" i="3"/>
  <c r="E444" i="3"/>
  <c r="E429" i="3"/>
  <c r="E254" i="3"/>
  <c r="E426" i="3"/>
  <c r="E357" i="3"/>
  <c r="E154" i="3"/>
  <c r="E284" i="3"/>
  <c r="E552" i="3"/>
  <c r="E38" i="3"/>
  <c r="E422" i="3"/>
  <c r="E428" i="3"/>
  <c r="E308" i="3"/>
  <c r="E84" i="3"/>
  <c r="AY6" i="3"/>
  <c r="E118" i="3"/>
  <c r="E487" i="3"/>
  <c r="E296" i="3"/>
  <c r="E200" i="3"/>
  <c r="E385" i="3"/>
  <c r="E191" i="3"/>
  <c r="E445" i="3"/>
  <c r="E189" i="3"/>
  <c r="M6" i="3"/>
  <c r="E431" i="3"/>
  <c r="E268" i="3"/>
  <c r="E377" i="3"/>
  <c r="E489" i="3"/>
  <c r="E485" i="3"/>
  <c r="E89" i="3"/>
  <c r="E146" i="3"/>
  <c r="E472" i="3"/>
  <c r="E181" i="3"/>
  <c r="E350" i="3"/>
  <c r="E231" i="3"/>
  <c r="E530" i="3"/>
  <c r="E478" i="3"/>
  <c r="E571" i="3"/>
  <c r="E61" i="3"/>
  <c r="E516" i="3"/>
  <c r="E448" i="3"/>
  <c r="Q6" i="3"/>
  <c r="E565" i="3"/>
  <c r="E317" i="3"/>
  <c r="W6" i="3"/>
  <c r="E179" i="3"/>
  <c r="E110" i="3"/>
  <c r="E176" i="3"/>
  <c r="E60" i="3"/>
  <c r="E393" i="3"/>
  <c r="E420" i="3"/>
  <c r="E86" i="3"/>
  <c r="E64" i="3"/>
  <c r="W7" i="36"/>
  <c r="U7" i="36"/>
  <c r="AA7" i="36"/>
  <c r="R36" i="36" s="1"/>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41" i="3"/>
  <c r="E417" i="3"/>
  <c r="E449" i="3"/>
  <c r="E575" i="3"/>
  <c r="E206" i="3"/>
  <c r="E383" i="3"/>
  <c r="E96" i="3"/>
  <c r="E42" i="3"/>
  <c r="E281" i="3"/>
  <c r="E513" i="3"/>
  <c r="E81" i="3"/>
  <c r="E355" i="3"/>
  <c r="E33" i="3"/>
  <c r="E492" i="3"/>
  <c r="E249" i="3"/>
  <c r="E46" i="3"/>
  <c r="E484" i="3"/>
  <c r="E544" i="3"/>
  <c r="E258" i="3"/>
  <c r="E491" i="3"/>
  <c r="E430" i="3"/>
  <c r="E286" i="3"/>
  <c r="F27" i="11"/>
  <c r="C29" i="11" s="1"/>
  <c r="D27" i="11" s="1"/>
  <c r="D26" i="43"/>
  <c r="C25" i="43" s="1"/>
  <c r="E3" i="6"/>
  <c r="D3" i="34" s="1"/>
  <c r="C47" i="69"/>
  <c r="D45" i="69" s="1"/>
  <c r="F10" i="40"/>
  <c r="S10" i="40" s="1"/>
  <c r="AA10" i="39"/>
  <c r="H10" i="40"/>
  <c r="AB10" i="40" s="1"/>
  <c r="J10" i="40"/>
  <c r="AC10" i="40" s="1"/>
  <c r="H10" i="39"/>
  <c r="U10" i="39" s="1"/>
  <c r="J10" i="39"/>
  <c r="W10" i="39" s="1"/>
  <c r="F45" i="69"/>
  <c r="C29" i="69"/>
  <c r="D27" i="69" s="1"/>
  <c r="J5" i="15"/>
  <c r="J24" i="15" s="1"/>
  <c r="Q74" i="67"/>
  <c r="Q73" i="67"/>
  <c r="F59" i="15"/>
  <c r="C49" i="67"/>
  <c r="E292" i="3"/>
  <c r="E152" i="3"/>
  <c r="E479" i="3"/>
  <c r="E517" i="3"/>
  <c r="E255" i="3"/>
  <c r="E466" i="3"/>
  <c r="E499" i="3"/>
  <c r="E212" i="3"/>
  <c r="C36" i="71"/>
  <c r="D35" i="71"/>
  <c r="D56" i="71"/>
  <c r="T56" i="71"/>
  <c r="T40" i="71"/>
  <c r="D40" i="71"/>
  <c r="O65" i="71"/>
  <c r="D66" i="71"/>
  <c r="O66" i="71"/>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K25" i="6"/>
  <c r="K20" i="6"/>
  <c r="K23" i="6"/>
  <c r="K22" i="6"/>
  <c r="E31" i="6"/>
  <c r="K24" i="6"/>
  <c r="K19" i="6"/>
  <c r="S6" i="1" s="1"/>
  <c r="O14" i="1"/>
  <c r="O16" i="1" s="1"/>
  <c r="AY144" i="3"/>
  <c r="AY74" i="3"/>
  <c r="AY465" i="3"/>
  <c r="AY28" i="3"/>
  <c r="AY231" i="3"/>
  <c r="AY197" i="3"/>
  <c r="AY317" i="3"/>
  <c r="AY427" i="3"/>
  <c r="AY16" i="3"/>
  <c r="AY199" i="3"/>
  <c r="AY555" i="3"/>
  <c r="AY239" i="3"/>
  <c r="AY243" i="3"/>
  <c r="AY525" i="3"/>
  <c r="AY523" i="3"/>
  <c r="AY191" i="3"/>
  <c r="AY220" i="3"/>
  <c r="AY43" i="3"/>
  <c r="AY343" i="3"/>
  <c r="AY557" i="3"/>
  <c r="AY69" i="3"/>
  <c r="AY193" i="3"/>
  <c r="AY291" i="3"/>
  <c r="AY384" i="3"/>
  <c r="AY88" i="3"/>
  <c r="AY121" i="3"/>
  <c r="AY309" i="3"/>
  <c r="AY438"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37" i="3"/>
  <c r="AY517" i="3"/>
  <c r="AY512" i="3"/>
  <c r="AY91" i="3"/>
  <c r="AY70" i="3"/>
  <c r="AY27" i="3"/>
  <c r="AY148" i="3"/>
  <c r="AY119" i="3"/>
  <c r="AY273" i="3"/>
  <c r="AY224" i="3"/>
  <c r="AY367" i="3"/>
  <c r="AY323" i="3"/>
  <c r="AY490" i="3"/>
  <c r="AY416" i="3"/>
  <c r="AY550" i="3"/>
  <c r="AY511" i="3"/>
  <c r="AY498" i="3"/>
  <c r="AY205" i="3"/>
  <c r="AY298" i="3"/>
  <c r="AY385" i="3"/>
  <c r="AY321" i="3"/>
  <c r="AY492" i="3"/>
  <c r="AY418" i="3"/>
  <c r="AY399" i="3"/>
  <c r="AY575" i="3"/>
  <c r="AY548" i="3"/>
  <c r="AY110" i="3"/>
  <c r="AY203"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E6" i="6"/>
  <c r="M18" i="9"/>
  <c r="B118" i="9" s="1"/>
  <c r="B1" i="74" s="1"/>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M27" i="67"/>
  <c r="D3" i="21" l="1"/>
  <c r="D3" i="33"/>
  <c r="D37" i="11"/>
  <c r="D19" i="11"/>
  <c r="C19" i="11" s="1"/>
  <c r="D3" i="37"/>
  <c r="D14" i="12"/>
  <c r="D17" i="12" s="1"/>
  <c r="C17" i="12" s="1"/>
  <c r="AY51" i="3"/>
  <c r="AY34" i="3"/>
  <c r="AY111" i="3"/>
  <c r="AY196" i="3"/>
  <c r="AY470" i="3"/>
  <c r="AY358" i="3"/>
  <c r="AY569" i="3"/>
  <c r="AY45" i="3"/>
  <c r="AY138" i="3"/>
  <c r="AY263" i="3"/>
  <c r="AY381" i="3"/>
  <c r="AY24" i="3"/>
  <c r="AY259" i="3"/>
  <c r="AY349" i="3"/>
  <c r="AY488" i="3"/>
  <c r="AY414" i="3"/>
  <c r="AY585" i="3"/>
  <c r="BG6" i="3"/>
  <c r="AY163" i="3"/>
  <c r="AY444" i="3"/>
  <c r="AY311" i="3"/>
  <c r="BO6" i="3"/>
  <c r="AY25" i="3"/>
  <c r="AY271" i="3"/>
  <c r="AY365" i="3"/>
  <c r="AY150" i="3"/>
  <c r="AY340"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95" i="3"/>
  <c r="AY382" i="3"/>
  <c r="AY204" i="3"/>
  <c r="AY180" i="3"/>
  <c r="AY433" i="3"/>
  <c r="AY108" i="3"/>
  <c r="AY206" i="3"/>
  <c r="AY118" i="3"/>
  <c r="AY214" i="3"/>
  <c r="BJ6" i="3"/>
  <c r="AY177" i="3"/>
  <c r="AY388" i="3"/>
  <c r="AY332" i="3"/>
  <c r="AY457" i="3"/>
  <c r="AY581" i="3"/>
  <c r="AY571" i="3"/>
  <c r="AY98" i="3"/>
  <c r="AY334" i="3"/>
  <c r="AY269" i="3"/>
  <c r="AY404" i="3"/>
  <c r="AY53" i="3"/>
  <c r="AY157" i="3"/>
  <c r="AY254" i="3"/>
  <c r="AY57" i="3"/>
  <c r="AY226" i="3"/>
  <c r="AY46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30" i="3"/>
  <c r="AY537" i="3"/>
  <c r="AY431" i="3"/>
  <c r="AY304" i="3"/>
  <c r="AY235" i="3"/>
  <c r="AY32" i="3"/>
  <c r="BC6" i="3"/>
  <c r="AY459" i="3"/>
  <c r="AY354" i="3"/>
  <c r="AY256" i="3"/>
  <c r="AY159" i="3"/>
  <c r="AY38" i="3"/>
  <c r="AY587" i="3"/>
  <c r="AY405" i="3"/>
  <c r="AY314" i="3"/>
  <c r="AY264" i="3"/>
  <c r="AY187" i="3"/>
  <c r="BA6" i="3"/>
  <c r="AY502" i="3"/>
  <c r="AY423" i="3"/>
  <c r="AY484" i="3"/>
  <c r="AY345" i="3"/>
  <c r="AY282" i="3"/>
  <c r="AY37" i="3"/>
  <c r="AY514" i="3"/>
  <c r="AY503" i="3"/>
  <c r="AY215" i="3"/>
  <c r="AY368" i="3"/>
  <c r="AY141" i="3"/>
  <c r="AY539" i="3"/>
  <c r="AY229" i="3"/>
  <c r="AY292" i="3"/>
  <c r="AY556" i="3"/>
  <c r="AY422" i="3"/>
  <c r="AY186" i="3"/>
  <c r="AY126" i="3"/>
  <c r="AY574" i="3"/>
  <c r="AY486" i="3"/>
  <c r="AY546" i="3"/>
  <c r="AY430" i="3"/>
  <c r="AY377" i="3"/>
  <c r="AY104" i="3"/>
  <c r="AY294" i="3"/>
  <c r="AY77" i="3"/>
  <c r="AY228" i="3"/>
  <c r="AY303" i="3"/>
  <c r="AY87" i="3"/>
  <c r="AY559" i="3"/>
  <c r="AY308" i="3"/>
  <c r="BI6" i="3"/>
  <c r="AY178" i="3"/>
  <c r="AY447" i="3"/>
  <c r="AY75" i="3"/>
  <c r="BF6" i="3"/>
  <c r="AY472" i="3"/>
  <c r="AY274" i="3"/>
  <c r="AY554" i="3"/>
  <c r="AY149" i="3"/>
  <c r="AY541" i="3"/>
  <c r="AY409" i="3"/>
  <c r="AY253" i="3"/>
  <c r="AY400" i="3"/>
  <c r="AY351" i="3"/>
  <c r="AY293" i="3"/>
  <c r="AY54" i="3"/>
  <c r="AY547" i="3"/>
  <c r="AY485" i="3"/>
  <c r="AY248" i="3"/>
  <c r="AY172" i="3"/>
  <c r="AY493" i="3"/>
  <c r="AY515" i="3"/>
  <c r="AY415" i="3"/>
  <c r="AY476" i="3"/>
  <c r="AY337" i="3"/>
  <c r="AY267" i="3"/>
  <c r="AY21" i="3"/>
  <c r="AY15" i="3"/>
  <c r="AY322" i="3"/>
  <c r="AY272" i="3"/>
  <c r="AY195" i="3"/>
  <c r="AY576" i="3"/>
  <c r="AY440" i="3"/>
  <c r="AY383" i="3"/>
  <c r="AY140" i="3"/>
  <c r="AY563" i="3"/>
  <c r="AY564" i="3"/>
  <c r="AY461" i="3"/>
  <c r="AY352" i="3"/>
  <c r="AY122" i="3"/>
  <c r="AY504" i="3"/>
  <c r="AY429" i="3"/>
  <c r="AY306" i="3"/>
  <c r="AY213" i="3"/>
  <c r="AY277" i="3"/>
  <c r="AY179" i="3"/>
  <c r="AY86" i="3"/>
  <c r="AY560" i="3"/>
  <c r="AY424" i="3"/>
  <c r="AY376" i="3"/>
  <c r="AY127" i="3"/>
  <c r="AY78" i="3"/>
  <c r="BR6" i="3"/>
  <c r="AY499" i="3"/>
  <c r="AY442" i="3"/>
  <c r="AY328" i="3"/>
  <c r="AY223" i="3"/>
  <c r="AY169" i="3"/>
  <c r="AY96" i="3"/>
  <c r="AY552" i="3"/>
  <c r="AY483" i="3"/>
  <c r="AY181" i="3"/>
  <c r="AY270" i="3"/>
  <c r="AY52" i="3"/>
  <c r="AY436" i="3"/>
  <c r="AY455" i="3"/>
  <c r="AY81" i="3"/>
  <c r="AY527" i="3"/>
  <c r="AY393" i="3"/>
  <c r="AY389" i="3"/>
  <c r="AY68" i="3"/>
  <c r="AY390" i="3"/>
  <c r="AY171" i="3"/>
  <c r="BM6" i="3"/>
  <c r="AY316" i="3"/>
  <c r="AY290" i="3"/>
  <c r="AY392" i="3"/>
  <c r="AY201" i="3"/>
  <c r="BK6" i="3"/>
  <c r="AY363" i="3"/>
  <c r="AY152" i="3"/>
  <c r="AY452" i="3"/>
  <c r="AY395" i="3"/>
  <c r="AY106" i="3"/>
  <c r="AY318" i="3"/>
  <c r="AY123" i="3"/>
  <c r="AY67" i="3"/>
  <c r="AY236" i="3"/>
  <c r="AY281" i="3"/>
  <c r="AY124"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454" i="3"/>
  <c r="AY325" i="3"/>
  <c r="AY130" i="3"/>
  <c r="AY93" i="3"/>
  <c r="AY211" i="3"/>
  <c r="AY117" i="3"/>
  <c r="AY182" i="3"/>
  <c r="AY85" i="3"/>
  <c r="AY535" i="3"/>
  <c r="AY355" i="3"/>
  <c r="AY526" i="3"/>
  <c r="AY237" i="3"/>
  <c r="AY18" i="3"/>
  <c r="AY510" i="3"/>
  <c r="AY561" i="3"/>
  <c r="AY411" i="3"/>
  <c r="AY446" i="3"/>
  <c r="AY491" i="3"/>
  <c r="AY333" i="3"/>
  <c r="AY210" i="3"/>
  <c r="AY114" i="3"/>
  <c r="AY41" i="3"/>
  <c r="AY357" i="3"/>
  <c r="AY246" i="3"/>
  <c r="AY299" i="3"/>
  <c r="AY170" i="3"/>
  <c r="AY60" i="3"/>
  <c r="AY553" i="3"/>
  <c r="AY513" i="3"/>
  <c r="AY342" i="3"/>
  <c r="AY245" i="3"/>
  <c r="AY428" i="3"/>
  <c r="AY252" i="3"/>
  <c r="AY139" i="3"/>
  <c r="AY366" i="3"/>
  <c r="AY168" i="3"/>
  <c r="AY42" i="3"/>
  <c r="AY207" i="3"/>
  <c r="C29" i="68"/>
  <c r="D27" i="68" s="1"/>
  <c r="F45" i="68"/>
  <c r="E6" i="3"/>
  <c r="AB10" i="39"/>
  <c r="AC10" i="39"/>
  <c r="U10" i="40"/>
  <c r="W10" i="40"/>
  <c r="F25" i="12"/>
  <c r="C26" i="12" s="1"/>
  <c r="D25" i="12" s="1"/>
  <c r="C48" i="67"/>
  <c r="C60" i="67" s="1"/>
  <c r="AA10" i="40"/>
  <c r="F22" i="68"/>
  <c r="F41" i="68" s="1"/>
  <c r="D116" i="43"/>
  <c r="T36" i="71"/>
  <c r="D36" i="7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4" i="67"/>
  <c r="C17" i="15"/>
  <c r="C17" i="67"/>
  <c r="D10" i="69"/>
  <c r="C34" i="69"/>
  <c r="H21" i="6" l="1"/>
  <c r="H24" i="6"/>
  <c r="C66" i="67"/>
  <c r="C44" i="11"/>
  <c r="D41" i="11" s="1"/>
  <c r="C23" i="68"/>
  <c r="H22" i="6"/>
  <c r="C44" i="68"/>
  <c r="D41" i="68" s="1"/>
  <c r="H25" i="6"/>
  <c r="R25" i="6" s="1"/>
  <c r="R12" i="1"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C8" i="71" l="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19" i="9"/>
  <c r="AO6" i="1"/>
  <c r="AO8" i="1"/>
  <c r="AO7" i="1"/>
  <c r="AO11" i="1"/>
  <c r="AO10" i="1"/>
  <c r="AO9" i="1"/>
  <c r="D102" i="9" l="1"/>
  <c r="D21" i="9"/>
  <c r="D22" i="9"/>
  <c r="G19" i="9"/>
  <c r="G21" i="9" s="1"/>
  <c r="B3" i="36"/>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S24" i="31" s="1"/>
  <c r="D6" i="71"/>
  <c r="C5" i="71"/>
  <c r="D5" i="71" s="1"/>
  <c r="M24" i="43" s="1"/>
  <c r="C42" i="40"/>
  <c r="C43" i="40"/>
  <c r="E47" i="40"/>
  <c r="F47" i="40" s="1"/>
  <c r="E46" i="40"/>
  <c r="F46" i="40" s="1"/>
  <c r="I47" i="40"/>
  <c r="J47" i="40" s="1"/>
  <c r="M3" i="80" l="1"/>
  <c r="N3" i="80" s="1"/>
  <c r="R116" i="31"/>
  <c r="S116" i="31" s="1"/>
  <c r="R100" i="31"/>
  <c r="S100" i="31" s="1"/>
  <c r="R84" i="31"/>
  <c r="S84" i="31" s="1"/>
  <c r="R68" i="31"/>
  <c r="S68" i="31" s="1"/>
  <c r="R52" i="31"/>
  <c r="S52" i="31" s="1"/>
  <c r="R36" i="31"/>
  <c r="S36"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28" i="31"/>
  <c r="S28" i="31" s="1"/>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78" i="31"/>
  <c r="S278"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85" i="31"/>
  <c r="S285"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112" i="31"/>
  <c r="S112" i="31" s="1"/>
  <c r="R96" i="31"/>
  <c r="S96" i="31" s="1"/>
  <c r="R80" i="31"/>
  <c r="S80" i="31" s="1"/>
  <c r="R64" i="31"/>
  <c r="S64" i="31" s="1"/>
  <c r="R48" i="31"/>
  <c r="S48" i="31" s="1"/>
  <c r="R32" i="31"/>
  <c r="S32"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283" i="31"/>
  <c r="S283"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74" i="31"/>
  <c r="S274"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81" i="31"/>
  <c r="S281"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34" i="31"/>
  <c r="S234" i="31" s="1"/>
  <c r="R108" i="31"/>
  <c r="S108" i="31" s="1"/>
  <c r="R92" i="31"/>
  <c r="S92" i="31" s="1"/>
  <c r="R76" i="31"/>
  <c r="S76" i="31" s="1"/>
  <c r="R60" i="31"/>
  <c r="S60" i="31" s="1"/>
  <c r="R44" i="31"/>
  <c r="S44"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279" i="31"/>
  <c r="S279"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86" i="31"/>
  <c r="S286"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77" i="31"/>
  <c r="S277"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18" i="31"/>
  <c r="S218" i="31" s="1"/>
  <c r="R104" i="31"/>
  <c r="S104" i="31" s="1"/>
  <c r="R88" i="31"/>
  <c r="S88" i="31" s="1"/>
  <c r="R72" i="31"/>
  <c r="S72" i="31" s="1"/>
  <c r="R56" i="31"/>
  <c r="S56" i="31" s="1"/>
  <c r="R40" i="31"/>
  <c r="S40"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275" i="31"/>
  <c r="S275"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82" i="31"/>
  <c r="S282" i="31" s="1"/>
  <c r="R266" i="31"/>
  <c r="S266" i="31" s="1"/>
  <c r="R250" i="31"/>
  <c r="S250"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73" i="31"/>
  <c r="S273"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B58" i="40"/>
  <c r="F58" i="40" s="1"/>
  <c r="B54" i="40"/>
  <c r="F54" i="40" s="1"/>
  <c r="B53" i="40"/>
  <c r="F53" i="40" s="1"/>
  <c r="B59" i="40"/>
  <c r="F59" i="40" s="1"/>
  <c r="B52" i="40"/>
  <c r="F52" i="40" s="1"/>
  <c r="B56" i="40"/>
  <c r="F56" i="40" s="1"/>
  <c r="B60" i="40"/>
  <c r="F60" i="40" s="1"/>
  <c r="B57" i="40"/>
  <c r="F57" i="40" s="1"/>
  <c r="B51" i="40"/>
  <c r="F51" i="40" s="1"/>
  <c r="F61" i="40"/>
  <c r="B2" i="40" s="1"/>
  <c r="B3" i="40" s="1"/>
  <c r="M188" i="80" l="1"/>
  <c r="N188" i="80" s="1"/>
  <c r="M117" i="80"/>
  <c r="N117" i="80" s="1"/>
  <c r="M78" i="80"/>
  <c r="N78" i="80" s="1"/>
  <c r="M206" i="80"/>
  <c r="N206" i="80" s="1"/>
  <c r="M35" i="80"/>
  <c r="N35" i="80" s="1"/>
  <c r="M128" i="80"/>
  <c r="N128" i="80" s="1"/>
  <c r="M57" i="80"/>
  <c r="N57" i="80" s="1"/>
  <c r="M185" i="80"/>
  <c r="N185" i="80" s="1"/>
  <c r="M114" i="80"/>
  <c r="N114" i="80" s="1"/>
  <c r="M135" i="80"/>
  <c r="N135" i="80" s="1"/>
  <c r="M71" i="80"/>
  <c r="N71" i="80" s="1"/>
  <c r="M212" i="80"/>
  <c r="N212" i="80" s="1"/>
  <c r="M77" i="80"/>
  <c r="N77" i="80" s="1"/>
  <c r="M6" i="80"/>
  <c r="N6" i="80" s="1"/>
  <c r="M198" i="80"/>
  <c r="N198" i="80" s="1"/>
  <c r="M262" i="80"/>
  <c r="N262" i="80" s="1"/>
  <c r="M27" i="80"/>
  <c r="N27" i="80" s="1"/>
  <c r="M120" i="80"/>
  <c r="N120" i="80" s="1"/>
  <c r="M49" i="80"/>
  <c r="N49" i="80" s="1"/>
  <c r="M241" i="80"/>
  <c r="N241" i="80" s="1"/>
  <c r="M170" i="80"/>
  <c r="N170" i="80" s="1"/>
  <c r="M234" i="80"/>
  <c r="N234" i="80" s="1"/>
  <c r="M127" i="80"/>
  <c r="N127" i="80" s="1"/>
  <c r="M255" i="80"/>
  <c r="N255" i="80" s="1"/>
  <c r="M76" i="80"/>
  <c r="N76" i="80" s="1"/>
  <c r="M140" i="80"/>
  <c r="N140" i="80" s="1"/>
  <c r="M204" i="80"/>
  <c r="N204" i="80" s="1"/>
  <c r="M69" i="80"/>
  <c r="N69" i="80" s="1"/>
  <c r="M133" i="80"/>
  <c r="N133" i="80" s="1"/>
  <c r="M229" i="80"/>
  <c r="N229" i="80" s="1"/>
  <c r="M30" i="80"/>
  <c r="N30" i="80" s="1"/>
  <c r="M94" i="80"/>
  <c r="N94" i="80" s="1"/>
  <c r="M158" i="80"/>
  <c r="N158" i="80" s="1"/>
  <c r="M222" i="80"/>
  <c r="N222" i="80" s="1"/>
  <c r="M115" i="80"/>
  <c r="N115" i="80" s="1"/>
  <c r="M179" i="80"/>
  <c r="N179" i="80" s="1"/>
  <c r="M243" i="80"/>
  <c r="N243" i="80" s="1"/>
  <c r="M51" i="80"/>
  <c r="N51" i="80" s="1"/>
  <c r="M16" i="80"/>
  <c r="N16" i="80" s="1"/>
  <c r="M80" i="80"/>
  <c r="N80" i="80" s="1"/>
  <c r="M144" i="80"/>
  <c r="N144" i="80" s="1"/>
  <c r="M208" i="80"/>
  <c r="N208" i="80" s="1"/>
  <c r="M9" i="80"/>
  <c r="N9" i="80" s="1"/>
  <c r="M73" i="80"/>
  <c r="N73" i="80" s="1"/>
  <c r="M137" i="80"/>
  <c r="N137" i="80" s="1"/>
  <c r="M201" i="80"/>
  <c r="N201" i="80" s="1"/>
  <c r="M265" i="80"/>
  <c r="N265" i="80" s="1"/>
  <c r="M66" i="80"/>
  <c r="N66" i="80" s="1"/>
  <c r="M130" i="80"/>
  <c r="N130" i="80" s="1"/>
  <c r="M194" i="80"/>
  <c r="N194" i="80" s="1"/>
  <c r="M258" i="80"/>
  <c r="N258" i="80" s="1"/>
  <c r="M151" i="80"/>
  <c r="N151" i="80" s="1"/>
  <c r="M215" i="80"/>
  <c r="N215" i="80" s="1"/>
  <c r="M23" i="80"/>
  <c r="N23" i="80" s="1"/>
  <c r="M87" i="80"/>
  <c r="N87" i="80" s="1"/>
  <c r="M36" i="80"/>
  <c r="N36" i="80" s="1"/>
  <c r="M100" i="80"/>
  <c r="N100" i="80" s="1"/>
  <c r="M164" i="80"/>
  <c r="N164" i="80" s="1"/>
  <c r="M228" i="80"/>
  <c r="N228" i="80" s="1"/>
  <c r="M29" i="80"/>
  <c r="N29" i="80" s="1"/>
  <c r="M93" i="80"/>
  <c r="N93" i="80" s="1"/>
  <c r="M157" i="80"/>
  <c r="N157" i="80" s="1"/>
  <c r="M221" i="80"/>
  <c r="N221" i="80" s="1"/>
  <c r="M22" i="80"/>
  <c r="N22" i="80" s="1"/>
  <c r="M86" i="80"/>
  <c r="N86" i="80" s="1"/>
  <c r="M150" i="80"/>
  <c r="N150" i="80" s="1"/>
  <c r="M214" i="80"/>
  <c r="N214" i="80" s="1"/>
  <c r="M107" i="80"/>
  <c r="N107" i="80" s="1"/>
  <c r="M171" i="80"/>
  <c r="N171" i="80" s="1"/>
  <c r="M235" i="80"/>
  <c r="N235" i="80" s="1"/>
  <c r="M43" i="80"/>
  <c r="N43" i="80" s="1"/>
  <c r="M8" i="80"/>
  <c r="N8" i="80" s="1"/>
  <c r="M72" i="80"/>
  <c r="N72" i="80" s="1"/>
  <c r="M136" i="80"/>
  <c r="N136" i="80" s="1"/>
  <c r="M200" i="80"/>
  <c r="N200" i="80" s="1"/>
  <c r="M264" i="80"/>
  <c r="N264" i="80" s="1"/>
  <c r="M65" i="80"/>
  <c r="N65" i="80" s="1"/>
  <c r="M129" i="80"/>
  <c r="N129" i="80" s="1"/>
  <c r="M193" i="80"/>
  <c r="N193" i="80" s="1"/>
  <c r="M257" i="80"/>
  <c r="N257" i="80" s="1"/>
  <c r="M58" i="80"/>
  <c r="N58" i="80" s="1"/>
  <c r="M122" i="80"/>
  <c r="N122" i="80" s="1"/>
  <c r="M186" i="80"/>
  <c r="N186" i="80" s="1"/>
  <c r="M250" i="80"/>
  <c r="N250" i="80" s="1"/>
  <c r="M143" i="80"/>
  <c r="N143" i="80" s="1"/>
  <c r="M207" i="80"/>
  <c r="N207" i="80" s="1"/>
  <c r="M15" i="80"/>
  <c r="N15" i="80" s="1"/>
  <c r="M79" i="80"/>
  <c r="N79" i="80" s="1"/>
  <c r="M124" i="80"/>
  <c r="N124" i="80" s="1"/>
  <c r="M53" i="80"/>
  <c r="N53" i="80" s="1"/>
  <c r="M14" i="80"/>
  <c r="N14" i="80" s="1"/>
  <c r="M99" i="80"/>
  <c r="N99" i="80" s="1"/>
  <c r="M227" i="80"/>
  <c r="N227" i="80" s="1"/>
  <c r="M64" i="80"/>
  <c r="N64" i="80" s="1"/>
  <c r="M256" i="80"/>
  <c r="N256" i="80" s="1"/>
  <c r="M249" i="80"/>
  <c r="N249" i="80" s="1"/>
  <c r="M178" i="80"/>
  <c r="N178" i="80" s="1"/>
  <c r="M199" i="80"/>
  <c r="N199" i="80" s="1"/>
  <c r="M84" i="80"/>
  <c r="N84" i="80" s="1"/>
  <c r="M13" i="80"/>
  <c r="N13" i="80" s="1"/>
  <c r="M205" i="80"/>
  <c r="N205" i="80" s="1"/>
  <c r="M134" i="80"/>
  <c r="N134" i="80" s="1"/>
  <c r="M219" i="80"/>
  <c r="N219" i="80" s="1"/>
  <c r="M91" i="80"/>
  <c r="N91" i="80" s="1"/>
  <c r="M184" i="80"/>
  <c r="N184" i="80" s="1"/>
  <c r="M177" i="80"/>
  <c r="N177" i="80" s="1"/>
  <c r="M106" i="80"/>
  <c r="N106" i="80" s="1"/>
  <c r="M191" i="80"/>
  <c r="N191" i="80" s="1"/>
  <c r="M12" i="80"/>
  <c r="N12" i="80" s="1"/>
  <c r="M28" i="80"/>
  <c r="N28" i="80" s="1"/>
  <c r="M92" i="80"/>
  <c r="N92" i="80" s="1"/>
  <c r="M156" i="80"/>
  <c r="N156" i="80" s="1"/>
  <c r="M220" i="80"/>
  <c r="N220" i="80" s="1"/>
  <c r="M21" i="80"/>
  <c r="N21" i="80" s="1"/>
  <c r="M85" i="80"/>
  <c r="N85" i="80" s="1"/>
  <c r="M149" i="80"/>
  <c r="N149" i="80" s="1"/>
  <c r="M245" i="80"/>
  <c r="N245" i="80" s="1"/>
  <c r="M46" i="80"/>
  <c r="N46" i="80" s="1"/>
  <c r="M110" i="80"/>
  <c r="N110" i="80" s="1"/>
  <c r="M174" i="80"/>
  <c r="N174" i="80" s="1"/>
  <c r="M238" i="80"/>
  <c r="N238" i="80" s="1"/>
  <c r="M131" i="80"/>
  <c r="N131" i="80" s="1"/>
  <c r="M195" i="80"/>
  <c r="N195" i="80" s="1"/>
  <c r="M259" i="80"/>
  <c r="N259" i="80" s="1"/>
  <c r="M67" i="80"/>
  <c r="N67" i="80" s="1"/>
  <c r="M32" i="80"/>
  <c r="N32" i="80" s="1"/>
  <c r="M96" i="80"/>
  <c r="N96" i="80" s="1"/>
  <c r="M160" i="80"/>
  <c r="N160" i="80" s="1"/>
  <c r="M224" i="80"/>
  <c r="N224" i="80" s="1"/>
  <c r="M25" i="80"/>
  <c r="N25" i="80" s="1"/>
  <c r="M89" i="80"/>
  <c r="N89" i="80" s="1"/>
  <c r="M153" i="80"/>
  <c r="N153" i="80" s="1"/>
  <c r="M217" i="80"/>
  <c r="N217" i="80" s="1"/>
  <c r="M18" i="80"/>
  <c r="N18" i="80" s="1"/>
  <c r="M82" i="80"/>
  <c r="N82" i="80" s="1"/>
  <c r="M146" i="80"/>
  <c r="N146" i="80" s="1"/>
  <c r="M210" i="80"/>
  <c r="N210" i="80" s="1"/>
  <c r="M103" i="80"/>
  <c r="N103" i="80" s="1"/>
  <c r="M167" i="80"/>
  <c r="N167" i="80" s="1"/>
  <c r="M231" i="80"/>
  <c r="N231" i="80" s="1"/>
  <c r="M39" i="80"/>
  <c r="N39" i="80" s="1"/>
  <c r="M213" i="80"/>
  <c r="N213" i="80" s="1"/>
  <c r="M52" i="80"/>
  <c r="N52" i="80" s="1"/>
  <c r="M116" i="80"/>
  <c r="N116" i="80" s="1"/>
  <c r="M180" i="80"/>
  <c r="N180" i="80" s="1"/>
  <c r="M244" i="80"/>
  <c r="N244" i="80" s="1"/>
  <c r="M45" i="80"/>
  <c r="N45" i="80" s="1"/>
  <c r="M109" i="80"/>
  <c r="N109" i="80" s="1"/>
  <c r="M173" i="80"/>
  <c r="N173" i="80" s="1"/>
  <c r="M237" i="80"/>
  <c r="N237" i="80" s="1"/>
  <c r="M38" i="80"/>
  <c r="N38" i="80" s="1"/>
  <c r="M102" i="80"/>
  <c r="N102" i="80" s="1"/>
  <c r="M166" i="80"/>
  <c r="N166" i="80" s="1"/>
  <c r="M230" i="80"/>
  <c r="N230" i="80" s="1"/>
  <c r="M123" i="80"/>
  <c r="N123" i="80" s="1"/>
  <c r="M187" i="80"/>
  <c r="N187" i="80" s="1"/>
  <c r="M251" i="80"/>
  <c r="N251" i="80" s="1"/>
  <c r="M59" i="80"/>
  <c r="N59" i="80" s="1"/>
  <c r="M24" i="80"/>
  <c r="N24" i="80" s="1"/>
  <c r="M88" i="80"/>
  <c r="N88" i="80" s="1"/>
  <c r="M152" i="80"/>
  <c r="N152" i="80" s="1"/>
  <c r="M216" i="80"/>
  <c r="N216" i="80" s="1"/>
  <c r="M17" i="80"/>
  <c r="N17" i="80" s="1"/>
  <c r="M81" i="80"/>
  <c r="N81" i="80" s="1"/>
  <c r="M145" i="80"/>
  <c r="N145" i="80" s="1"/>
  <c r="M209" i="80"/>
  <c r="N209" i="80" s="1"/>
  <c r="M10" i="80"/>
  <c r="N10" i="80" s="1"/>
  <c r="M74" i="80"/>
  <c r="N74" i="80" s="1"/>
  <c r="M138" i="80"/>
  <c r="N138" i="80" s="1"/>
  <c r="M202" i="80"/>
  <c r="N202" i="80" s="1"/>
  <c r="M7" i="80"/>
  <c r="N7" i="80" s="1"/>
  <c r="M159" i="80"/>
  <c r="N159" i="80" s="1"/>
  <c r="M223" i="80"/>
  <c r="N223" i="80" s="1"/>
  <c r="M31" i="80"/>
  <c r="N31" i="80" s="1"/>
  <c r="M95" i="80"/>
  <c r="N95" i="80" s="1"/>
  <c r="M60" i="80"/>
  <c r="N60" i="80" s="1"/>
  <c r="M252" i="80"/>
  <c r="N252" i="80" s="1"/>
  <c r="M181" i="80"/>
  <c r="N181" i="80" s="1"/>
  <c r="M142" i="80"/>
  <c r="N142" i="80" s="1"/>
  <c r="M163" i="80"/>
  <c r="N163" i="80" s="1"/>
  <c r="M197" i="80"/>
  <c r="N197" i="80" s="1"/>
  <c r="M192" i="80"/>
  <c r="N192" i="80" s="1"/>
  <c r="M121" i="80"/>
  <c r="N121" i="80" s="1"/>
  <c r="M50" i="80"/>
  <c r="N50" i="80" s="1"/>
  <c r="M242" i="80"/>
  <c r="N242" i="80" s="1"/>
  <c r="M263" i="80"/>
  <c r="N263" i="80" s="1"/>
  <c r="M20" i="80"/>
  <c r="N20" i="80" s="1"/>
  <c r="M148" i="80"/>
  <c r="N148" i="80" s="1"/>
  <c r="M141" i="80"/>
  <c r="N141" i="80" s="1"/>
  <c r="M70" i="80"/>
  <c r="N70" i="80" s="1"/>
  <c r="M155" i="80"/>
  <c r="N155" i="80" s="1"/>
  <c r="M56" i="80"/>
  <c r="N56" i="80" s="1"/>
  <c r="M248" i="80"/>
  <c r="N248" i="80" s="1"/>
  <c r="M113" i="80"/>
  <c r="N113" i="80" s="1"/>
  <c r="M42" i="80"/>
  <c r="N42" i="80" s="1"/>
  <c r="M63" i="80"/>
  <c r="N63" i="80" s="1"/>
  <c r="M44" i="80"/>
  <c r="N44" i="80" s="1"/>
  <c r="M108" i="80"/>
  <c r="N108" i="80" s="1"/>
  <c r="M172" i="80"/>
  <c r="N172" i="80" s="1"/>
  <c r="M236" i="80"/>
  <c r="N236" i="80" s="1"/>
  <c r="M37" i="80"/>
  <c r="N37" i="80" s="1"/>
  <c r="M101" i="80"/>
  <c r="N101" i="80" s="1"/>
  <c r="M165" i="80"/>
  <c r="N165" i="80" s="1"/>
  <c r="M261" i="80"/>
  <c r="N261" i="80" s="1"/>
  <c r="M62" i="80"/>
  <c r="N62" i="80" s="1"/>
  <c r="M126" i="80"/>
  <c r="N126" i="80" s="1"/>
  <c r="M190" i="80"/>
  <c r="N190" i="80" s="1"/>
  <c r="M254" i="80"/>
  <c r="N254" i="80" s="1"/>
  <c r="M147" i="80"/>
  <c r="N147" i="80" s="1"/>
  <c r="M211" i="80"/>
  <c r="N211" i="80" s="1"/>
  <c r="M19" i="80"/>
  <c r="N19" i="80" s="1"/>
  <c r="M83" i="80"/>
  <c r="N83" i="80" s="1"/>
  <c r="M48" i="80"/>
  <c r="N48" i="80" s="1"/>
  <c r="M112" i="80"/>
  <c r="N112" i="80" s="1"/>
  <c r="M176" i="80"/>
  <c r="N176" i="80" s="1"/>
  <c r="M240" i="80"/>
  <c r="N240" i="80" s="1"/>
  <c r="M41" i="80"/>
  <c r="N41" i="80" s="1"/>
  <c r="M105" i="80"/>
  <c r="N105" i="80" s="1"/>
  <c r="M169" i="80"/>
  <c r="N169" i="80" s="1"/>
  <c r="M233" i="80"/>
  <c r="N233" i="80" s="1"/>
  <c r="M34" i="80"/>
  <c r="N34" i="80" s="1"/>
  <c r="M98" i="80"/>
  <c r="N98" i="80" s="1"/>
  <c r="M162" i="80"/>
  <c r="N162" i="80" s="1"/>
  <c r="M226" i="80"/>
  <c r="N226" i="80" s="1"/>
  <c r="M119" i="80"/>
  <c r="N119" i="80" s="1"/>
  <c r="M183" i="80"/>
  <c r="N183" i="80" s="1"/>
  <c r="M247" i="80"/>
  <c r="N247" i="80" s="1"/>
  <c r="M55" i="80"/>
  <c r="N55" i="80" s="1"/>
  <c r="M68" i="80"/>
  <c r="N68" i="80" s="1"/>
  <c r="M132" i="80"/>
  <c r="N132" i="80" s="1"/>
  <c r="M196" i="80"/>
  <c r="N196" i="80" s="1"/>
  <c r="M260" i="80"/>
  <c r="N260" i="80" s="1"/>
  <c r="M61" i="80"/>
  <c r="N61" i="80" s="1"/>
  <c r="M125" i="80"/>
  <c r="N125" i="80" s="1"/>
  <c r="M189" i="80"/>
  <c r="N189" i="80" s="1"/>
  <c r="M253" i="80"/>
  <c r="N253" i="80" s="1"/>
  <c r="M54" i="80"/>
  <c r="N54" i="80" s="1"/>
  <c r="M118" i="80"/>
  <c r="N118" i="80" s="1"/>
  <c r="M182" i="80"/>
  <c r="N182" i="80" s="1"/>
  <c r="M246" i="80"/>
  <c r="N246" i="80" s="1"/>
  <c r="M139" i="80"/>
  <c r="N139" i="80" s="1"/>
  <c r="M203" i="80"/>
  <c r="N203" i="80" s="1"/>
  <c r="M11" i="80"/>
  <c r="N11" i="80" s="1"/>
  <c r="M75" i="80"/>
  <c r="N75" i="80" s="1"/>
  <c r="M40" i="80"/>
  <c r="N40" i="80" s="1"/>
  <c r="M104" i="80"/>
  <c r="N104" i="80" s="1"/>
  <c r="M168" i="80"/>
  <c r="N168" i="80" s="1"/>
  <c r="M232" i="80"/>
  <c r="N232" i="80" s="1"/>
  <c r="M33" i="80"/>
  <c r="N33" i="80" s="1"/>
  <c r="M97" i="80"/>
  <c r="N97" i="80" s="1"/>
  <c r="M161" i="80"/>
  <c r="N161" i="80" s="1"/>
  <c r="M225" i="80"/>
  <c r="N225" i="80" s="1"/>
  <c r="M26" i="80"/>
  <c r="N26" i="80" s="1"/>
  <c r="M90" i="80"/>
  <c r="N90" i="80" s="1"/>
  <c r="M154" i="80"/>
  <c r="N154" i="80" s="1"/>
  <c r="M218" i="80"/>
  <c r="N218" i="80" s="1"/>
  <c r="M111" i="80"/>
  <c r="N111" i="80" s="1"/>
  <c r="M175" i="80"/>
  <c r="N175" i="80" s="1"/>
  <c r="M239" i="80"/>
  <c r="N239" i="80" s="1"/>
  <c r="M47" i="80"/>
  <c r="N47" i="80" s="1"/>
  <c r="M5" i="80"/>
  <c r="N5" i="80" s="1"/>
  <c r="M4" i="80"/>
  <c r="N4" i="80" s="1"/>
  <c r="N266" i="80" l="1"/>
  <c r="S22" i="31"/>
  <c r="R22" i="31" s="1"/>
  <c r="B6" i="74"/>
  <c r="D6" i="74" s="1"/>
  <c r="B20" i="31" l="1"/>
  <c r="B21" i="31" s="1"/>
  <c r="D14" i="74" l="1"/>
  <c r="B5" i="74" s="1"/>
  <c r="F14" i="74" l="1"/>
  <c r="E14" i="74"/>
  <c r="D5" i="74"/>
  <c r="H4" i="52"/>
  <c r="C104" i="9"/>
  <c r="N58" i="9"/>
  <c r="P57" i="9"/>
  <c r="D53" i="9"/>
  <c r="D52" i="9"/>
  <c r="C78" i="9"/>
  <c r="C73" i="9"/>
  <c r="E81" i="9"/>
  <c r="M55" i="9"/>
  <c r="B22" i="72"/>
  <c r="D8" i="52"/>
  <c r="C5" i="74"/>
  <c r="D123" i="9"/>
  <c r="D9" i="52"/>
  <c r="M48" i="9"/>
  <c r="E97" i="9"/>
  <c r="D54" i="9"/>
  <c r="C105" i="9"/>
  <c r="I4" i="52"/>
  <c r="D56" i="9"/>
  <c r="M54" i="9"/>
  <c r="B30" i="72"/>
  <c r="C6" i="74"/>
  <c r="D122" i="9"/>
  <c r="H119" i="9"/>
  <c r="H5" i="52"/>
  <c r="N61" i="9"/>
  <c r="N59" i="9"/>
  <c r="N60" i="9"/>
  <c r="G4" i="52"/>
  <c r="B52" i="72"/>
  <c r="D4" i="52"/>
  <c r="B47" i="72"/>
  <c r="D55" i="9"/>
  <c r="M53" i="9"/>
  <c r="N57" i="9"/>
  <c r="C81" i="9"/>
  <c r="B20" i="72"/>
  <c r="D5" i="53"/>
  <c r="D6" i="53"/>
  <c r="C93" i="9"/>
  <c r="C86" i="9"/>
  <c r="F4" i="52"/>
  <c r="B51" i="72"/>
  <c r="D118" i="9"/>
  <c r="D119" i="9"/>
  <c r="D5" i="52"/>
  <c r="B49" i="72"/>
  <c r="E118" i="9"/>
  <c r="E4" i="52"/>
  <c r="B48" i="72"/>
  <c r="D59" i="9"/>
  <c r="C64" i="9"/>
  <c r="C63" i="9"/>
  <c r="C67" i="9"/>
  <c r="C68" i="9"/>
  <c r="C80" i="9"/>
  <c r="E80" i="9"/>
  <c r="C72" i="9"/>
  <c r="C79" i="9"/>
  <c r="H108" i="9"/>
  <c r="D15" i="53"/>
  <c r="B31" i="72"/>
  <c r="C97" i="9"/>
  <c r="D58" i="9"/>
  <c r="G118" i="9"/>
  <c r="F118" i="9"/>
  <c r="F119" i="9"/>
  <c r="F5" i="52"/>
  <c r="B53" i="72"/>
  <c r="H107" i="9"/>
  <c r="D13" i="53"/>
  <c r="D14" i="53"/>
  <c r="B32" i="72"/>
  <c r="H102" i="9"/>
  <c r="D7" i="53"/>
  <c r="B21" i="7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<sst xmlns="http://schemas.openxmlformats.org/spreadsheetml/2006/main" count="12977" uniqueCount="4556">
  <si>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</si>
  <si>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</si>
  <si>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</si>
  <si>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</si>
  <si>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</si>
  <si>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</si>
  <si>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</si>
  <si>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</si>
  <si>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</si>
  <si>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</si>
  <si>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</si>
  <si>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</si>
  <si>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</si>
  <si>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</si>
  <si>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</si>
  <si>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</si>
  <si>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</si>
  <si>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</si>
  <si>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</si>
  <si>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</si>
  <si>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</si>
  <si>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</si>
  <si>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</si>
  <si>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</si>
  <si>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</si>
  <si>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</si>
  <si>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</si>
  <si>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</si>
  <si>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</si>
  <si>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</si>
  <si>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</si>
  <si>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</si>
  <si>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</si>
  <si>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</si>
  <si>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</si>
  <si>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</si>
  <si>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</si>
  <si>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</si>
  <si>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</si>
  <si>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</si>
  <si>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</si>
  <si>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</si>
  <si>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</si>
  <si>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</si>
  <si>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</si>
  <si>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</si>
  <si>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</si>
  <si>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</si>
  <si>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</si>
  <si>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</si>
  <si>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</si>
  <si>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</si>
  <si>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</si>
  <si>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</si>
  <si>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</si>
  <si>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</si>
  <si>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</si>
  <si>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</si>
  <si>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</si>
  <si>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</si>
  <si>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</si>
  <si>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</si>
  <si>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</si>
  <si>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</si>
  <si>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</si>
  <si>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</si>
  <si>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</si>
  <si>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</si>
  <si>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</si>
  <si>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</si>
  <si>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</si>
  <si>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</si>
  <si>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</si>
  <si>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</si>
  <si>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</si>
  <si>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</si>
  <si>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</si>
  <si>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</si>
  <si>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</si>
  <si>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</si>
  <si>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</si>
  <si>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</si>
  <si>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</si>
  <si>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</si>
  <si>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</si>
  <si>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</si>
  <si>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</si>
  <si>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</si>
  <si>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</si>
  <si>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</si>
  <si>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</si>
  <si>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</si>
  <si>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</si>
  <si>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</si>
  <si>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</si>
  <si>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</si>
  <si>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</si>
  <si>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</si>
  <si>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</si>
  <si>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</si>
  <si>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</si>
  <si>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</si>
  <si>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</si>
  <si>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</si>
  <si>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</si>
  <si>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</si>
  <si>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</si>
  <si>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</si>
  <si>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</si>
  <si>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</si>
  <si>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</si>
  <si>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</si>
  <si>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</si>
  <si>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</si>
  <si>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</si>
  <si>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</si>
  <si>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</si>
  <si>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</si>
  <si>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</si>
  <si>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</si>
  <si>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</si>
  <si>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</si>
  <si>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</si>
  <si>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</si>
  <si>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</si>
  <si>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</si>
  <si>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</si>
  <si>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</si>
  <si>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</si>
  <si>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</si>
  <si>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</si>
  <si>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</si>
  <si>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</si>
  <si>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</si>
  <si>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</si>
  <si>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</si>
  <si>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</si>
  <si>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</si>
  <si>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</si>
  <si>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</si>
  <si>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</si>
  <si>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</si>
  <si>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</si>
  <si>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</si>
  <si>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</si>
  <si>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</si>
  <si>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</si>
  <si>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</si>
  <si>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</si>
  <si>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</si>
  <si>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</si>
  <si>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</si>
  <si>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</si>
  <si>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</si>
  <si>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</si>
  <si>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</si>
  <si>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</si>
  <si>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</si>
  <si>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</si>
  <si>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</si>
  <si>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</si>
  <si>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</si>
  <si>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</si>
  <si>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</si>
  <si>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</si>
  <si>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</si>
  <si>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</si>
  <si>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</si>
  <si>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</si>
  <si>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</si>
  <si>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</si>
  <si>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</si>
  <si>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</si>
  <si>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</si>
  <si>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</si>
  <si>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</si>
  <si>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</si>
  <si>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</si>
  <si>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</si>
  <si>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</si>
  <si>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</si>
  <si>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</si>
  <si>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</si>
  <si>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</si>
  <si>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</si>
  <si>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</si>
  <si>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</si>
  <si>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</si>
  <si>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</si>
  <si>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</si>
  <si>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</si>
  <si>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</si>
  <si>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</si>
  <si>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</si>
  <si>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</si>
  <si>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</si>
  <si>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</si>
  <si>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</si>
  <si>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</si>
  <si>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</si>
  <si>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</si>
  <si>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</si>
  <si>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</si>
  <si>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</si>
  <si>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</si>
  <si>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</si>
  <si>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</si>
  <si>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</si>
  <si>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</si>
  <si>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</si>
  <si>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</si>
  <si>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</si>
  <si>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</si>
  <si>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</si>
  <si>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</si>
  <si>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</si>
  <si>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</si>
  <si>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</si>
  <si>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</si>
  <si>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</si>
  <si>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</si>
  <si>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</si>
  <si>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</si>
  <si>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</si>
  <si>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</si>
  <si>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</si>
  <si>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</si>
  <si>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</si>
  <si>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</si>
  <si>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</si>
  <si>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</si>
  <si>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</si>
  <si>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</si>
  <si>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</si>
  <si>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</si>
  <si>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</si>
  <si>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</si>
  <si>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</si>
  <si>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</si>
  <si>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</si>
  <si>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</si>
  <si>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</si>
  <si>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</si>
  <si>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</si>
  <si>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</si>
  <si>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</si>
  <si>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</si>
  <si>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</si>
  <si>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</si>
  <si>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</si>
  <si>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</si>
  <si>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</si>
  <si>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</si>
  <si>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</si>
  <si>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</si>
  <si>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</si>
  <si>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</si>
  <si>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</si>
  <si>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</si>
  <si>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</si>
  <si>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</si>
  <si>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</si>
  <si>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</si>
  <si>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</si>
  <si>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</si>
  <si>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</si>
  <si>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</si>
  <si>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</si>
  <si>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</si>
  <si>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</si>
  <si>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</si>
  <si>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</si>
  <si>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</si>
  <si>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</si>
  <si>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</si>
  <si>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</si>
  <si>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</si>
  <si>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</si>
  <si>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</si>
  <si>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</si>
  <si>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</si>
  <si>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</si>
  <si>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</si>
  <si>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</si>
  <si>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</si>
  <si>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</si>
  <si>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</si>
  <si>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</si>
  <si>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</si>
  <si>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</si>
  <si>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</si>
  <si>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</si>
  <si>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</si>
  <si>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</si>
  <si>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</si>
  <si>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</si>
  <si>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</si>
  <si>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</si>
  <si>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</si>
  <si>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</si>
  <si>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</si>
  <si>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</si>
  <si>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</si>
  <si>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</si>
  <si>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</si>
  <si>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</si>
  <si>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</si>
  <si>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</si>
  <si>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</si>
  <si>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</si>
  <si>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</si>
  <si>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</si>
  <si>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</si>
  <si>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</si>
  <si>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</si>
  <si>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</si>
  <si>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</si>
  <si>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</si>
  <si>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</si>
  <si>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</si>
  <si>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</si>
  <si>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</si>
  <si>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</si>
  <si>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</si>
  <si>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</si>
  <si>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</si>
  <si>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</si>
  <si>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</si>
  <si>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</si>
  <si>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</si>
  <si>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</si>
  <si>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</si>
  <si>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</si>
  <si>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</si>
  <si>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</si>
  <si>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</si>
  <si>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</si>
  <si>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</si>
  <si>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</si>
  <si>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</si>
  <si>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</si>
  <si>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</si>
  <si>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</si>
  <si>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</si>
  <si>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</si>
  <si>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</si>
  <si>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</si>
  <si>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</si>
  <si>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</si>
  <si>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</si>
  <si>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</si>
  <si>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</si>
  <si>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</si>
  <si>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</si>
  <si>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</si>
  <si>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</si>
  <si>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</si>
  <si>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</si>
  <si>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</si>
  <si>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</si>
  <si>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</si>
  <si>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</si>
  <si>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</si>
  <si>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</si>
  <si>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</si>
  <si>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</si>
  <si>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</si>
  <si>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</si>
  <si>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</si>
  <si>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</si>
  <si>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</si>
  <si>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</si>
  <si>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</si>
  <si>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</si>
  <si>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</si>
  <si>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</si>
  <si>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</si>
  <si>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</si>
  <si>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</si>
  <si>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</si>
  <si>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</si>
  <si>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</si>
  <si>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</si>
  <si>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</si>
  <si>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</si>
  <si>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</si>
  <si>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</si>
  <si>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</si>
  <si>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</si>
  <si>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</si>
  <si>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</si>
  <si>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</si>
  <si>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</si>
  <si>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</si>
  <si>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</si>
  <si>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</si>
  <si>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</si>
  <si>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</si>
  <si>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</si>
  <si>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</si>
  <si>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</si>
  <si>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</si>
  <si>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</si>
  <si>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</si>
  <si>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</si>
  <si>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</si>
  <si>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</si>
  <si>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</si>
  <si>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</si>
  <si>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</si>
  <si>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</si>
  <si>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</si>
  <si>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</si>
  <si>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</si>
  <si>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</si>
  <si>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</si>
  <si>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</si>
  <si>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</si>
  <si>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</si>
  <si>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</si>
  <si>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</si>
  <si>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</si>
  <si>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</si>
  <si>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</si>
  <si>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</si>
  <si>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</si>
  <si>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</si>
  <si>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</si>
  <si>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</si>
  <si>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</si>
  <si>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</si>
  <si>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</si>
  <si>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</si>
  <si>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</si>
  <si>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</si>
  <si>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</si>
  <si>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</si>
  <si>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</si>
  <si>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</si>
  <si>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</si>
  <si>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</si>
  <si>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</si>
  <si>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</si>
  <si>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</si>
  <si>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</si>
  <si>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</si>
  <si>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</si>
  <si>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</si>
  <si>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</si>
  <si>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</si>
  <si>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</si>
  <si>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</si>
  <si>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</si>
  <si>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</si>
  <si>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</si>
  <si>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</si>
  <si>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</si>
  <si>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</si>
  <si>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</si>
  <si>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</si>
  <si>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</si>
  <si>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</si>
  <si>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</si>
  <si>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</si>
  <si>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</si>
  <si>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</si>
  <si>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</si>
  <si>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</si>
  <si>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</si>
  <si>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</si>
  <si>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</si>
  <si>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</si>
  <si>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</si>
  <si>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</si>
  <si>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</si>
  <si>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</si>
  <si>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</si>
  <si>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</si>
  <si>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</si>
  <si>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</si>
  <si>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</si>
  <si>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</si>
  <si>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</si>
  <si>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</si>
  <si>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</si>
  <si>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</si>
  <si>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</si>
  <si>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</si>
  <si>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</si>
  <si>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</si>
  <si>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</si>
  <si>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</si>
  <si>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</si>
  <si>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</si>
  <si>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</si>
  <si>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</si>
  <si>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</si>
  <si>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</si>
  <si>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</si>
  <si>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</si>
  <si>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</si>
  <si>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</si>
  <si>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</si>
  <si>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</si>
  <si>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</si>
  <si>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</si>
  <si>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</si>
  <si>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</si>
  <si>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</si>
  <si>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</si>
  <si>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</si>
  <si>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</si>
  <si>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</si>
  <si>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</si>
  <si>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</si>
  <si>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</si>
  <si>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</si>
  <si>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</si>
  <si>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</si>
  <si>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</si>
  <si>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</si>
  <si>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</si>
  <si>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</si>
  <si>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</si>
  <si>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</si>
  <si>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</si>
  <si>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</si>
  <si>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</si>
  <si>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</si>
  <si>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</si>
  <si>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</si>
  <si>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</si>
  <si>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</si>
  <si>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</si>
  <si>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</si>
  <si>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</si>
  <si>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</si>
  <si>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</si>
  <si>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</si>
  <si>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</si>
  <si>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</si>
  <si>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</si>
  <si>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</si>
  <si>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</si>
  <si>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</si>
  <si>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</si>
  <si>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</si>
  <si>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</si>
  <si>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</si>
  <si>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</si>
  <si>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</si>
  <si>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</si>
  <si>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</si>
  <si>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</si>
  <si>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</si>
  <si>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</si>
  <si>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</si>
  <si>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</si>
  <si>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</si>
  <si>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</si>
  <si>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</si>
  <si>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</si>
  <si>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</si>
  <si>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</si>
  <si>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</si>
  <si>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</si>
  <si>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</si>
  <si>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</si>
  <si>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</si>
  <si>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</si>
  <si>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</si>
  <si>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</si>
  <si>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</si>
  <si>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</si>
  <si>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</si>
  <si>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</si>
  <si>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</si>
  <si>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</si>
  <si>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</si>
  <si>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</si>
  <si>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</si>
  <si>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</si>
  <si>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</si>
  <si>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</si>
  <si>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</si>
  <si>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</si>
  <si>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</si>
  <si>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</si>
  <si>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</si>
  <si>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</si>
  <si>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</si>
  <si>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</si>
  <si>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</si>
  <si>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</si>
  <si>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</si>
  <si>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</si>
  <si>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</si>
  <si>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</si>
  <si>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</si>
  <si>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</si>
  <si>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</si>
  <si>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</si>
  <si>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</si>
  <si>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</si>
  <si>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</si>
  <si>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</si>
  <si>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</si>
  <si>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</si>
  <si>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</si>
  <si>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</si>
  <si>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</si>
  <si>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</si>
  <si>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</si>
  <si>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</si>
  <si>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</si>
  <si>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</si>
  <si>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</si>
  <si>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</si>
  <si>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</si>
  <si>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</si>
  <si>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</si>
  <si>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</si>
  <si>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</si>
  <si>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</si>
  <si>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</si>
  <si>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</si>
  <si>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</si>
  <si>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</si>
  <si>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</si>
  <si>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</si>
  <si>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</si>
  <si>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</si>
  <si>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</si>
  <si>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</si>
  <si>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</si>
  <si>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</si>
  <si>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</si>
  <si>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</si>
  <si>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</si>
  <si>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</si>
  <si>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</si>
  <si>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</si>
  <si>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</si>
  <si>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</si>
  <si>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</si>
  <si>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</si>
  <si>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</si>
  <si>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</si>
  <si>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</si>
  <si>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</si>
  <si>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</si>
  <si>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</si>
  <si>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</si>
  <si>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</si>
  <si>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</si>
  <si>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</si>
  <si>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</si>
  <si>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</si>
  <si>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</si>
  <si>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</si>
  <si>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</si>
  <si>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</si>
  <si>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</si>
  <si>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</si>
  <si>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</si>
  <si>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</si>
  <si>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</si>
  <si>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</si>
  <si>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</si>
  <si>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</si>
  <si>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</si>
  <si>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</si>
  <si>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</si>
  <si>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</si>
  <si>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</si>
  <si>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</si>
  <si>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</si>
  <si>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</si>
  <si>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</si>
  <si>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</si>
  <si>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</si>
  <si>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</si>
  <si>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</si>
  <si>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</si>
  <si>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</si>
  <si>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</si>
  <si>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</si>
  <si>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</si>
  <si>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</si>
  <si>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</si>
  <si>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</si>
  <si>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</si>
  <si>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</si>
  <si>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</si>
  <si>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</si>
  <si>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</si>
  <si>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</si>
  <si>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</si>
  <si>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</si>
  <si>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</si>
  <si>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</si>
  <si>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</si>
  <si>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</si>
  <si>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</si>
  <si>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</si>
  <si>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</si>
  <si>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</si>
  <si>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</si>
  <si>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</si>
  <si>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</si>
  <si>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</si>
  <si>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</si>
  <si>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</si>
  <si>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</si>
  <si>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</si>
  <si>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</si>
  <si>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</si>
  <si>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</si>
  <si>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</si>
  <si>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</si>
  <si>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</si>
  <si>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</si>
  <si>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</si>
  <si>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</si>
  <si>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</si>
  <si>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</si>
  <si>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</si>
  <si>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</si>
  <si>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</si>
  <si>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</si>
  <si>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</si>
  <si>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</si>
  <si>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</si>
  <si>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</si>
  <si>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</si>
  <si>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</si>
  <si>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</si>
  <si>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</si>
  <si>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</si>
  <si>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</si>
  <si>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</si>
  <si>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</si>
  <si>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</si>
  <si>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</si>
  <si>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</si>
  <si>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</si>
  <si>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</si>
  <si>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</si>
  <si>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</si>
  <si>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</si>
  <si>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</si>
  <si>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</si>
  <si>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</si>
  <si>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</si>
  <si>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</si>
  <si>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</si>
  <si>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</si>
  <si>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</si>
  <si>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</si>
  <si>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</si>
  <si>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</si>
  <si>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</si>
  <si>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</si>
  <si>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</si>
  <si>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</si>
  <si>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</si>
  <si>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</si>
  <si>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</si>
  <si>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</si>
  <si>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</si>
  <si>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</si>
  <si>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</si>
  <si>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</si>
  <si>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</si>
  <si>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</si>
  <si>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</si>
  <si>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</si>
  <si>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</si>
  <si>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</si>
  <si>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</si>
  <si>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</si>
  <si>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</si>
  <si>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</si>
  <si>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</si>
  <si>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</si>
  <si>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</si>
  <si>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</si>
  <si>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</si>
  <si>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</si>
  <si>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</si>
  <si>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</si>
  <si>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</si>
  <si>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</si>
  <si>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</si>
  <si>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</si>
  <si>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</si>
  <si>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</si>
  <si>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</si>
  <si>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</si>
  <si>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</si>
  <si>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</si>
  <si>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</si>
  <si>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</si>
  <si>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</si>
  <si>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</si>
  <si>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</si>
  <si>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</si>
  <si>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</si>
  <si>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</si>
  <si>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</si>
  <si>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</si>
  <si>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</si>
  <si>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</si>
  <si>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</si>
  <si>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</si>
  <si>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</si>
  <si>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</si>
  <si>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</si>
  <si>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</si>
  <si>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</si>
  <si>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</si>
  <si>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</si>
  <si>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</si>
  <si>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</si>
  <si>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</si>
  <si>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</si>
  <si>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</si>
  <si>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</si>
  <si>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</si>
  <si>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</si>
  <si>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</si>
  <si>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</si>
  <si>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</si>
  <si>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</si>
  <si>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</si>
  <si>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</si>
  <si>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</si>
  <si>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</si>
  <si>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</si>
  <si>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</si>
  <si>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</si>
  <si>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</si>
  <si>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</si>
  <si>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</si>
  <si>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</si>
  <si>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</si>
  <si>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</si>
  <si>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</si>
  <si>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</si>
  <si>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</si>
  <si>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</si>
  <si>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</si>
  <si>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</si>
  <si>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</si>
  <si>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</si>
  <si>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</si>
  <si>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</si>
  <si>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</si>
  <si>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</si>
  <si>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</si>
  <si>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</si>
  <si>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</si>
  <si>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</si>
  <si>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</si>
  <si>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</si>
  <si>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</si>
  <si>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</si>
  <si>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</si>
  <si>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</si>
  <si>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</si>
  <si>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</si>
  <si>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</si>
  <si>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</si>
  <si>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</si>
  <si>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</si>
  <si>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</si>
  <si>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</si>
  <si>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</si>
  <si>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</si>
  <si>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</si>
  <si>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</si>
  <si>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</si>
  <si>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</si>
  <si>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</si>
  <si>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</si>
  <si>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</si>
  <si>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</si>
  <si>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</si>
  <si>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</si>
  <si>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</si>
  <si>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</si>
  <si>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</si>
  <si>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</si>
  <si>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</si>
  <si>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</si>
  <si>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</si>
  <si>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</si>
  <si>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</si>
  <si>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</si>
  <si>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</si>
  <si>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</si>
  <si>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</si>
  <si>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</si>
  <si>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</si>
  <si>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</si>
  <si>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</si>
  <si>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</si>
  <si>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</si>
  <si>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</si>
  <si>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</si>
  <si>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</si>
  <si>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</si>
  <si>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</si>
  <si>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</si>
  <si>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</si>
  <si>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</si>
  <si>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</si>
  <si>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</si>
  <si>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</si>
  <si>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</si>
  <si>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</si>
  <si>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</si>
  <si>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</si>
  <si>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</si>
  <si>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</si>
  <si>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</si>
  <si>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</si>
  <si>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</si>
  <si>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</si>
  <si>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</si>
  <si>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</si>
  <si>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</si>
  <si>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</si>
  <si>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</si>
  <si>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</si>
  <si>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</si>
  <si>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</si>
  <si>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</si>
  <si>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</si>
  <si>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</si>
  <si>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</si>
  <si>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</si>
  <si>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</si>
  <si>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</si>
  <si>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</si>
  <si>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</si>
  <si>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</si>
  <si>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</si>
  <si>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</si>
  <si>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</si>
  <si>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</si>
  <si>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</si>
  <si>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</si>
  <si>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</si>
  <si>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</si>
  <si>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</si>
  <si>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</si>
  <si>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</si>
  <si>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</si>
  <si>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</si>
  <si>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</si>
  <si>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</si>
  <si>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</si>
  <si>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</si>
  <si>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</si>
  <si>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</si>
  <si>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</si>
  <si>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</si>
  <si>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</si>
  <si>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</si>
  <si>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</si>
  <si>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</si>
  <si>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</si>
  <si>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</si>
  <si>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</si>
  <si>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</si>
  <si>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</si>
  <si>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</si>
  <si>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</si>
  <si>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</si>
  <si>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</si>
  <si>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</si>
  <si>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</si>
  <si>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</si>
  <si>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</si>
  <si>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</si>
  <si>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</si>
  <si>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</si>
  <si>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</si>
  <si>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</si>
  <si>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</si>
  <si>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</si>
  <si>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</si>
  <si>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</si>
  <si>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</si>
  <si>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</si>
  <si>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</si>
  <si>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</si>
  <si>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</si>
  <si>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</si>
  <si>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</si>
  <si>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</si>
  <si>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</si>
  <si>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</si>
  <si>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</si>
  <si>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</si>
  <si>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</si>
  <si>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</si>
  <si>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</si>
  <si>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</si>
  <si>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</si>
  <si>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</si>
  <si>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</si>
  <si>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</si>
  <si>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</si>
  <si>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</si>
  <si>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</si>
  <si>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</si>
  <si>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</si>
  <si>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</si>
  <si>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</si>
  <si>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</si>
  <si>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</si>
  <si>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</si>
  <si>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</si>
  <si>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</si>
  <si>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</si>
  <si>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</si>
  <si>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</si>
  <si>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</si>
  <si>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</si>
  <si>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</si>
  <si>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</si>
  <si>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</si>
  <si>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</si>
  <si>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</si>
  <si>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</si>
  <si>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</si>
  <si>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</si>
  <si>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</si>
  <si>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</si>
  <si>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</si>
  <si>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</si>
  <si>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</si>
  <si>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</si>
  <si>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</si>
  <si>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</si>
  <si>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</si>
  <si>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</si>
  <si>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</si>
  <si>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</si>
  <si>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</si>
  <si>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</si>
  <si>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</si>
  <si>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</si>
  <si>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</si>
  <si>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</si>
  <si>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</si>
  <si>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</si>
  <si>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</si>
  <si>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</si>
  <si>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</si>
  <si>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</si>
  <si>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</si>
  <si>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</si>
  <si>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</si>
  <si>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</si>
  <si>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</si>
  <si>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</si>
  <si>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</si>
  <si>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</si>
  <si>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</si>
  <si>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</si>
  <si>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</si>
  <si>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</si>
  <si>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</si>
  <si>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</si>
  <si>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</si>
  <si>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</si>
  <si>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</si>
  <si>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</si>
  <si>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</si>
  <si>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</si>
  <si>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</si>
  <si>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</si>
  <si>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</si>
  <si>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</si>
  <si>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</si>
  <si>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</si>
  <si>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</si>
  <si>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</si>
  <si>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</si>
  <si>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</si>
  <si>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</si>
  <si>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</si>
  <si>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</si>
  <si>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</si>
  <si>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</si>
  <si>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</si>
  <si>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</si>
  <si>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</si>
  <si>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</si>
  <si>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</si>
  <si>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</si>
  <si>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</si>
  <si>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</si>
  <si>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</si>
  <si>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</si>
  <si>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</si>
  <si>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</si>
  <si>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</si>
  <si>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</si>
  <si>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</si>
  <si>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</si>
  <si>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</si>
  <si>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</si>
  <si>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</si>
  <si>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</si>
  <si>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</si>
  <si>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</si>
  <si>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</si>
  <si>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</si>
  <si>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</si>
  <si>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</si>
  <si>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</si>
  <si>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</si>
  <si>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</si>
  <si>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</si>
  <si>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</si>
  <si>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</si>
  <si>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</si>
  <si>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</si>
  <si>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</si>
  <si>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</si>
  <si>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</si>
  <si>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</si>
  <si>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</si>
  <si>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</si>
  <si>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</si>
  <si>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</si>
  <si>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</si>
  <si>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</si>
  <si>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</si>
  <si>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</si>
  <si>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</si>
  <si>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</si>
  <si>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</si>
  <si>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</si>
  <si>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</si>
  <si>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</si>
  <si>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</si>
  <si>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</si>
  <si>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</si>
  <si>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</si>
  <si>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</si>
  <si>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</si>
  <si>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</si>
  <si>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</si>
  <si>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</si>
  <si>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</si>
  <si>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</si>
  <si>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</si>
  <si>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</si>
  <si>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</si>
  <si>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</si>
  <si>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</si>
  <si>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</si>
  <si>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</si>
  <si>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</si>
  <si>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</si>
  <si>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</si>
  <si>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</si>
  <si>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</si>
  <si>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</si>
  <si>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</si>
  <si>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</si>
  <si>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</si>
  <si>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</si>
  <si>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</si>
  <si>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</si>
  <si>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</si>
  <si>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</si>
  <si>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</si>
  <si>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</si>
  <si>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</si>
  <si>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</si>
  <si>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</si>
  <si>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</si>
  <si>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</si>
  <si>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</si>
  <si>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</si>
  <si>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</si>
  <si>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</si>
  <si>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</si>
  <si>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</si>
  <si>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</si>
  <si>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</si>
  <si>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</si>
  <si>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</si>
  <si>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</si>
  <si>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</si>
  <si>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</si>
  <si>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</si>
  <si>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</si>
  <si>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</si>
  <si>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</si>
  <si>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</si>
  <si>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</si>
  <si>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</si>
  <si>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</si>
  <si>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</si>
  <si>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</si>
  <si>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</si>
  <si>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</si>
  <si>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</si>
  <si>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</si>
  <si>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</si>
  <si>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</si>
  <si>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</si>
  <si>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</si>
  <si>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</si>
  <si>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</si>
  <si>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</si>
  <si>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</si>
  <si>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</si>
  <si>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</si>
  <si>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</si>
  <si>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</si>
  <si>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</si>
  <si>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</si>
  <si>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</si>
  <si>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</si>
  <si>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</si>
  <si>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</si>
  <si>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</si>
  <si>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</si>
  <si>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</si>
  <si>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</si>
  <si>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</si>
  <si>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</si>
  <si>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</si>
  <si>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</si>
  <si>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</si>
  <si>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</si>
  <si>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</si>
  <si>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</si>
  <si>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</si>
  <si>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</si>
  <si>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</si>
  <si>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</si>
  <si>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</si>
  <si>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</si>
  <si>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</si>
  <si>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</si>
  <si>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</si>
  <si>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</si>
  <si>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</si>
  <si>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</si>
  <si>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</si>
  <si>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</si>
  <si>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</si>
  <si>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</si>
  <si>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</si>
  <si>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</si>
  <si>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</si>
  <si>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</si>
  <si>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</si>
  <si>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</si>
  <si>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</si>
  <si>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</si>
  <si>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</si>
  <si>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</si>
  <si>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</si>
  <si>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</si>
  <si>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</si>
  <si>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</si>
  <si>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</si>
  <si>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</si>
  <si>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</si>
  <si>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</si>
  <si>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</si>
  <si>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</si>
  <si>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</si>
  <si>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</si>
  <si>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</si>
  <si>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</si>
  <si>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</si>
  <si>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</si>
  <si>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</si>
  <si>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</si>
  <si>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</si>
  <si>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</si>
  <si>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</si>
  <si>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</si>
  <si>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</si>
  <si>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</si>
  <si>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</si>
  <si>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</si>
  <si>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</si>
  <si>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</si>
  <si>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</si>
  <si>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</si>
  <si>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</si>
  <si>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</si>
  <si>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</si>
  <si>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</si>
  <si>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</si>
  <si>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</si>
  <si>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</si>
  <si>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</si>
  <si>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</si>
  <si>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</si>
  <si>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</si>
  <si>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</si>
  <si>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</si>
  <si>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</si>
  <si>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</si>
  <si>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</si>
  <si>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</si>
  <si>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</si>
  <si>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</si>
  <si>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</si>
  <si>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</si>
  <si>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</si>
  <si>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</si>
  <si>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</si>
  <si>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</si>
  <si>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</si>
  <si>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</si>
  <si>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</si>
  <si>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</si>
  <si>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</si>
  <si>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</si>
  <si>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</si>
  <si>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</si>
  <si>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</si>
  <si>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</si>
  <si>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</si>
  <si>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</si>
  <si>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</si>
  <si>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</si>
  <si>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</si>
  <si>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</si>
  <si>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</si>
  <si>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</si>
  <si>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</si>
  <si>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</si>
  <si>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</si>
  <si>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</si>
  <si>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</si>
  <si>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</si>
  <si>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</si>
  <si>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</si>
  <si>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</si>
  <si>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</si>
  <si>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</si>
  <si>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</si>
  <si>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</si>
  <si>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</si>
  <si>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</si>
  <si>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</si>
  <si>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</si>
  <si>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</si>
  <si>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</si>
  <si>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</si>
  <si>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</si>
  <si>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</si>
  <si>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</si>
  <si>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</si>
  <si>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</si>
  <si>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</si>
  <si>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</si>
  <si>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</si>
  <si>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</si>
  <si>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</si>
  <si>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</si>
  <si>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</si>
  <si>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</si>
  <si>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</si>
  <si>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</si>
  <si>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</si>
  <si>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</si>
  <si>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</si>
  <si>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</si>
  <si>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</si>
  <si>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</si>
  <si>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</si>
  <si>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</si>
  <si>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</si>
  <si>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</si>
  <si>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</si>
  <si>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</si>
  <si>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</si>
  <si>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</si>
  <si>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</si>
  <si>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</si>
  <si>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</si>
  <si>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</si>
  <si>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</si>
  <si>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</si>
  <si>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</si>
  <si>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</si>
  <si>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</si>
  <si>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</si>
  <si>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</si>
  <si>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</si>
  <si>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</si>
  <si>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</si>
  <si>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</si>
  <si>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</si>
  <si>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</si>
  <si>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</si>
  <si>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</si>
  <si>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</si>
  <si>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</si>
  <si>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</si>
  <si>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</si>
  <si>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</si>
  <si>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</si>
  <si>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</si>
  <si>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</si>
  <si>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</si>
  <si>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</si>
  <si>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</si>
  <si>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</si>
  <si>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</si>
  <si>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</si>
  <si>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</si>
  <si>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</si>
  <si>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</si>
  <si>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</si>
  <si>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</si>
  <si>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</si>
  <si>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</si>
  <si>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</si>
  <si>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</si>
  <si>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</si>
  <si>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</si>
  <si>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</si>
  <si>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</si>
  <si>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</si>
  <si>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</si>
  <si>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</si>
  <si>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</si>
  <si>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</si>
  <si>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</si>
  <si>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</si>
  <si>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</si>
  <si>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</si>
  <si>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</si>
  <si>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</si>
  <si>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</si>
  <si>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</si>
  <si>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</si>
  <si>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</si>
  <si>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</si>
  <si>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</si>
  <si>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</si>
  <si>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</si>
  <si>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</si>
  <si>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</si>
  <si>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</si>
  <si>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</si>
  <si>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</si>
  <si>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</si>
  <si>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</si>
  <si>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</si>
  <si>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</si>
  <si>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</si>
  <si>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</si>
  <si>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</si>
  <si>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</si>
  <si>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</si>
  <si>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</si>
  <si>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</si>
  <si>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</si>
  <si>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</si>
  <si>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</si>
  <si>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</si>
  <si>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</si>
  <si>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</si>
  <si>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</si>
  <si>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</si>
  <si>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</si>
  <si>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</si>
  <si>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</si>
  <si>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</si>
  <si>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</si>
  <si>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</si>
  <si>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</si>
  <si>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</si>
  <si>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</si>
  <si>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</si>
  <si>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</si>
  <si>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</si>
  <si>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</si>
  <si>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</si>
  <si>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</si>
  <si>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</si>
  <si>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</si>
  <si>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</si>
  <si>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</si>
  <si>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</si>
  <si>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</si>
  <si>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</si>
  <si>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</si>
  <si>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</si>
  <si>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</si>
  <si>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</si>
  <si>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</si>
  <si>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</si>
  <si>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</si>
  <si>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</si>
  <si>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</si>
  <si>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</si>
  <si>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</si>
  <si>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</si>
  <si>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</si>
  <si>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</si>
  <si>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</si>
  <si>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</si>
  <si>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</si>
  <si>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</si>
  <si>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</si>
  <si>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</si>
  <si>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</si>
  <si>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</si>
  <si>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</si>
  <si>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</si>
  <si>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</si>
  <si>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</si>
  <si>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</si>
  <si>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</si>
  <si>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</si>
  <si>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</si>
  <si>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</si>
  <si>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</si>
  <si>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</si>
  <si>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</si>
  <si>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</si>
  <si>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</si>
  <si>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</si>
  <si>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</si>
  <si>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</si>
  <si>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</si>
  <si>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</si>
  <si>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</si>
  <si>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</si>
  <si>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</si>
  <si>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</si>
  <si>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</si>
  <si>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</si>
  <si>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</si>
  <si>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</si>
  <si>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</si>
  <si>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</si>
  <si>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</si>
  <si>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</si>
  <si>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</si>
  <si>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</si>
  <si>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</si>
  <si>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</si>
  <si>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</si>
  <si>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</si>
  <si>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</si>
  <si>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</si>
  <si>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</si>
  <si>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</si>
  <si>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</si>
  <si>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</si>
  <si>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</si>
  <si>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</si>
  <si>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</si>
  <si>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</si>
  <si>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</si>
  <si>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</si>
  <si>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</si>
  <si>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</si>
  <si>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</si>
  <si>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</si>
  <si>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</si>
  <si>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</si>
  <si>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</si>
  <si>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</si>
  <si>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</si>
  <si>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</si>
  <si>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</si>
  <si>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</si>
  <si>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</si>
  <si>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</si>
  <si>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</si>
  <si>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</si>
  <si>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</si>
  <si>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</si>
  <si>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</si>
  <si>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</si>
  <si>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</si>
  <si>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</si>
  <si>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</si>
  <si>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</si>
  <si>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</si>
  <si>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</si>
  <si>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</si>
  <si>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</si>
  <si>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</si>
  <si>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</si>
  <si>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</si>
  <si>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</si>
  <si>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</si>
  <si>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</si>
  <si>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</si>
  <si>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</si>
  <si>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</si>
  <si>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</si>
  <si>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</si>
  <si>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</si>
  <si>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</si>
  <si>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</si>
  <si>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</si>
  <si>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</si>
  <si>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</si>
  <si>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</si>
  <si>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</si>
  <si>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</si>
  <si>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</si>
  <si>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</si>
  <si>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</si>
  <si>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</si>
  <si>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</si>
  <si>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</si>
  <si>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</si>
  <si>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</si>
  <si>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</si>
  <si>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</si>
  <si>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</si>
  <si>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</si>
  <si>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</si>
  <si>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</si>
  <si>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</si>
  <si>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</si>
  <si>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</si>
  <si>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</si>
  <si>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</si>
  <si>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</si>
  <si>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</si>
  <si>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</si>
  <si>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</si>
  <si>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</si>
  <si>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</si>
  <si>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</si>
  <si>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</si>
  <si>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</si>
  <si>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</si>
  <si>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</si>
  <si>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</si>
  <si>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</si>
  <si>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</si>
  <si>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</si>
  <si>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</si>
  <si>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</si>
  <si>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</si>
  <si>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</si>
  <si>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</si>
  <si>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</si>
  <si>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</si>
  <si>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</si>
  <si>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</si>
  <si>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</si>
  <si>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</si>
  <si>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</si>
  <si>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</si>
  <si>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</si>
  <si>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</si>
  <si>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</si>
  <si>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</si>
  <si>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</si>
  <si>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</si>
  <si>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</si>
  <si>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</si>
  <si>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</si>
  <si>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</si>
  <si>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</si>
  <si>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</si>
  <si>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</si>
  <si>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</si>
  <si>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</si>
  <si>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</si>
  <si>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</si>
  <si>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</si>
  <si>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</si>
  <si>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</si>
  <si>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</si>
  <si>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</si>
  <si>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</si>
  <si>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</si>
  <si>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</si>
  <si>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</si>
  <si>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</si>
  <si>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</si>
  <si>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</si>
  <si>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</si>
  <si>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</si>
  <si>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</si>
  <si>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</si>
  <si>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</si>
  <si>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</si>
  <si>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</si>
  <si>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</si>
  <si>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</si>
  <si>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</si>
  <si>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</si>
  <si>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</si>
  <si>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</si>
  <si>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</si>
  <si>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</si>
  <si>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</si>
  <si>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</si>
  <si>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</si>
  <si>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</si>
  <si>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</si>
  <si>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</si>
  <si>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</si>
  <si>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</si>
  <si>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</si>
  <si>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</si>
  <si>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</si>
  <si>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</si>
  <si>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</si>
  <si>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</si>
  <si>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</si>
  <si>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</si>
  <si>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</si>
  <si>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</si>
  <si>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</si>
  <si>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</si>
  <si>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</si>
  <si>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</si>
  <si>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</si>
  <si>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</si>
  <si>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</si>
  <si>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</si>
  <si>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</si>
  <si>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</si>
  <si>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</si>
  <si>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</si>
  <si>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</si>
  <si>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</si>
  <si>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</si>
  <si>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</si>
  <si>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</si>
  <si>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</si>
  <si>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</si>
  <si>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</si>
  <si>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</si>
  <si>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</si>
  <si>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</si>
  <si>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</si>
  <si>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</si>
  <si>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</si>
  <si>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</si>
  <si>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</si>
  <si>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</si>
  <si>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</si>
  <si>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</si>
  <si>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</si>
  <si>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</si>
  <si>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</si>
  <si>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</si>
  <si>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</si>
  <si>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</si>
  <si>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</si>
  <si>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</si>
  <si>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</si>
  <si>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</si>
  <si>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</si>
  <si>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</si>
  <si>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</si>
  <si>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</si>
  <si>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</si>
  <si>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</si>
  <si>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</si>
  <si>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</si>
  <si>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</si>
  <si>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</si>
  <si>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</si>
  <si>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</si>
  <si>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</si>
  <si>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</si>
  <si>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</si>
  <si>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</si>
  <si>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</si>
  <si>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</si>
  <si>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</si>
  <si>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</si>
  <si>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</si>
  <si>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</si>
  <si>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</si>
  <si>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</si>
  <si>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</si>
  <si>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</si>
  <si>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</si>
  <si>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</si>
  <si>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</si>
  <si>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</si>
  <si>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</si>
  <si>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</si>
  <si>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</si>
  <si>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</si>
  <si>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</si>
  <si>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</si>
  <si>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</si>
  <si>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</si>
  <si>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</si>
  <si>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</si>
  <si>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</si>
  <si>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</si>
  <si>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</si>
  <si>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</si>
  <si>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</si>
  <si>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</si>
  <si>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</si>
  <si>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</si>
  <si>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</si>
  <si>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</si>
  <si>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</si>
  <si>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</si>
  <si>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</si>
  <si>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</si>
  <si>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</si>
  <si>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</si>
  <si>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</si>
  <si>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</si>
  <si>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</si>
  <si>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</si>
  <si>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</si>
  <si>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</si>
  <si>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</si>
  <si>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</si>
  <si>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</si>
  <si>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</si>
  <si>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</si>
  <si>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</si>
  <si>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</si>
  <si>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</si>
  <si>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</si>
  <si>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</si>
  <si>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</si>
  <si>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</si>
  <si>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</si>
  <si>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</si>
  <si>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</si>
  <si>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</si>
  <si>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</si>
  <si>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</si>
  <si>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</si>
  <si>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</si>
  <si>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</si>
  <si>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</si>
  <si>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</si>
  <si>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</si>
  <si>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</si>
  <si>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</si>
  <si>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</si>
  <si>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</si>
  <si>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</si>
  <si>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</si>
  <si>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</si>
  <si>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</si>
  <si>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</si>
  <si>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</si>
  <si>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</si>
  <si>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</si>
  <si>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</si>
  <si>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</si>
  <si>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</si>
  <si>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</si>
  <si>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</si>
  <si>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</si>
  <si>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</si>
  <si>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</si>
  <si>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</si>
  <si>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</si>
  <si>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</si>
  <si>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</si>
  <si>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</si>
  <si>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</si>
  <si>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</si>
  <si>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</si>
  <si>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</si>
  <si>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</si>
  <si>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</si>
  <si>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</si>
  <si>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</si>
  <si>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</si>
  <si>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</si>
  <si>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</si>
  <si>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</si>
  <si>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</si>
  <si>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</si>
  <si>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</si>
  <si>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</si>
  <si>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</si>
  <si>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</si>
  <si>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</si>
  <si>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</si>
  <si>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</si>
  <si>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</si>
  <si>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</si>
  <si>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</si>
  <si>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</si>
  <si>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</si>
  <si>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</si>
  <si>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</si>
  <si>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</si>
  <si>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</si>
  <si>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</si>
  <si>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</si>
  <si>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</si>
  <si>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</si>
  <si>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</si>
  <si>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</si>
  <si>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</si>
  <si>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</si>
  <si>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</si>
  <si>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</si>
  <si>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</si>
  <si>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</si>
  <si>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</si>
  <si>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</si>
  <si>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</si>
  <si>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</si>
  <si>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</si>
  <si>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</si>
  <si>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</si>
  <si>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</si>
  <si>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</si>
  <si>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</si>
  <si>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</si>
  <si>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</si>
  <si>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</si>
  <si>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</si>
  <si>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</si>
  <si>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</si>
  <si>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</si>
  <si>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</si>
  <si>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</si>
  <si>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</si>
  <si>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</si>
  <si>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</si>
  <si>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</si>
  <si>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</si>
  <si>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</si>
  <si>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</si>
  <si>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</si>
  <si>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</si>
  <si>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</si>
  <si>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</si>
  <si>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</si>
  <si>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</si>
  <si>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</si>
  <si>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</si>
  <si>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</si>
  <si>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</si>
  <si>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</si>
  <si>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</si>
  <si>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</si>
  <si>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</si>
  <si>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</si>
  <si>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</si>
  <si>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</si>
  <si>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</si>
  <si>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</si>
  <si>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</si>
  <si>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</si>
  <si>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</si>
  <si>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</si>
  <si>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</si>
  <si>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</si>
  <si>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</si>
  <si>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</si>
  <si>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</si>
  <si>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</si>
  <si>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</si>
  <si>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</si>
  <si>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</si>
  <si>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</si>
  <si>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</si>
  <si>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</si>
  <si>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</si>
  <si>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</si>
  <si>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</si>
  <si>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</si>
  <si>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</si>
  <si>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</si>
  <si>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</si>
  <si>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</si>
  <si>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</si>
  <si>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</si>
  <si>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</si>
  <si>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</si>
  <si>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</si>
  <si>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</si>
  <si>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</si>
  <si>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</si>
  <si>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</si>
  <si>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</si>
  <si>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</si>
  <si>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</si>
  <si>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</si>
  <si>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</si>
  <si>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</si>
  <si>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</si>
  <si>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</si>
  <si>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</si>
  <si>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</si>
  <si>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</si>
  <si>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</si>
  <si>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</si>
  <si>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</si>
  <si>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</si>
  <si>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</si>
  <si>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</si>
  <si>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</si>
  <si>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</si>
  <si>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</si>
  <si>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</si>
  <si>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</si>
  <si>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</si>
  <si>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</si>
  <si>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</si>
  <si>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</si>
  <si>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</si>
  <si>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</si>
  <si>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</si>
  <si>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</si>
  <si>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</si>
  <si>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</si>
  <si>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</si>
  <si>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</si>
  <si>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</si>
  <si>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</si>
  <si>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</si>
  <si>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</si>
  <si>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</si>
  <si>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</si>
  <si>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</si>
  <si>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</si>
  <si>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</si>
  <si>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</si>
  <si>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</si>
  <si>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</si>
  <si>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</si>
  <si>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</si>
  <si>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</si>
  <si>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</si>
  <si>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</si>
  <si>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</si>
  <si>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</si>
  <si>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</si>
  <si>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</si>
  <si>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</si>
  <si>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</si>
  <si>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</si>
  <si>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</si>
  <si>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</si>
  <si>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</si>
  <si>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</si>
  <si>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</si>
  <si>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</si>
  <si>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</si>
  <si>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</si>
  <si>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</si>
  <si>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</si>
  <si>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</si>
  <si>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</si>
  <si>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</si>
  <si>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</si>
  <si>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</si>
  <si>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</si>
  <si>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</si>
  <si>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</si>
  <si>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</si>
  <si>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</si>
  <si>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</si>
  <si>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</si>
  <si>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</si>
  <si>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</si>
  <si>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</si>
  <si>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</si>
  <si>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</si>
  <si>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</si>
  <si>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</si>
  <si>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</si>
  <si>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</si>
  <si>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</si>
  <si>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</si>
  <si>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</si>
  <si>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</si>
  <si>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</si>
  <si>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</si>
  <si>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</si>
  <si>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</si>
  <si>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</si>
  <si>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</si>
  <si>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</si>
  <si>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</si>
  <si>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</si>
  <si>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</si>
  <si>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</si>
  <si>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</si>
  <si>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</si>
  <si>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</si>
  <si>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</si>
  <si>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</si>
  <si>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</si>
  <si>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</si>
  <si>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</si>
  <si>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</si>
  <si>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</si>
  <si>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</si>
  <si>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</si>
  <si>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</si>
  <si>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</si>
  <si>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</si>
  <si>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</si>
  <si>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</si>
  <si>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</si>
  <si>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</si>
  <si>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</si>
  <si>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</si>
  <si>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</si>
  <si>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</si>
  <si>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</si>
  <si>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</si>
  <si>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</si>
  <si>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</si>
  <si>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</si>
  <si>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</si>
  <si>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</si>
  <si>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</si>
  <si>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</si>
  <si>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</si>
  <si>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</si>
  <si>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</si>
  <si>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</si>
  <si>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</si>
  <si>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</si>
  <si>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</si>
  <si>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</si>
  <si>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</si>
  <si>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</si>
  <si>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</si>
  <si>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</si>
  <si>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</si>
  <si>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</si>
  <si>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</si>
  <si>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</si>
  <si>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</si>
  <si>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</si>
  <si>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</si>
  <si>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</si>
  <si>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</si>
  <si>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</si>
  <si>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</si>
  <si>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</si>
  <si>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</si>
  <si>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</si>
  <si>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</si>
  <si>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</si>
  <si>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</si>
  <si>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</si>
  <si>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</si>
  <si>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</si>
  <si>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</si>
  <si>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</si>
  <si>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</si>
  <si>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</si>
  <si>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</si>
  <si>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</si>
  <si>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</si>
  <si>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</si>
  <si>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</si>
  <si>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</si>
  <si>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</si>
  <si>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</si>
  <si>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</si>
  <si>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</si>
  <si>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</si>
  <si>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</si>
  <si>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</si>
  <si>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</si>
  <si>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</si>
  <si>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</si>
  <si>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</si>
  <si>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</si>
  <si>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</si>
  <si>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</si>
  <si>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</si>
  <si>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</si>
  <si>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</si>
  <si>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</si>
  <si>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</si>
  <si>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</si>
  <si>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</si>
  <si>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</si>
  <si>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</si>
  <si>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</si>
  <si>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</si>
  <si>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</si>
  <si>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</si>
  <si>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</si>
  <si>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</si>
  <si>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</si>
  <si>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</si>
  <si>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</si>
  <si>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</si>
  <si>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</si>
  <si>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</si>
  <si>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</si>
  <si>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</si>
  <si>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</si>
  <si>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</si>
  <si>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</si>
  <si>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</si>
  <si>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</si>
  <si>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</si>
  <si>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</si>
  <si>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</si>
  <si>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</si>
  <si>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</si>
  <si>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</si>
  <si>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</si>
  <si>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</si>
  <si>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</si>
  <si>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</si>
  <si>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</si>
  <si>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</si>
  <si>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</si>
  <si>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</si>
  <si>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</si>
  <si>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</si>
  <si>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</si>
  <si>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</si>
  <si>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</si>
  <si>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</si>
  <si>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</si>
  <si>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</si>
  <si>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</si>
  <si>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</si>
  <si>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</si>
  <si>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</si>
  <si>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</si>
  <si>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</si>
  <si>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</si>
  <si>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</si>
  <si>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</si>
  <si>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</si>
  <si>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</si>
  <si>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</si>
  <si>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</si>
  <si>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</si>
  <si>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</si>
  <si>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</si>
  <si>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</si>
  <si>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</si>
  <si>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</si>
  <si>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</si>
  <si>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</si>
  <si>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</si>
  <si>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</si>
  <si>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</si>
  <si>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</si>
  <si>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</si>
  <si>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</si>
  <si>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</si>
  <si>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</si>
  <si>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</si>
  <si>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</si>
  <si>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</si>
  <si>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</si>
  <si>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</si>
  <si>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</si>
  <si>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</si>
  <si>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</si>
  <si>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</si>
  <si>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</si>
  <si>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</si>
  <si>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</si>
  <si>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</si>
  <si>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</si>
  <si>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</si>
  <si>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</si>
  <si>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</si>
  <si>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</si>
  <si>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</si>
  <si>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</si>
  <si>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</si>
  <si>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</si>
  <si>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</si>
  <si>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</si>
  <si>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</si>
  <si>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</si>
  <si>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</si>
  <si>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</si>
  <si>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</si>
  <si>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</si>
  <si>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</si>
  <si>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</si>
  <si>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</si>
  <si>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</si>
  <si>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</si>
  <si>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</si>
  <si>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</si>
  <si>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</si>
  <si>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</si>
  <si>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</si>
  <si>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</si>
  <si>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</si>
  <si>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</si>
  <si>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</si>
  <si>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</si>
  <si>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</si>
  <si>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</si>
  <si>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</si>
  <si>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</si>
  <si>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</si>
  <si>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</si>
  <si>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</si>
  <si>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</si>
  <si>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</si>
  <si>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</si>
  <si>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</si>
  <si>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</si>
  <si>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</si>
  <si>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</si>
  <si>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</si>
  <si>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</si>
  <si>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</si>
  <si>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</si>
  <si>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</si>
  <si>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</si>
  <si>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</si>
  <si>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</si>
  <si>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</si>
  <si>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</si>
  <si>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</si>
  <si>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</si>
  <si>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</si>
  <si>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</si>
  <si>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</si>
  <si>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</si>
  <si>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</si>
  <si>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</si>
  <si>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</si>
  <si>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</si>
  <si>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</si>
  <si>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</si>
  <si>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</si>
  <si>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</si>
  <si>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</si>
  <si>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</si>
  <si>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</si>
  <si>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</si>
  <si>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</si>
  <si>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</si>
  <si>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</si>
  <si>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</si>
  <si>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</si>
  <si>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</si>
  <si>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</si>
  <si>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</si>
  <si>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</si>
  <si>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</si>
  <si>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</si>
  <si>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</si>
  <si>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</si>
  <si>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</si>
  <si>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</si>
  <si>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</si>
  <si>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</si>
  <si>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</si>
  <si>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</si>
  <si>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</si>
  <si>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</si>
  <si>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</si>
  <si>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</si>
  <si>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</si>
  <si>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</si>
  <si>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</si>
  <si>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</si>
  <si>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</si>
  <si>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</si>
  <si>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</si>
  <si>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</si>
  <si>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</si>
  <si>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</si>
  <si>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</si>
  <si>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</si>
  <si>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</si>
  <si>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</si>
  <si>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</si>
  <si>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</si>
  <si>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</si>
  <si>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</si>
  <si>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</si>
  <si>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</si>
  <si>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</si>
  <si>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</si>
  <si>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</si>
  <si>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</si>
  <si>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</si>
  <si>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</si>
  <si>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</si>
  <si>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</si>
  <si>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</si>
  <si>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</si>
  <si>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</si>
  <si>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</si>
  <si>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</si>
  <si>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</si>
  <si>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</si>
  <si>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</si>
  <si>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</si>
  <si>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</si>
  <si>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</si>
  <si>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</si>
  <si>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</si>
  <si>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</si>
  <si>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</si>
  <si>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</si>
  <si>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</si>
  <si>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</si>
  <si>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</si>
  <si>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</si>
  <si>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</si>
  <si>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</si>
  <si>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</si>
  <si>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</si>
  <si>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</si>
  <si>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</si>
  <si>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</si>
  <si>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</si>
  <si>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</si>
  <si>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</si>
  <si>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</si>
  <si>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</si>
  <si>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</si>
  <si>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</si>
  <si>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</si>
  <si>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</si>
  <si>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</si>
  <si>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</si>
  <si>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</si>
  <si>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</si>
  <si>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</si>
  <si>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</si>
  <si>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</si>
  <si>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</si>
  <si>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</si>
  <si>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</si>
  <si>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</si>
  <si>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</si>
  <si>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</si>
  <si>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</si>
  <si>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</si>
  <si>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</si>
  <si>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</si>
  <si>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</si>
  <si>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</si>
  <si>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</si>
  <si>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</si>
  <si>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</si>
  <si>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</si>
  <si>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</si>
  <si>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</si>
  <si>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</si>
  <si>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</si>
  <si>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</si>
  <si>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</si>
  <si>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</si>
  <si>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</si>
  <si>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</si>
  <si>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</si>
  <si>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</si>
  <si>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</si>
  <si>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</si>
  <si>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</si>
  <si>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</si>
  <si>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</si>
  <si>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</si>
  <si>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</si>
  <si>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</si>
  <si>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</si>
  <si>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</si>
  <si>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</si>
  <si>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</si>
  <si>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</si>
  <si>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</si>
  <si>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</si>
  <si>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</si>
  <si>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</si>
  <si>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</si>
  <si>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</si>
  <si>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</si>
  <si>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</si>
  <si>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</si>
  <si>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</si>
  <si>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</si>
  <si>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</si>
  <si>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</si>
  <si>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</si>
  <si>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</si>
  <si>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</si>
  <si>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</si>
  <si>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</si>
  <si>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</si>
  <si>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</si>
  <si>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</si>
  <si>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</si>
  <si>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</si>
  <si>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</si>
  <si>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</si>
  <si>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</si>
  <si>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</si>
  <si>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</si>
  <si>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</si>
  <si>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</si>
  <si>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</si>
  <si>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</si>
  <si>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</si>
  <si>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</si>
  <si>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</si>
  <si>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</si>
  <si>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</si>
  <si>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</si>
  <si>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</si>
  <si>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</si>
  <si>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</si>
  <si>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</si>
  <si>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</si>
  <si>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</si>
  <si>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</si>
  <si>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</si>
  <si>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</si>
  <si>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</si>
  <si>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</si>
  <si>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</si>
  <si>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</si>
  <si>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</si>
  <si>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</si>
  <si>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</si>
  <si>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</si>
  <si>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</si>
  <si>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</si>
  <si>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</si>
  <si>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</si>
  <si>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</si>
  <si>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</si>
  <si>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</si>
  <si>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</si>
  <si>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</si>
  <si>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</si>
  <si>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</si>
  <si>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</si>
  <si>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</si>
  <si>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</si>
  <si>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</si>
  <si>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</si>
  <si>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</si>
  <si>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</si>
  <si>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</si>
  <si>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</si>
  <si>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</si>
  <si>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</si>
  <si>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</si>
  <si>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</si>
  <si>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</si>
  <si>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</si>
  <si>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</si>
  <si>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</si>
  <si>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</si>
  <si>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</si>
  <si>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</si>
  <si>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</si>
  <si>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</si>
  <si>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</si>
  <si>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</si>
  <si>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</si>
  <si>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</si>
  <si>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</si>
  <si>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</si>
  <si>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</si>
  <si>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</si>
  <si>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</si>
  <si>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</si>
  <si>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</si>
  <si>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</si>
  <si>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</si>
  <si>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</si>
  <si>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</si>
  <si>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</si>
  <si>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</si>
  <si>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</si>
  <si>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</si>
  <si>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</si>
  <si>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</si>
  <si>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</si>
  <si>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</si>
  <si>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</si>
  <si>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</si>
  <si>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</si>
  <si>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</si>
  <si>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</si>
  <si>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</si>
  <si>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</si>
  <si>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</si>
  <si>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</si>
  <si>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</si>
  <si>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</si>
  <si>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</si>
  <si>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</si>
  <si>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</si>
  <si>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</si>
  <si>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</si>
  <si>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</si>
  <si>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</si>
  <si>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</si>
  <si>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</si>
  <si>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</si>
  <si>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</si>
  <si>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</si>
  <si>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</si>
  <si>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</si>
  <si>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</si>
  <si>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</si>
  <si>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</si>
  <si>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</si>
  <si>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</si>
  <si>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</si>
  <si>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</si>
  <si>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</si>
  <si>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</si>
  <si>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</si>
  <si>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</si>
  <si>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</si>
  <si>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</si>
  <si>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</si>
  <si>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</si>
  <si>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</si>
  <si>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</si>
  <si>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</si>
  <si>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</si>
  <si>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</si>
  <si>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</si>
  <si>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</si>
  <si>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</si>
  <si>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</si>
  <si>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</si>
  <si>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</si>
  <si>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</si>
  <si>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</si>
  <si>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</si>
  <si>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</si>
  <si>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</si>
  <si>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</si>
  <si>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</si>
  <si>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</si>
  <si>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</si>
  <si>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</si>
  <si>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</si>
  <si>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</si>
  <si>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</si>
  <si>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</si>
  <si>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</si>
  <si>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</si>
  <si>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</si>
  <si>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</si>
  <si>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</si>
  <si>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</si>
  <si>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</si>
  <si>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</si>
  <si>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</si>
  <si>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</si>
  <si>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</si>
  <si>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</si>
  <si>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</si>
  <si>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</si>
  <si>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</si>
  <si>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</si>
  <si>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</si>
  <si>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</si>
  <si>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</si>
  <si>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</si>
  <si>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</si>
  <si>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</si>
  <si>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</si>
  <si>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</si>
  <si>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</si>
  <si>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</si>
  <si>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</si>
  <si>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</si>
  <si>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</si>
  <si>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</si>
  <si>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</si>
  <si>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</si>
  <si>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</si>
  <si>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</si>
  <si>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</si>
  <si>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</si>
  <si>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</si>
  <si>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</si>
  <si>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</si>
  <si>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</si>
  <si>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</si>
  <si>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</si>
  <si>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</si>
  <si>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</si>
  <si>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</si>
  <si>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</si>
  <si>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</si>
  <si>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</si>
  <si>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</si>
  <si>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</si>
  <si>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</si>
  <si>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</si>
  <si>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</si>
  <si>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</si>
  <si>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</si>
  <si>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</si>
  <si>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</si>
  <si>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</si>
  <si>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</si>
  <si>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</si>
  <si>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</si>
  <si>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</si>
  <si>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</si>
  <si>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</si>
  <si>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</si>
  <si>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</si>
  <si>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</si>
  <si>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</si>
  <si>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</si>
  <si>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</si>
  <si>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</si>
  <si>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</si>
  <si>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</si>
  <si>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</si>
  <si>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</si>
  <si>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</si>
  <si>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</si>
  <si>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</si>
  <si>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</si>
  <si>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</si>
  <si>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</si>
  <si>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</si>
  <si>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</si>
  <si>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</si>
  <si>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</si>
  <si>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</si>
  <si>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</si>
  <si>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</si>
  <si>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</si>
  <si>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</si>
  <si>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</si>
  <si>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</si>
  <si>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</si>
  <si>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</si>
  <si>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</si>
  <si>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</si>
  <si>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</si>
  <si>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</si>
  <si>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</si>
  <si>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</si>
  <si>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</si>
  <si>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</si>
  <si>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</si>
  <si>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</si>
  <si>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</si>
  <si>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</si>
  <si>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</si>
  <si>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</si>
  <si>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</si>
  <si>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</si>
  <si>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</si>
  <si>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</si>
  <si>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</si>
  <si>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</si>
  <si>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</si>
  <si>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</si>
  <si>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</si>
  <si>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</si>
  <si>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</si>
  <si>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</si>
  <si>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</si>
  <si>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</si>
  <si>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</si>
  <si>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</si>
  <si>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</si>
  <si>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</si>
  <si>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</si>
  <si>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</si>
  <si>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</si>
  <si>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</si>
  <si>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</si>
  <si>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</si>
  <si>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</si>
  <si>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</si>
  <si>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</si>
  <si>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</si>
  <si>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</si>
  <si>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</si>
  <si>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</si>
  <si>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</si>
  <si>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</si>
  <si>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</si>
  <si>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</si>
  <si>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</si>
  <si>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</si>
  <si>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</si>
  <si>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</si>
  <si>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</si>
  <si>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</si>
  <si>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</si>
  <si>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</si>
  <si>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</si>
  <si>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</si>
  <si>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</si>
  <si>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</si>
  <si>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</si>
  <si>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</si>
  <si>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</si>
  <si>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</si>
  <si>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</si>
  <si>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</si>
  <si>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</si>
  <si>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</si>
  <si>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</si>
  <si>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</si>
  <si>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</si>
  <si>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</si>
  <si>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</si>
  <si>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</si>
  <si>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</si>
  <si>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</si>
  <si>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</si>
  <si>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</si>
  <si>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</si>
  <si>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</si>
  <si>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</si>
  <si>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</si>
  <si>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</si>
  <si>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</si>
  <si>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</si>
  <si>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</si>
  <si>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</si>
  <si>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</si>
  <si>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</si>
  <si>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</si>
  <si>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</si>
  <si>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</si>
  <si>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</si>
  <si>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</si>
  <si>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</si>
  <si>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</si>
  <si>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</si>
  <si>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</si>
  <si>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</si>
  <si>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</si>
  <si>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</si>
  <si>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</si>
  <si>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</si>
  <si>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</si>
  <si>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</si>
  <si>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</si>
  <si>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</si>
  <si>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</si>
  <si>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</si>
  <si>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</si>
  <si>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</si>
  <si>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</si>
  <si>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</si>
  <si>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</si>
  <si>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</si>
  <si>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</si>
  <si>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</si>
  <si>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</si>
  <si>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</si>
  <si>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</si>
  <si>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</si>
  <si>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</si>
  <si>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</si>
  <si>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</si>
  <si>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</si>
  <si>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</si>
  <si>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</si>
  <si>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</si>
  <si>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</si>
  <si>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</si>
  <si>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</si>
  <si>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</si>
  <si>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</si>
  <si>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</si>
  <si>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</si>
  <si>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</si>
  <si>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</si>
  <si>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</si>
  <si>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</si>
  <si>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</si>
  <si>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</si>
  <si>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</si>
  <si>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</si>
  <si>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</si>
  <si>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</si>
  <si>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</si>
  <si>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</si>
  <si>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</si>
  <si>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</si>
  <si>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</si>
  <si>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</si>
  <si>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</si>
  <si>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</si>
  <si>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</si>
  <si>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</si>
  <si>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</si>
  <si>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</si>
  <si>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</si>
  <si>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</si>
  <si>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</si>
  <si>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</si>
  <si>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</si>
  <si>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</si>
  <si>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</si>
  <si>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</si>
  <si>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</si>
  <si>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</si>
  <si>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</si>
  <si>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</si>
  <si>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</si>
  <si>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</si>
  <si>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</si>
  <si>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</si>
  <si>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</si>
  <si>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</si>
  <si>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</si>
  <si>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</si>
  <si>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</si>
  <si>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</si>
  <si>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</si>
  <si>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</si>
  <si>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</si>
  <si>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</si>
  <si>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</si>
  <si>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</si>
  <si>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</si>
  <si>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</si>
  <si>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</si>
  <si>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</si>
  <si>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</si>
  <si>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</si>
  <si>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</si>
  <si>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</si>
  <si>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</si>
  <si>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</si>
  <si>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</si>
  <si>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</si>
  <si>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</si>
  <si>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</si>
  <si>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</si>
  <si>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</si>
  <si>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</si>
  <si>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</si>
  <si>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</si>
  <si>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</si>
  <si>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</si>
  <si>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</si>
  <si>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</si>
  <si>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</si>
  <si>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</si>
  <si>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</si>
  <si>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</si>
  <si>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</si>
  <si>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</si>
  <si>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</si>
  <si>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</si>
  <si>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</si>
  <si>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</si>
  <si>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</si>
  <si>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</si>
  <si>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</si>
  <si>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</si>
  <si>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</si>
  <si>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</si>
  <si>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</si>
  <si>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</si>
  <si>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</si>
  <si>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</si>
  <si>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</si>
  <si>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</si>
  <si>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</si>
  <si>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</si>
  <si>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</si>
  <si>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</si>
  <si>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</si>
  <si>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</si>
  <si>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</si>
  <si>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</si>
  <si>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</si>
  <si>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</si>
  <si>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</si>
  <si>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</si>
  <si>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</si>
  <si>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</si>
  <si>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</si>
  <si>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</si>
  <si>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</si>
  <si>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</si>
  <si>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</si>
  <si>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</si>
  <si>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</si>
  <si>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</si>
  <si>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</si>
  <si>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</si>
  <si>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</si>
  <si>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</si>
  <si>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</si>
  <si>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</si>
  <si>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</si>
  <si>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</si>
  <si>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</si>
  <si>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</si>
  <si>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</si>
  <si>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</si>
  <si>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</si>
  <si>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</si>
  <si>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</si>
  <si>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</si>
  <si>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</si>
  <si>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</si>
  <si>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</si>
  <si>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</si>
  <si>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</si>
  <si>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</si>
  <si>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</si>
  <si>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</si>
  <si>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</si>
  <si>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</si>
  <si>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</si>
  <si>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</si>
  <si>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</si>
  <si>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</si>
  <si>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</si>
  <si>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</si>
  <si>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</si>
  <si>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</si>
  <si>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</si>
  <si>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</si>
  <si>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</si>
  <si>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</si>
  <si>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</si>
  <si>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</si>
  <si>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</si>
  <si>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</si>
  <si>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</si>
  <si>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</si>
  <si>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</si>
  <si>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</si>
  <si>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</si>
  <si>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</si>
  <si>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</si>
  <si>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</si>
  <si>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</si>
  <si>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</si>
  <si>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</si>
  <si>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</si>
  <si>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</si>
  <si>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</si>
  <si>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</si>
  <si>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</si>
  <si>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</si>
  <si>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</si>
  <si>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</si>
  <si>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</si>
  <si>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</si>
  <si>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</si>
  <si>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</si>
  <si>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</si>
  <si>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</si>
  <si>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</si>
  <si>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</si>
  <si>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</si>
  <si>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</si>
  <si>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</si>
  <si>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</si>
  <si>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</si>
  <si>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</si>
  <si>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</si>
  <si>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</si>
  <si>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</si>
  <si>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</si>
  <si>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</si>
  <si>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</si>
  <si>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</si>
  <si>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</si>
  <si>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</si>
  <si>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</si>
  <si>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</si>
  <si>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</si>
  <si>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</si>
  <si>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</si>
  <si>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</si>
  <si>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</si>
  <si>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</si>
  <si>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</si>
  <si>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</si>
  <si>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</si>
  <si>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</si>
  <si>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</si>
  <si>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</si>
  <si>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</si>
  <si>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</si>
  <si>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</si>
  <si>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</si>
  <si>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</si>
  <si>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</si>
  <si>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</si>
  <si>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</si>
  <si>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</si>
  <si>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</si>
  <si>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</si>
  <si>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</si>
  <si>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</si>
  <si>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</si>
  <si>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</si>
  <si>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</si>
  <si>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</si>
  <si>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</si>
  <si>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</si>
  <si>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</si>
  <si>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</si>
  <si>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</si>
  <si>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</si>
  <si>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</si>
  <si>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</si>
  <si>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</si>
  <si>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</si>
  <si>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</si>
  <si>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</si>
  <si>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</si>
  <si>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</si>
  <si>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</si>
  <si>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</si>
  <si>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</si>
  <si>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</si>
  <si>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</si>
  <si>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</si>
  <si>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</si>
  <si>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</si>
  <si>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</si>
  <si>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</si>
  <si>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</si>
  <si>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</si>
  <si>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</si>
  <si>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</si>
  <si>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</si>
  <si>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</si>
  <si>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</si>
  <si>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</si>
  <si>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</si>
  <si>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</si>
  <si>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</si>
  <si>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</si>
  <si>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</si>
  <si>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</si>
  <si>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</si>
  <si>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</si>
  <si>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</si>
  <si>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</si>
  <si>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</si>
  <si>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</si>
  <si>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</si>
  <si>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</si>
  <si>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</si>
  <si>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</si>
  <si>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</si>
  <si>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</si>
  <si>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</si>
  <si>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</si>
  <si>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</si>
  <si>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</si>
  <si>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</si>
  <si>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</si>
  <si>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</si>
  <si>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</si>
  <si>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</si>
  <si>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</si>
  <si>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</si>
  <si>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</si>
  <si>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</si>
  <si>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</si>
  <si>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</si>
  <si>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</si>
  <si>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</si>
  <si>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</si>
  <si>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</si>
  <si>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</si>
  <si>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</si>
  <si>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</si>
  <si>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</si>
  <si>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</si>
  <si>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</si>
  <si>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</si>
  <si>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</si>
  <si>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</si>
  <si>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</si>
  <si>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</si>
  <si>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</si>
  <si>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</si>
  <si>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</si>
  <si>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</si>
  <si>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</si>
  <si>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</si>
  <si>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</si>
  <si>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</si>
  <si>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</si>
  <si>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</si>
  <si>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</si>
  <si>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</si>
  <si>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</si>
  <si>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</si>
  <si>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</si>
  <si>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</si>
  <si>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</si>
  <si>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</si>
  <si>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</si>
  <si>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</si>
  <si>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</si>
  <si>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</si>
  <si>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</si>
  <si>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</si>
  <si>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</si>
  <si>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</si>
  <si>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</si>
  <si>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</si>
  <si>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</si>
  <si>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</si>
  <si>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</si>
  <si>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</si>
  <si>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</si>
  <si>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</si>
  <si>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</si>
  <si>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</si>
  <si>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</si>
  <si>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</si>
  <si>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</si>
  <si>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</si>
  <si>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</si>
  <si>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</si>
  <si>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</si>
  <si>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</si>
  <si>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</si>
  <si>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</si>
  <si>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</si>
  <si>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</si>
  <si>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</si>
  <si>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</si>
  <si>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</si>
  <si>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</si>
  <si>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</si>
  <si>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</si>
  <si>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</si>
  <si>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</si>
  <si>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</si>
  <si>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</si>
  <si>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</si>
  <si>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</si>
  <si>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</si>
  <si>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</si>
  <si>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</si>
  <si>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</si>
  <si>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</si>
  <si>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</si>
  <si>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</si>
  <si>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</si>
  <si>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</si>
  <si>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</si>
  <si>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</si>
  <si>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</si>
  <si>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</si>
  <si>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</si>
  <si>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</si>
  <si>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</si>
  <si>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</si>
  <si>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</si>
  <si>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</si>
  <si>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</si>
  <si>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</si>
  <si>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</si>
  <si>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</si>
  <si>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</si>
  <si>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</si>
  <si>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</si>
  <si>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</si>
  <si>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</si>
  <si>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</si>
  <si>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</si>
  <si>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</si>
  <si>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</si>
  <si>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</si>
  <si>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</si>
  <si>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</si>
  <si>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</si>
  <si>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</si>
  <si>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</si>
  <si>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</si>
  <si>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</si>
  <si>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</si>
  <si>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</si>
  <si>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</si>
  <si>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</si>
  <si>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</si>
  <si>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</si>
  <si>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</si>
  <si>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</si>
  <si>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</si>
  <si>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</si>
  <si>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</si>
  <si>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</si>
  <si>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</si>
  <si>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</si>
  <si>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</si>
  <si>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</si>
  <si>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</si>
  <si>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</si>
  <si>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</si>
  <si>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</si>
  <si>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</si>
  <si>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</si>
  <si>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</si>
  <si>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</si>
  <si>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</si>
  <si>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</si>
  <si>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</si>
  <si>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</si>
  <si>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</si>
  <si>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</si>
  <si>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</si>
  <si>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</si>
  <si>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</si>
  <si>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</si>
  <si>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</si>
  <si>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</si>
  <si>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</si>
  <si>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</si>
  <si>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</si>
  <si>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</si>
  <si>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</si>
  <si>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</si>
  <si>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</si>
  <si>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</si>
  <si>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</si>
  <si>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</si>
  <si>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</si>
  <si>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</si>
  <si>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</si>
  <si>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</si>
  <si>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</si>
  <si>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</si>
  <si>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</si>
  <si>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</si>
  <si>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</si>
  <si>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</si>
  <si>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</si>
  <si>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</si>
  <si>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</si>
  <si>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</si>
  <si>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</si>
  <si>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</si>
  <si>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</si>
  <si>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</si>
  <si>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</si>
  <si>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</si>
  <si>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</si>
  <si>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</si>
  <si>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</si>
  <si>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</si>
  <si>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</si>
  <si>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</si>
  <si>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</si>
  <si>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</si>
  <si>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</si>
  <si>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</si>
  <si>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</si>
  <si>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</si>
  <si>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</si>
  <si>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</si>
  <si>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</si>
  <si>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</si>
  <si>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</si>
  <si>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</si>
  <si>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</si>
  <si>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</si>
  <si>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</si>
  <si>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</si>
  <si>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</si>
  <si>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</si>
  <si>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</si>
  <si>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</si>
  <si>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</si>
  <si>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Ⅹ-平1</t>
  </si>
  <si>
    <t>城镇住宅用地</t>
  </si>
  <si>
    <t>自定义容积率</t>
  </si>
  <si>
    <t>通路</t>
  </si>
  <si>
    <t>通电</t>
  </si>
  <si>
    <t>通讯</t>
  </si>
  <si>
    <t>通上水</t>
  </si>
  <si>
    <t>通下水</t>
  </si>
  <si>
    <t>通热</t>
  </si>
  <si>
    <t>燃气</t>
  </si>
  <si>
    <t>平整</t>
  </si>
  <si>
    <t>不临65条商业街</t>
  </si>
  <si>
    <t>无</t>
  </si>
  <si>
    <t>1000米以外</t>
  </si>
  <si>
    <t>北京市</t>
  </si>
  <si>
    <t>企业</t>
  </si>
  <si>
    <t>核定资产</t>
  </si>
  <si>
    <t>房地产市场价值</t>
  </si>
  <si>
    <t>仓储</t>
    <phoneticPr fontId="7" type="noConversion"/>
  </si>
  <si>
    <t>未包含在土地购买价格中</t>
  </si>
  <si>
    <t>已包含在土地取得成本中</t>
  </si>
  <si>
    <t>是</t>
  </si>
  <si>
    <t>成新度</t>
  </si>
  <si>
    <t>观岭家园仓储未售</t>
    <phoneticPr fontId="134" type="noConversion"/>
  </si>
  <si>
    <t>序号</t>
    <phoneticPr fontId="134" type="noConversion"/>
  </si>
  <si>
    <t>仓储所在楼号</t>
    <phoneticPr fontId="134" type="noConversion"/>
  </si>
  <si>
    <t>预测仓储房号</t>
    <phoneticPr fontId="134" type="noConversion"/>
  </si>
  <si>
    <t>实测仓储房号</t>
    <phoneticPr fontId="134" type="noConversion"/>
  </si>
  <si>
    <t>仓储楼层</t>
    <phoneticPr fontId="134" type="noConversion"/>
  </si>
  <si>
    <t>房屋坐落</t>
    <phoneticPr fontId="134" type="noConversion"/>
  </si>
  <si>
    <t>备注</t>
    <phoneticPr fontId="134" type="noConversion"/>
  </si>
  <si>
    <t>A1</t>
    <phoneticPr fontId="134" type="noConversion"/>
  </si>
  <si>
    <t>A1-108</t>
  </si>
  <si>
    <t>A1-B101</t>
  </si>
  <si>
    <t>-1</t>
    <phoneticPr fontId="134" type="noConversion"/>
  </si>
  <si>
    <t>平谷区兴谷街道寨笆路8号院1号楼-1层B101</t>
    <phoneticPr fontId="134" type="noConversion"/>
  </si>
  <si>
    <t>A1-109</t>
  </si>
  <si>
    <t>A1-B102</t>
  </si>
  <si>
    <t>平谷区兴谷街道寨笆路8号院1号楼-1层B102</t>
  </si>
  <si>
    <t>A1-110</t>
  </si>
  <si>
    <t>A1-B103</t>
  </si>
  <si>
    <t>平谷区兴谷街道寨笆路8号院1号楼-1层B103</t>
  </si>
  <si>
    <t>A1-107</t>
  </si>
  <si>
    <t>A1-B105</t>
  </si>
  <si>
    <t>平谷区兴谷街道寨笆路8号院1号楼-1层B105</t>
    <phoneticPr fontId="134" type="noConversion"/>
  </si>
  <si>
    <t>A1-112</t>
  </si>
  <si>
    <t>A1-B106</t>
  </si>
  <si>
    <t>平谷区兴谷街道寨笆路8号院1号楼-1层B106</t>
  </si>
  <si>
    <t>A1-113</t>
  </si>
  <si>
    <t>A1-B107</t>
  </si>
  <si>
    <t>平谷区兴谷街道寨笆路8号院1号楼-1层B107</t>
  </si>
  <si>
    <t>A1-114</t>
  </si>
  <si>
    <t>A1-B108</t>
  </si>
  <si>
    <t>平谷区兴谷街道寨笆路8号院1号楼-1层B108</t>
  </si>
  <si>
    <t>A1-115</t>
  </si>
  <si>
    <t>A1-B109</t>
  </si>
  <si>
    <t>平谷区兴谷街道寨笆路8号院1号楼-1层B109</t>
  </si>
  <si>
    <t>A1-116</t>
  </si>
  <si>
    <t>A1-B110</t>
  </si>
  <si>
    <t>平谷区兴谷街道寨笆路8号院1号楼-1层B110</t>
  </si>
  <si>
    <t>A1-117</t>
  </si>
  <si>
    <t>A1-B111</t>
  </si>
  <si>
    <t>平谷区兴谷街道寨笆路8号院1号楼-1层B111</t>
  </si>
  <si>
    <t>A1-118</t>
  </si>
  <si>
    <t>A1-B112</t>
  </si>
  <si>
    <t>平谷区兴谷街道寨笆路8号院1号楼-1层B112</t>
  </si>
  <si>
    <t>A1-119</t>
  </si>
  <si>
    <t>A1-B113</t>
  </si>
  <si>
    <t>平谷区兴谷街道寨笆路8号院1号楼-1层B113</t>
  </si>
  <si>
    <t>A1-106</t>
  </si>
  <si>
    <t>A1-B114</t>
  </si>
  <si>
    <t>平谷区兴谷街道寨笆路8号院1号楼-1层B114</t>
  </si>
  <si>
    <t>A1-105</t>
  </si>
  <si>
    <t>A1-B115</t>
  </si>
  <si>
    <t>平谷区兴谷街道寨笆路8号院1号楼-1层B115</t>
  </si>
  <si>
    <t>A1-120</t>
  </si>
  <si>
    <t>A1-B116</t>
  </si>
  <si>
    <t>平谷区兴谷街道寨笆路8号院1号楼-1层B116</t>
  </si>
  <si>
    <t>A1-104</t>
  </si>
  <si>
    <t>A1-B121</t>
  </si>
  <si>
    <t>平谷区兴谷街道寨笆路8号院1号楼-1层B121</t>
    <phoneticPr fontId="134" type="noConversion"/>
  </si>
  <si>
    <t>A1-103</t>
  </si>
  <si>
    <t>A1-B122</t>
  </si>
  <si>
    <t>平谷区兴谷街道寨笆路8号院1号楼-1层B122</t>
  </si>
  <si>
    <t>A1-125</t>
  </si>
  <si>
    <t>A1-B123</t>
  </si>
  <si>
    <t>平谷区兴谷街道寨笆路8号院1号楼-1层B123</t>
  </si>
  <si>
    <t>A1-126</t>
  </si>
  <si>
    <t>A1-B124</t>
  </si>
  <si>
    <t>平谷区兴谷街道寨笆路8号院1号楼-1层B124</t>
  </si>
  <si>
    <t>A1-127</t>
  </si>
  <si>
    <t>A1-B125</t>
  </si>
  <si>
    <t>平谷区兴谷街道寨笆路8号院1号楼-1层B125</t>
  </si>
  <si>
    <t>A1-128</t>
  </si>
  <si>
    <t>A1-B126</t>
  </si>
  <si>
    <t>平谷区兴谷街道寨笆路8号院1号楼-1层B126</t>
  </si>
  <si>
    <t>A1-129</t>
  </si>
  <si>
    <t>A1-B127</t>
  </si>
  <si>
    <t>平谷区兴谷街道寨笆路8号院1号楼-1层B127</t>
  </si>
  <si>
    <t>A1-130</t>
  </si>
  <si>
    <t>A1-B128</t>
  </si>
  <si>
    <t>平谷区兴谷街道寨笆路8号院1号楼-1层B128</t>
  </si>
  <si>
    <t>A1-102</t>
  </si>
  <si>
    <t>A1-B129</t>
  </si>
  <si>
    <t>平谷区兴谷街道寨笆路8号院1号楼-1层B129</t>
  </si>
  <si>
    <t>A1-131</t>
  </si>
  <si>
    <t>A1-B130</t>
  </si>
  <si>
    <t>平谷区兴谷街道寨笆路8号院1号楼-1层B130</t>
  </si>
  <si>
    <t>A1-132</t>
  </si>
  <si>
    <t>A1-B131</t>
  </si>
  <si>
    <t>平谷区兴谷街道寨笆路8号院1号楼-1层B131</t>
  </si>
  <si>
    <t>A1-101</t>
  </si>
  <si>
    <t>A1-B132</t>
  </si>
  <si>
    <t>平谷区兴谷街道寨笆路8号院1号楼-1层B132</t>
  </si>
  <si>
    <t>A1-222</t>
  </si>
  <si>
    <t>A1-B201</t>
  </si>
  <si>
    <t>-2</t>
    <phoneticPr fontId="134" type="noConversion"/>
  </si>
  <si>
    <t>平谷区兴谷街道寨笆路8号院1号楼-2层B201</t>
    <phoneticPr fontId="134" type="noConversion"/>
  </si>
  <si>
    <t>A1-221</t>
  </si>
  <si>
    <t>A1-B202</t>
  </si>
  <si>
    <t>平谷区兴谷街道寨笆路8号院1号楼-2层B202</t>
  </si>
  <si>
    <t>A1-219</t>
  </si>
  <si>
    <t>A1-B204</t>
  </si>
  <si>
    <t>平谷区兴谷街道寨笆路8号院1号楼-2层B204</t>
    <phoneticPr fontId="134" type="noConversion"/>
  </si>
  <si>
    <t>A1-223</t>
  </si>
  <si>
    <t>A1-B205</t>
  </si>
  <si>
    <t>平谷区兴谷街道寨笆路8号院1号楼-2层B205</t>
  </si>
  <si>
    <t>A1-224</t>
  </si>
  <si>
    <t>A1-B206</t>
  </si>
  <si>
    <t>平谷区兴谷街道寨笆路8号院1号楼-2层B206</t>
  </si>
  <si>
    <t>A1-225</t>
  </si>
  <si>
    <t>A1-B207</t>
  </si>
  <si>
    <t>平谷区兴谷街道寨笆路8号院1号楼-2层B207</t>
  </si>
  <si>
    <t>A1-232</t>
  </si>
  <si>
    <t>A1-B214</t>
  </si>
  <si>
    <t>平谷区兴谷街道寨笆路8号院1号楼-2层B214</t>
    <phoneticPr fontId="134" type="noConversion"/>
  </si>
  <si>
    <t>A1-218</t>
  </si>
  <si>
    <t>A1-B216</t>
  </si>
  <si>
    <t>平谷区兴谷街道寨笆路8号院1号楼-2层B216</t>
    <phoneticPr fontId="134" type="noConversion"/>
  </si>
  <si>
    <t>A1-236</t>
  </si>
  <si>
    <t>A1-B222</t>
  </si>
  <si>
    <t>平谷区兴谷街道寨笆路8号院1号楼-2层B222</t>
    <phoneticPr fontId="134" type="noConversion"/>
  </si>
  <si>
    <t>A1-214</t>
  </si>
  <si>
    <t>A1-B223</t>
  </si>
  <si>
    <t>平谷区兴谷街道寨笆路8号院1号楼-2层B223</t>
  </si>
  <si>
    <t>A1-213</t>
  </si>
  <si>
    <t>A1-B224</t>
  </si>
  <si>
    <t>平谷区兴谷街道寨笆路8号院1号楼-2层B224</t>
  </si>
  <si>
    <t>A1-212</t>
  </si>
  <si>
    <t>A1-B227</t>
  </si>
  <si>
    <t>平谷区兴谷街道寨笆路8号院1号楼-2层B227</t>
    <phoneticPr fontId="134" type="noConversion"/>
  </si>
  <si>
    <t>A1-211</t>
  </si>
  <si>
    <t>A1-B228</t>
  </si>
  <si>
    <t>平谷区兴谷街道寨笆路8号院1号楼-2层B228</t>
  </si>
  <si>
    <t>A1-210</t>
  </si>
  <si>
    <t>A1-B231</t>
  </si>
  <si>
    <t>平谷区兴谷街道寨笆路8号院1号楼-2层B231</t>
    <phoneticPr fontId="134" type="noConversion"/>
  </si>
  <si>
    <t>A1-209</t>
  </si>
  <si>
    <t>A1-B232</t>
  </si>
  <si>
    <t>平谷区兴谷街道寨笆路8号院1号楼-2层B232</t>
  </si>
  <si>
    <t>A1-242</t>
  </si>
  <si>
    <t>A1-B234</t>
  </si>
  <si>
    <t>平谷区兴谷街道寨笆路8号院1号楼-2层B234</t>
    <phoneticPr fontId="134" type="noConversion"/>
  </si>
  <si>
    <t>A1-204</t>
  </si>
  <si>
    <t>A1-B247</t>
  </si>
  <si>
    <t>平谷区兴谷街道寨笆路8号院1号楼-2层B247</t>
    <phoneticPr fontId="134" type="noConversion"/>
  </si>
  <si>
    <t>A1-202</t>
  </si>
  <si>
    <t>A1-B249</t>
  </si>
  <si>
    <t>平谷区兴谷街道寨笆路8号院1号楼-2层B249</t>
    <phoneticPr fontId="134" type="noConversion"/>
  </si>
  <si>
    <t>A1-252</t>
  </si>
  <si>
    <t>A1-B251</t>
  </si>
  <si>
    <t>平谷区兴谷街道寨笆路8号院1号楼-2层B251</t>
    <phoneticPr fontId="134" type="noConversion"/>
  </si>
  <si>
    <t>A2</t>
    <phoneticPr fontId="134" type="noConversion"/>
  </si>
  <si>
    <t>A2-105</t>
  </si>
  <si>
    <t>A2-B101</t>
  </si>
  <si>
    <t>平谷区兴谷街道寨笆路8号院2号楼-1层B101</t>
    <phoneticPr fontId="134" type="noConversion"/>
  </si>
  <si>
    <t>A2-106</t>
  </si>
  <si>
    <t>A2-B102</t>
  </si>
  <si>
    <t>平谷区兴谷街道寨笆路8号院2号楼-1层B102</t>
  </si>
  <si>
    <t>A2-107</t>
  </si>
  <si>
    <t>A2-B103</t>
  </si>
  <si>
    <t>平谷区兴谷街道寨笆路8号院2号楼-1层B103</t>
  </si>
  <si>
    <t>A2-108</t>
  </si>
  <si>
    <t>A2-B104</t>
  </si>
  <si>
    <t>平谷区兴谷街道寨笆路8号院2号楼-1层B104</t>
  </si>
  <si>
    <t>A2-109</t>
  </si>
  <si>
    <t>A2-B105</t>
  </si>
  <si>
    <t>平谷区兴谷街道寨笆路8号院2号楼-1层B105</t>
  </si>
  <si>
    <t>A2-110</t>
  </si>
  <si>
    <t>A2-B106</t>
  </si>
  <si>
    <t>平谷区兴谷街道寨笆路8号院2号楼-1层B106</t>
  </si>
  <si>
    <t>A2-103</t>
  </si>
  <si>
    <t>A2-B108</t>
  </si>
  <si>
    <t>平谷区兴谷街道寨笆路8号院2号楼-1层B108</t>
    <phoneticPr fontId="134" type="noConversion"/>
  </si>
  <si>
    <t>A2-113</t>
  </si>
  <si>
    <t>A2-B111</t>
  </si>
  <si>
    <t>平谷区兴谷街道寨笆路8号院2号楼-1层B111</t>
    <phoneticPr fontId="134" type="noConversion"/>
  </si>
  <si>
    <t>A2-114</t>
  </si>
  <si>
    <t>A2-B112</t>
  </si>
  <si>
    <t>平谷区兴谷街道寨笆路8号院2号楼-1层B112</t>
  </si>
  <si>
    <t>A2-101</t>
  </si>
  <si>
    <t>A2-B113</t>
  </si>
  <si>
    <t>平谷区兴谷街道寨笆路8号院2号楼-1层B113</t>
  </si>
  <si>
    <t>A2-102</t>
  </si>
  <si>
    <t>A2-B114</t>
  </si>
  <si>
    <t>平谷区兴谷街道寨笆路8号院2号楼-1层B114</t>
  </si>
  <si>
    <t>A2-211</t>
  </si>
  <si>
    <t>A2-B201</t>
  </si>
  <si>
    <t>平谷区兴谷街道寨笆路8号院2号楼-2层B201</t>
    <phoneticPr fontId="134" type="noConversion"/>
  </si>
  <si>
    <t>A2-210</t>
  </si>
  <si>
    <t>A2-B202</t>
  </si>
  <si>
    <t>平谷区兴谷街道寨笆路8号院2号楼-2层B202</t>
  </si>
  <si>
    <t>A2-209</t>
  </si>
  <si>
    <t>A2-B203</t>
  </si>
  <si>
    <t>平谷区兴谷街道寨笆路8号院2号楼-2层B203</t>
  </si>
  <si>
    <t>A2-208</t>
  </si>
  <si>
    <t>A2-B204</t>
  </si>
  <si>
    <t>平谷区兴谷街道寨笆路8号院2号楼-2层B204</t>
  </si>
  <si>
    <t>A2-212</t>
  </si>
  <si>
    <t>A2-B205</t>
  </si>
  <si>
    <t>平谷区兴谷街道寨笆路8号院2号楼-2层B205</t>
  </si>
  <si>
    <t>A2-213</t>
  </si>
  <si>
    <t>A2-B206</t>
  </si>
  <si>
    <t>平谷区兴谷街道寨笆路8号院2号楼-2层B206</t>
  </si>
  <si>
    <t>A2-215</t>
  </si>
  <si>
    <t>A2-B208</t>
  </si>
  <si>
    <t>平谷区兴谷街道寨笆路8号院2号楼-2层B208</t>
    <phoneticPr fontId="134" type="noConversion"/>
  </si>
  <si>
    <t>A2-216</t>
  </si>
  <si>
    <t>A2-B209</t>
  </si>
  <si>
    <t>平谷区兴谷街道寨笆路8号院2号楼-2层B209</t>
  </si>
  <si>
    <t>A2-217</t>
  </si>
  <si>
    <t>A2-B210</t>
  </si>
  <si>
    <t>平谷区兴谷街道寨笆路8号院2号楼-2层B210</t>
  </si>
  <si>
    <t>A2-220</t>
  </si>
  <si>
    <t>A2-B213</t>
  </si>
  <si>
    <t>平谷区兴谷街道寨笆路8号院2号楼-2层B213</t>
    <phoneticPr fontId="134" type="noConversion"/>
  </si>
  <si>
    <t>A2-222</t>
  </si>
  <si>
    <t>A2-B217</t>
  </si>
  <si>
    <t>平谷区兴谷街道寨笆路8号院2号楼-2层B217</t>
    <phoneticPr fontId="134" type="noConversion"/>
  </si>
  <si>
    <t>A2-223</t>
  </si>
  <si>
    <t>A2-B218</t>
  </si>
  <si>
    <t>平谷区兴谷街道寨笆路8号院2号楼-2层B218</t>
  </si>
  <si>
    <t>A2-224</t>
  </si>
  <si>
    <t>A2-B219</t>
  </si>
  <si>
    <t>平谷区兴谷街道寨笆路8号院2号楼-2层B219</t>
  </si>
  <si>
    <t>A2-201</t>
  </si>
  <si>
    <t>A2-B221</t>
  </si>
  <si>
    <t>平谷区兴谷街道寨笆路8号院2号楼-2层B221</t>
    <phoneticPr fontId="134" type="noConversion"/>
  </si>
  <si>
    <t>A2-202</t>
  </si>
  <si>
    <t>A2-B222</t>
  </si>
  <si>
    <t>平谷区兴谷街道寨笆路8号院2号楼-2层B222</t>
  </si>
  <si>
    <t>A2-203</t>
  </si>
  <si>
    <t>A2-B223</t>
  </si>
  <si>
    <t>平谷区兴谷街道寨笆路8号院2号楼-2层B223</t>
  </si>
  <si>
    <t>A2-204</t>
  </si>
  <si>
    <t>A2-B224</t>
  </si>
  <si>
    <t>平谷区兴谷街道寨笆路8号院2号楼-2层B224</t>
  </si>
  <si>
    <t>A3</t>
    <phoneticPr fontId="134" type="noConversion"/>
  </si>
  <si>
    <t>A3-108</t>
  </si>
  <si>
    <t>A3-B101</t>
  </si>
  <si>
    <t>平谷区兴谷街道寨笆路8号院3号楼-1层B101</t>
    <phoneticPr fontId="134" type="noConversion"/>
  </si>
  <si>
    <t>A3-109</t>
  </si>
  <si>
    <t>A3-B103</t>
  </si>
  <si>
    <t>平谷区兴谷街道寨笆路8号院3号楼-1层B103</t>
    <phoneticPr fontId="134" type="noConversion"/>
  </si>
  <si>
    <t>A3-110</t>
  </si>
  <si>
    <t>A3-B104</t>
  </si>
  <si>
    <t>平谷区兴谷街道寨笆路8号院3号楼-1层B104</t>
  </si>
  <si>
    <t>A3-111</t>
  </si>
  <si>
    <t>A3-B105</t>
  </si>
  <si>
    <t>平谷区兴谷街道寨笆路8号院3号楼-1层B105</t>
  </si>
  <si>
    <t>A3-112</t>
  </si>
  <si>
    <t>A3-B106</t>
  </si>
  <si>
    <t>平谷区兴谷街道寨笆路8号院3号楼-1层B106</t>
  </si>
  <si>
    <t>A3-113</t>
  </si>
  <si>
    <t>A3-B107</t>
  </si>
  <si>
    <t>平谷区兴谷街道寨笆路8号院3号楼-1层B107</t>
  </si>
  <si>
    <t>A3-114</t>
  </si>
  <si>
    <t>A3-B108</t>
  </si>
  <si>
    <t>平谷区兴谷街道寨笆路8号院3号楼-1层B108</t>
  </si>
  <si>
    <t>A3-115</t>
  </si>
  <si>
    <t>A3-B109</t>
  </si>
  <si>
    <t>平谷区兴谷街道寨笆路8号院3号楼-1层B109</t>
  </si>
  <si>
    <t>A3-116</t>
  </si>
  <si>
    <t>A3-B110</t>
  </si>
  <si>
    <t>平谷区兴谷街道寨笆路8号院3号楼-1层B110</t>
  </si>
  <si>
    <t>A3-106</t>
  </si>
  <si>
    <t>A3-B111</t>
  </si>
  <si>
    <t>平谷区兴谷街道寨笆路8号院3号楼-1层B111</t>
  </si>
  <si>
    <t>A3-117</t>
  </si>
  <si>
    <t>A3-B113</t>
  </si>
  <si>
    <t>平谷区兴谷街道寨笆路8号院3号楼-1层B113</t>
    <phoneticPr fontId="134" type="noConversion"/>
  </si>
  <si>
    <t>A3-119</t>
  </si>
  <si>
    <t>A3-B115</t>
  </si>
  <si>
    <t>平谷区兴谷街道寨笆路8号院3号楼-1层B115</t>
    <phoneticPr fontId="134" type="noConversion"/>
  </si>
  <si>
    <t>A3-120</t>
  </si>
  <si>
    <t>A3-B116</t>
  </si>
  <si>
    <t>平谷区兴谷街道寨笆路8号院3号楼-1层B116</t>
  </si>
  <si>
    <t>A3-121</t>
  </si>
  <si>
    <t>A3-B117</t>
  </si>
  <si>
    <t>平谷区兴谷街道寨笆路8号院3号楼-1层B117</t>
  </si>
  <si>
    <t>A3-104</t>
  </si>
  <si>
    <t>A3-B118</t>
  </si>
  <si>
    <t>平谷区兴谷街道寨笆路8号院3号楼-1层B118</t>
  </si>
  <si>
    <t>A3-103</t>
  </si>
  <si>
    <t>A3-B119</t>
  </si>
  <si>
    <t>平谷区兴谷街道寨笆路8号院3号楼-1层B119</t>
  </si>
  <si>
    <t>A3-122</t>
  </si>
  <si>
    <t>A3-B120</t>
  </si>
  <si>
    <t>平谷区兴谷街道寨笆路8号院3号楼-1层B120</t>
  </si>
  <si>
    <t>A3-123</t>
  </si>
  <si>
    <t>A3-B121</t>
  </si>
  <si>
    <t>平谷区兴谷街道寨笆路8号院3号楼-1层B121</t>
  </si>
  <si>
    <t>A3-124</t>
  </si>
  <si>
    <t>A3-B122</t>
  </si>
  <si>
    <t>平谷区兴谷街道寨笆路8号院3号楼-1层B122</t>
  </si>
  <si>
    <t>A3-126</t>
  </si>
  <si>
    <t>A3-B124</t>
  </si>
  <si>
    <t>平谷区兴谷街道寨笆路8号院3号楼-1层B124</t>
    <phoneticPr fontId="134" type="noConversion"/>
  </si>
  <si>
    <t>A3-127</t>
  </si>
  <si>
    <t>A3-B125</t>
  </si>
  <si>
    <t>平谷区兴谷街道寨笆路8号院3号楼-1层B125</t>
  </si>
  <si>
    <t>A3-128</t>
  </si>
  <si>
    <t>A3-B126</t>
  </si>
  <si>
    <t>平谷区兴谷街道寨笆路8号院3号楼-1层B126</t>
  </si>
  <si>
    <t>A3-129</t>
  </si>
  <si>
    <t>A3-B127</t>
  </si>
  <si>
    <t>平谷区兴谷街道寨笆路8号院3号楼-1层B127</t>
  </si>
  <si>
    <t>A3-130</t>
  </si>
  <si>
    <t>A3-B128</t>
  </si>
  <si>
    <t>平谷区兴谷街道寨笆路8号院3号楼-1层B128</t>
  </si>
  <si>
    <t>A3-131</t>
  </si>
  <si>
    <t>A3-B129</t>
  </si>
  <si>
    <t>平谷区兴谷街道寨笆路8号院3号楼-1层B129</t>
  </si>
  <si>
    <t>A3-132</t>
  </si>
  <si>
    <t>A3-B130</t>
  </si>
  <si>
    <t>平谷区兴谷街道寨笆路8号院3号楼-1层B130</t>
  </si>
  <si>
    <t>A3-101</t>
  </si>
  <si>
    <t>A3-B132</t>
  </si>
  <si>
    <t>平谷区兴谷街道寨笆路8号院3号楼-1层B132</t>
    <phoneticPr fontId="134" type="noConversion"/>
  </si>
  <si>
    <t>A3-221</t>
  </si>
  <si>
    <t>A3-B202</t>
  </si>
  <si>
    <t>平谷区兴谷街道寨笆路8号院3号楼-2层B202</t>
    <phoneticPr fontId="134" type="noConversion"/>
  </si>
  <si>
    <t>A3-220</t>
  </si>
  <si>
    <t>A3-B203</t>
  </si>
  <si>
    <t>平谷区兴谷街道寨笆路8号院3号楼-2层B203</t>
  </si>
  <si>
    <t>A3-219</t>
  </si>
  <si>
    <t>A3-B204</t>
  </si>
  <si>
    <t>平谷区兴谷街道寨笆路8号院3号楼-2层B204</t>
  </si>
  <si>
    <t>A3-223</t>
  </si>
  <si>
    <t>A3-B205</t>
  </si>
  <si>
    <t>平谷区兴谷街道寨笆路8号院3号楼-2层B205</t>
  </si>
  <si>
    <t>A3-227</t>
  </si>
  <si>
    <t>A3-B209</t>
  </si>
  <si>
    <t>平谷区兴谷街道寨笆路8号院3号楼-2层B209</t>
    <phoneticPr fontId="134" type="noConversion"/>
  </si>
  <si>
    <t>A3-228</t>
  </si>
  <si>
    <t>A3-B210</t>
  </si>
  <si>
    <t>平谷区兴谷街道寨笆路8号院3号楼-2层B210</t>
  </si>
  <si>
    <t>A3-229</t>
  </si>
  <si>
    <t>A3-B211</t>
  </si>
  <si>
    <t>平谷区兴谷街道寨笆路8号院3号楼-2层B211</t>
  </si>
  <si>
    <t>A3-230</t>
  </si>
  <si>
    <t>A3-B212</t>
  </si>
  <si>
    <t>平谷区兴谷街道寨笆路8号院3号楼-2层B212</t>
  </si>
  <si>
    <t>A3-231</t>
  </si>
  <si>
    <t>A3-B213</t>
  </si>
  <si>
    <t>平谷区兴谷街道寨笆路8号院3号楼-2层B213</t>
  </si>
  <si>
    <t>A3-233</t>
  </si>
  <si>
    <t>A3-B219</t>
  </si>
  <si>
    <t>平谷区兴谷街道寨笆路8号院3号楼-2层B219</t>
    <phoneticPr fontId="134" type="noConversion"/>
  </si>
  <si>
    <t>A3-234</t>
  </si>
  <si>
    <t>A3-B220</t>
  </si>
  <si>
    <t>平谷区兴谷街道寨笆路8号院3号楼-2层B220</t>
  </si>
  <si>
    <t>A3-214</t>
  </si>
  <si>
    <t>A3-B221</t>
  </si>
  <si>
    <t>平谷区兴谷街道寨笆路8号院3号楼-2层B221</t>
  </si>
  <si>
    <t>A3-213</t>
  </si>
  <si>
    <t>A3-B222</t>
  </si>
  <si>
    <t>平谷区兴谷街道寨笆路8号院3号楼-2层B222</t>
  </si>
  <si>
    <t>A3-212</t>
  </si>
  <si>
    <t>A3-B225</t>
  </si>
  <si>
    <t>平谷区兴谷街道寨笆路8号院3号楼-2层B225</t>
    <phoneticPr fontId="134" type="noConversion"/>
  </si>
  <si>
    <t>A3-211</t>
  </si>
  <si>
    <t>A3-B226</t>
  </si>
  <si>
    <t>平谷区兴谷街道寨笆路8号院3号楼-2层B226</t>
    <phoneticPr fontId="134" type="noConversion"/>
  </si>
  <si>
    <t>A3-210</t>
  </si>
  <si>
    <t>A3-B229</t>
  </si>
  <si>
    <t>平谷区兴谷街道寨笆路8号院3号楼-2层B229</t>
    <phoneticPr fontId="134" type="noConversion"/>
  </si>
  <si>
    <t>A3-209</t>
  </si>
  <si>
    <t>A3-B230</t>
  </si>
  <si>
    <t>平谷区兴谷街道寨笆路8号院3号楼-2层B230</t>
  </si>
  <si>
    <t>A3-239</t>
  </si>
  <si>
    <t>A3-B231</t>
  </si>
  <si>
    <t>平谷区兴谷街道寨笆路8号院3号楼-2层B231</t>
  </si>
  <si>
    <t>A3-240</t>
  </si>
  <si>
    <t>A3-B232</t>
  </si>
  <si>
    <t>平谷区兴谷街道寨笆路8号院3号楼-2层B232</t>
  </si>
  <si>
    <t>A3-205</t>
  </si>
  <si>
    <t>A3-B237</t>
  </si>
  <si>
    <t>平谷区兴谷街道寨笆路8号院3号楼-2层B237</t>
    <phoneticPr fontId="134" type="noConversion"/>
  </si>
  <si>
    <t>A3-242</t>
  </si>
  <si>
    <t>A3-B238</t>
  </si>
  <si>
    <t>平谷区兴谷街道寨笆路8号院3号楼-2层B238</t>
  </si>
  <si>
    <t>A3-243</t>
  </si>
  <si>
    <t>A3-B239</t>
  </si>
  <si>
    <t>平谷区兴谷街道寨笆路8号院3号楼-2层B239</t>
  </si>
  <si>
    <t>A3-244</t>
  </si>
  <si>
    <t>A3-B240</t>
  </si>
  <si>
    <t>平谷区兴谷街道寨笆路8号院3号楼-2层B240</t>
  </si>
  <si>
    <t>A3-245</t>
  </si>
  <si>
    <t>A3-B241</t>
  </si>
  <si>
    <t>平谷区兴谷街道寨笆路8号院3号楼-2层B241</t>
  </si>
  <si>
    <t>A3-247</t>
  </si>
  <si>
    <t>A3-B243</t>
  </si>
  <si>
    <t>平谷区兴谷街道寨笆路8号院3号楼-2层B243</t>
    <phoneticPr fontId="134" type="noConversion"/>
  </si>
  <si>
    <t>A3-248</t>
  </si>
  <si>
    <t>A3-B244</t>
  </si>
  <si>
    <t>平谷区兴谷街道寨笆路8号院3号楼-2层B244</t>
  </si>
  <si>
    <t>A3-249</t>
  </si>
  <si>
    <t>A3-B245</t>
  </si>
  <si>
    <t>平谷区兴谷街道寨笆路8号院3号楼-2层B245</t>
  </si>
  <si>
    <t>A3-204</t>
  </si>
  <si>
    <t>A3-B247</t>
  </si>
  <si>
    <t>平谷区兴谷街道寨笆路8号院3号楼-2层B247</t>
    <phoneticPr fontId="134" type="noConversion"/>
  </si>
  <si>
    <t>A3-203</t>
  </si>
  <si>
    <t>A3-B248</t>
  </si>
  <si>
    <t>平谷区兴谷街道寨笆路8号院3号楼-2层B248</t>
  </si>
  <si>
    <t>A3-202</t>
  </si>
  <si>
    <t>A3-B249</t>
  </si>
  <si>
    <t>平谷区兴谷街道寨笆路8号院3号楼-2层B249</t>
  </si>
  <si>
    <t>A3-251</t>
  </si>
  <si>
    <t>A3-B250</t>
  </si>
  <si>
    <t>平谷区兴谷街道寨笆路8号院3号楼-2层B250</t>
  </si>
  <si>
    <t>A3-252</t>
  </si>
  <si>
    <t>A3-B251</t>
  </si>
  <si>
    <t>平谷区兴谷街道寨笆路8号院3号楼-2层B251</t>
  </si>
  <si>
    <t>A3-201</t>
  </si>
  <si>
    <t>A3-B252</t>
  </si>
  <si>
    <t>平谷区兴谷街道寨笆路8号院3号楼-2层B252</t>
  </si>
  <si>
    <t>A4</t>
    <phoneticPr fontId="134" type="noConversion"/>
  </si>
  <si>
    <t>A4-102</t>
  </si>
  <si>
    <t>A4-B104</t>
  </si>
  <si>
    <t>平谷区兴谷街道寨笆路8号院4号楼-1层B104</t>
    <phoneticPr fontId="134" type="noConversion"/>
  </si>
  <si>
    <t>-</t>
  </si>
  <si>
    <t>A4-B106</t>
  </si>
  <si>
    <t>平谷区兴谷街道寨笆路8号院4号楼-1层B106</t>
    <phoneticPr fontId="134" type="noConversion"/>
  </si>
  <si>
    <t>A4-B107</t>
  </si>
  <si>
    <t>平谷区兴谷街道寨笆路8号院4号楼-1层B107</t>
  </si>
  <si>
    <t>A4-B108</t>
  </si>
  <si>
    <t>平谷区兴谷街道寨笆路8号院4号楼-1层B108</t>
  </si>
  <si>
    <t>A4-B109</t>
  </si>
  <si>
    <t>平谷区兴谷街道寨笆路8号院4号楼-1层B109</t>
  </si>
  <si>
    <t>A4-109</t>
  </si>
  <si>
    <t>A4-B111</t>
  </si>
  <si>
    <t>平谷区兴谷街道寨笆路8号院4号楼-1层B111</t>
    <phoneticPr fontId="134" type="noConversion"/>
  </si>
  <si>
    <t>A4-110</t>
  </si>
  <si>
    <t>A4-B112</t>
  </si>
  <si>
    <t>平谷区兴谷街道寨笆路8号院4号楼-1层B112</t>
  </si>
  <si>
    <t>A5</t>
    <phoneticPr fontId="134" type="noConversion"/>
  </si>
  <si>
    <t>A5-103</t>
  </si>
  <si>
    <t>A5-B101</t>
  </si>
  <si>
    <t>平谷区兴谷街道寨笆路8号院5号楼-1层B101</t>
    <phoneticPr fontId="134" type="noConversion"/>
  </si>
  <si>
    <t>A5-104</t>
  </si>
  <si>
    <t>A5-B102</t>
  </si>
  <si>
    <t>平谷区兴谷街道寨笆路8号院5号楼-1层B102</t>
  </si>
  <si>
    <t>A5-105</t>
  </si>
  <si>
    <t>A5-B103</t>
  </si>
  <si>
    <t>平谷区兴谷街道寨笆路8号院5号楼-1层B103</t>
  </si>
  <si>
    <t>A5-106</t>
  </si>
  <si>
    <t>A5-B104</t>
  </si>
  <si>
    <t>平谷区兴谷街道寨笆路8号院5号楼-1层B104</t>
  </si>
  <si>
    <t>A5-107</t>
  </si>
  <si>
    <t>A5-B105</t>
  </si>
  <si>
    <t>平谷区兴谷街道寨笆路8号院5号楼-1层B105</t>
  </si>
  <si>
    <t>A5-108</t>
  </si>
  <si>
    <t>A5-B106</t>
  </si>
  <si>
    <t>平谷区兴谷街道寨笆路8号院5号楼-1层B106</t>
  </si>
  <si>
    <t>A5-102</t>
  </si>
  <si>
    <t>A5-B107</t>
  </si>
  <si>
    <t>平谷区兴谷街道寨笆路8号院5号楼-1层B107</t>
  </si>
  <si>
    <t>A5-101</t>
  </si>
  <si>
    <t>A5-B108</t>
  </si>
  <si>
    <t>平谷区兴谷街道寨笆路8号院5号楼-1层B108</t>
  </si>
  <si>
    <t>A5-111</t>
  </si>
  <si>
    <t>A5-B111</t>
  </si>
  <si>
    <t>平谷区兴谷街道寨笆路8号院5号楼-1层B111</t>
    <phoneticPr fontId="134" type="noConversion"/>
  </si>
  <si>
    <t>A5-112</t>
  </si>
  <si>
    <t>A5-B112</t>
  </si>
  <si>
    <t>平谷区兴谷街道寨笆路8号院5号楼-1层B112</t>
  </si>
  <si>
    <t>A5-209</t>
  </si>
  <si>
    <t>A5-B201</t>
  </si>
  <si>
    <t>平谷区兴谷街道寨笆路8号院5号楼-2层B201</t>
    <phoneticPr fontId="134" type="noConversion"/>
  </si>
  <si>
    <t>A5-208</t>
  </si>
  <si>
    <t>A5-B202</t>
  </si>
  <si>
    <t>平谷区兴谷街道寨笆路8号院5号楼-2层B202</t>
  </si>
  <si>
    <t>A5-207</t>
  </si>
  <si>
    <t>A5-B203</t>
  </si>
  <si>
    <t>平谷区兴谷街道寨笆路8号院5号楼-2层B203</t>
  </si>
  <si>
    <t>A5-206</t>
  </si>
  <si>
    <t>A5-B204</t>
  </si>
  <si>
    <t>平谷区兴谷街道寨笆路8号院5号楼-2层B204</t>
  </si>
  <si>
    <t>A5-210</t>
  </si>
  <si>
    <t>A5-B205</t>
  </si>
  <si>
    <t>平谷区兴谷街道寨笆路8号院5号楼-2层B205</t>
  </si>
  <si>
    <t>A5-211</t>
  </si>
  <si>
    <t>A5-B206</t>
  </si>
  <si>
    <t>平谷区兴谷街道寨笆路8号院5号楼-2层B206</t>
  </si>
  <si>
    <t>A5-213</t>
  </si>
  <si>
    <t>A5-B208</t>
  </si>
  <si>
    <t>平谷区兴谷街道寨笆路8号院5号楼-2层B208</t>
    <phoneticPr fontId="134" type="noConversion"/>
  </si>
  <si>
    <t>A5-214</t>
  </si>
  <si>
    <t>A5-B209</t>
  </si>
  <si>
    <t>平谷区兴谷街道寨笆路8号院5号楼-2层B209</t>
  </si>
  <si>
    <t>A5-205</t>
  </si>
  <si>
    <t>A5-B211</t>
  </si>
  <si>
    <t>平谷区兴谷街道寨笆路8号院5号楼-2层B211</t>
    <phoneticPr fontId="134" type="noConversion"/>
  </si>
  <si>
    <t>A5-217</t>
  </si>
  <si>
    <t>A5-B213</t>
  </si>
  <si>
    <t>平谷区兴谷街道寨笆路8号院5号楼-2层B213</t>
    <phoneticPr fontId="134" type="noConversion"/>
  </si>
  <si>
    <t>A5-218</t>
  </si>
  <si>
    <t>A5-B214</t>
  </si>
  <si>
    <t>平谷区兴谷街道寨笆路8号院5号楼-2层B214</t>
  </si>
  <si>
    <t>A5-219</t>
  </si>
  <si>
    <t>A5-B215</t>
  </si>
  <si>
    <t>平谷区兴谷街道寨笆路8号院5号楼-2层B215</t>
  </si>
  <si>
    <t>A5-204</t>
  </si>
  <si>
    <t>A5-B216</t>
  </si>
  <si>
    <t>平谷区兴谷街道寨笆路8号院5号楼-2层B216</t>
  </si>
  <si>
    <t>A5-220</t>
  </si>
  <si>
    <t>A5-B218</t>
  </si>
  <si>
    <t>平谷区兴谷街道寨笆路8号院5号楼-2层B218</t>
    <phoneticPr fontId="134" type="noConversion"/>
  </si>
  <si>
    <t>A5-202</t>
  </si>
  <si>
    <t>A5-B219</t>
  </si>
  <si>
    <t>平谷区兴谷街道寨笆路8号院5号楼-2层B219</t>
  </si>
  <si>
    <t>A6</t>
    <phoneticPr fontId="134" type="noConversion"/>
  </si>
  <si>
    <t>A6-222</t>
  </si>
  <si>
    <t>A6-B201</t>
  </si>
  <si>
    <t>平谷区兴谷街道寨笆路8号院6号楼-2层B201</t>
    <phoneticPr fontId="134" type="noConversion"/>
  </si>
  <si>
    <t>A6-221</t>
  </si>
  <si>
    <t>A6-B202</t>
  </si>
  <si>
    <t>平谷区兴谷街道寨笆路8号院6号楼-2层B202</t>
  </si>
  <si>
    <t>A6-220</t>
  </si>
  <si>
    <t>A6-B203</t>
  </si>
  <si>
    <t>平谷区兴谷街道寨笆路8号院6号楼-2层B203</t>
  </si>
  <si>
    <t>A6-219</t>
  </si>
  <si>
    <t>A6-B204</t>
  </si>
  <si>
    <t>平谷区兴谷街道寨笆路8号院6号楼-2层B204</t>
  </si>
  <si>
    <t>A6-223</t>
  </si>
  <si>
    <t>A6-B205</t>
  </si>
  <si>
    <t>平谷区兴谷街道寨笆路8号院6号楼-2层B205</t>
  </si>
  <si>
    <t>A6-224</t>
  </si>
  <si>
    <t>A6-B206</t>
  </si>
  <si>
    <t>平谷区兴谷街道寨笆路8号院6号楼-2层B206</t>
  </si>
  <si>
    <t>A6-227</t>
  </si>
  <si>
    <t>A6-B209</t>
  </si>
  <si>
    <t>平谷区兴谷街道寨笆路8号院6号楼-2层B209</t>
    <phoneticPr fontId="134" type="noConversion"/>
  </si>
  <si>
    <t>A6-231</t>
  </si>
  <si>
    <t>A6-B213</t>
  </si>
  <si>
    <t>平谷区兴谷街道寨笆路8号院6号楼-2层B213</t>
    <phoneticPr fontId="134" type="noConversion"/>
  </si>
  <si>
    <t>A6-209</t>
  </si>
  <si>
    <t>A6-B230</t>
  </si>
  <si>
    <t>平谷区兴谷街道寨笆路8号院6号楼-2层B230</t>
    <phoneticPr fontId="134" type="noConversion"/>
  </si>
  <si>
    <t>A6-208</t>
  </si>
  <si>
    <t>A6-B233</t>
  </si>
  <si>
    <t>平谷区兴谷街道寨笆路8号院6号楼-2层B233</t>
    <phoneticPr fontId="134" type="noConversion"/>
  </si>
  <si>
    <t>A6-242</t>
  </si>
  <si>
    <t>A6-B238</t>
  </si>
  <si>
    <t>平谷区兴谷街道寨笆路8号院6号楼-2层B238</t>
    <phoneticPr fontId="134" type="noConversion"/>
  </si>
  <si>
    <t>A6-243</t>
  </si>
  <si>
    <t>A6-B239</t>
  </si>
  <si>
    <t>平谷区兴谷街道寨笆路8号院6号楼-2层B239</t>
  </si>
  <si>
    <t>A6-246</t>
  </si>
  <si>
    <t>A6-B242</t>
  </si>
  <si>
    <t>平谷区兴谷街道寨笆路8号院6号楼-2层B242</t>
    <phoneticPr fontId="134" type="noConversion"/>
  </si>
  <si>
    <t>A6-247</t>
  </si>
  <si>
    <t>A6-B243</t>
  </si>
  <si>
    <t>平谷区兴谷街道寨笆路8号院6号楼-2层B243</t>
  </si>
  <si>
    <t>A6-249</t>
  </si>
  <si>
    <t>A6-B244</t>
  </si>
  <si>
    <t>平谷区兴谷街道寨笆路8号院6号楼-2层B244</t>
  </si>
  <si>
    <t>A6-204</t>
  </si>
  <si>
    <t>A6-B246</t>
  </si>
  <si>
    <t>平谷区兴谷街道寨笆路8号院6号楼-2层B246</t>
    <phoneticPr fontId="134" type="noConversion"/>
  </si>
  <si>
    <t>A6-203</t>
  </si>
  <si>
    <t>A6-B247</t>
  </si>
  <si>
    <t>平谷区兴谷街道寨笆路8号院6号楼-2层B247</t>
  </si>
  <si>
    <t>A6-202</t>
  </si>
  <si>
    <t>A6-B248</t>
  </si>
  <si>
    <t>平谷区兴谷街道寨笆路8号院6号楼-2层B248</t>
  </si>
  <si>
    <t>A6-250</t>
  </si>
  <si>
    <t>A6-B249</t>
  </si>
  <si>
    <t>平谷区兴谷街道寨笆路8号院6号楼-2层B249</t>
  </si>
  <si>
    <t>A6-201</t>
  </si>
  <si>
    <t>A6-B250</t>
  </si>
  <si>
    <t>平谷区兴谷街道寨笆路8号院6号楼-2层B250</t>
  </si>
  <si>
    <t>A7</t>
    <phoneticPr fontId="134" type="noConversion"/>
  </si>
  <si>
    <t>A7-104</t>
  </si>
  <si>
    <t>A7-B101</t>
  </si>
  <si>
    <t>平谷区兴谷街道寨笆路8号院7号楼-1层B101</t>
    <phoneticPr fontId="134" type="noConversion"/>
  </si>
  <si>
    <t>A7-105</t>
  </si>
  <si>
    <t>A7-B102</t>
  </si>
  <si>
    <t>平谷区兴谷街道寨笆路8号院7号楼-1层B102</t>
  </si>
  <si>
    <t>A7-107</t>
  </si>
  <si>
    <t>A7-B104</t>
  </si>
  <si>
    <t>平谷区兴谷街道寨笆路8号院7号楼-1层B104</t>
    <phoneticPr fontId="134" type="noConversion"/>
  </si>
  <si>
    <t>A7-108</t>
  </si>
  <si>
    <t>A7-B105</t>
  </si>
  <si>
    <t>平谷区兴谷街道寨笆路8号院7号楼-1层B105</t>
  </si>
  <si>
    <t>A7-B106</t>
  </si>
  <si>
    <t>平谷区兴谷街道寨笆路8号院7号楼-1层B106</t>
  </si>
  <si>
    <t>A7-B107</t>
  </si>
  <si>
    <t>平谷区兴谷街道寨笆路8号院7号楼-1层B107</t>
  </si>
  <si>
    <t>A7-103</t>
  </si>
  <si>
    <t>A7-B108</t>
  </si>
  <si>
    <t>平谷区兴谷街道寨笆路8号院7号楼-1层B108</t>
  </si>
  <si>
    <t>A7-102</t>
  </si>
  <si>
    <t>A7-B112</t>
  </si>
  <si>
    <t>平谷区兴谷街道寨笆路8号院7号楼-1层B112</t>
    <phoneticPr fontId="134" type="noConversion"/>
  </si>
  <si>
    <t>A7-101</t>
  </si>
  <si>
    <t>A7-B113</t>
  </si>
  <si>
    <t>平谷区兴谷街道寨笆路8号院7号楼-1层B113</t>
  </si>
  <si>
    <t>A7-208</t>
  </si>
  <si>
    <t>A7-B201</t>
  </si>
  <si>
    <t>平谷区兴谷街道寨笆路8号院7号楼-2层B201</t>
    <phoneticPr fontId="134" type="noConversion"/>
  </si>
  <si>
    <t>A7-209</t>
  </si>
  <si>
    <t>A7-B202</t>
  </si>
  <si>
    <t>平谷区兴谷街道寨笆路8号院7号楼-2层B202</t>
  </si>
  <si>
    <t>A7-210</t>
  </si>
  <si>
    <t>A7-B203</t>
  </si>
  <si>
    <t>平谷区兴谷街道寨笆路8号院7号楼-2层B203</t>
  </si>
  <si>
    <t>A7-207</t>
  </si>
  <si>
    <t>A7-B204</t>
  </si>
  <si>
    <t>平谷区兴谷街道寨笆路8号院7号楼-2层B204</t>
  </si>
  <si>
    <t>A7-206</t>
  </si>
  <si>
    <t>A7-B205</t>
  </si>
  <si>
    <t>平谷区兴谷街道寨笆路8号院7号楼-2层B205</t>
  </si>
  <si>
    <t>A7-205</t>
  </si>
  <si>
    <t>A7-B206</t>
  </si>
  <si>
    <t>平谷区兴谷街道寨笆路8号院7号楼-2层B206</t>
  </si>
  <si>
    <t>A7-212</t>
  </si>
  <si>
    <t>A7-B207</t>
  </si>
  <si>
    <t>平谷区兴谷街道寨笆路8号院7号楼-2层B207</t>
  </si>
  <si>
    <t>A7-213</t>
  </si>
  <si>
    <t>A7-B208</t>
  </si>
  <si>
    <t>平谷区兴谷街道寨笆路8号院7号楼-2层B208</t>
  </si>
  <si>
    <t>A7-214</t>
  </si>
  <si>
    <t>A7-B209</t>
  </si>
  <si>
    <t>平谷区兴谷街道寨笆路8号院7号楼-2层B209</t>
  </si>
  <si>
    <t>A7-215</t>
  </si>
  <si>
    <t>A7-B210</t>
  </si>
  <si>
    <t>平谷区兴谷街道寨笆路8号院7号楼-2层B210</t>
  </si>
  <si>
    <t>A7-217</t>
  </si>
  <si>
    <t>A7-B212</t>
  </si>
  <si>
    <t>平谷区兴谷街道寨笆路8号院7号楼-2层B212</t>
    <phoneticPr fontId="134" type="noConversion"/>
  </si>
  <si>
    <t>A7-218</t>
  </si>
  <si>
    <t>A7-B213</t>
  </si>
  <si>
    <t>平谷区兴谷街道寨笆路8号院7号楼-2层B213</t>
  </si>
  <si>
    <t>A7-219</t>
  </si>
  <si>
    <t>A7-B214</t>
  </si>
  <si>
    <t>平谷区兴谷街道寨笆路8号院7号楼-2层B214</t>
  </si>
  <si>
    <t>A7-204</t>
  </si>
  <si>
    <t>A7-B216</t>
  </si>
  <si>
    <t>平谷区兴谷街道寨笆路8号院7号楼-2层B216</t>
    <phoneticPr fontId="134" type="noConversion"/>
  </si>
  <si>
    <t>A7-203</t>
  </si>
  <si>
    <t>A7-B217</t>
  </si>
  <si>
    <t>平谷区兴谷街道寨笆路8号院7号楼-2层B217</t>
  </si>
  <si>
    <t>A7-222</t>
  </si>
  <si>
    <t>A7-B218</t>
  </si>
  <si>
    <t>平谷区兴谷街道寨笆路8号院7号楼-2层B218</t>
  </si>
  <si>
    <t>A7-202</t>
  </si>
  <si>
    <t>A7-B220</t>
  </si>
  <si>
    <t>平谷区兴谷街道寨笆路8号院7号楼-2层B220</t>
    <phoneticPr fontId="134" type="noConversion"/>
  </si>
  <si>
    <t>A7-201</t>
  </si>
  <si>
    <t>A7-B221</t>
  </si>
  <si>
    <t>平谷区兴谷街道寨笆路8号院7号楼-2层B221</t>
  </si>
  <si>
    <t>A8</t>
    <phoneticPr fontId="134" type="noConversion"/>
  </si>
  <si>
    <t>A8-110</t>
  </si>
  <si>
    <t>A8-B101</t>
  </si>
  <si>
    <t>平谷区兴谷街道寨笆路8号院8号楼-1层B101</t>
    <phoneticPr fontId="134" type="noConversion"/>
  </si>
  <si>
    <t>A8-111</t>
  </si>
  <si>
    <t>A8-B102</t>
  </si>
  <si>
    <t>平谷区兴谷街道寨笆路8号院8号楼-1层B102</t>
  </si>
  <si>
    <t>A8-112</t>
  </si>
  <si>
    <t>A8-B103</t>
  </si>
  <si>
    <t>平谷区兴谷街道寨笆路8号院8号楼-1层B103</t>
  </si>
  <si>
    <t>A8-114</t>
  </si>
  <si>
    <t>A8-B106</t>
  </si>
  <si>
    <t>平谷区兴谷街道寨笆路8号院8号楼-1层B106</t>
    <phoneticPr fontId="134" type="noConversion"/>
  </si>
  <si>
    <t>A8-115</t>
  </si>
  <si>
    <t>A8-B107</t>
  </si>
  <si>
    <t>平谷区兴谷街道寨笆路8号院8号楼-1层B107</t>
  </si>
  <si>
    <t>A8-105</t>
  </si>
  <si>
    <t>A8-B112</t>
  </si>
  <si>
    <t>平谷区兴谷街道寨笆路8号院8号楼-1层B112</t>
    <phoneticPr fontId="134" type="noConversion"/>
  </si>
  <si>
    <t>A8-117</t>
  </si>
  <si>
    <t>A8-B113</t>
  </si>
  <si>
    <t>平谷区兴谷街道寨笆路8号院8号楼-1层B113</t>
  </si>
  <si>
    <t>A8-118</t>
  </si>
  <si>
    <t>A8-B114</t>
  </si>
  <si>
    <t>平谷区兴谷街道寨笆路8号院8号楼-1层B114</t>
  </si>
  <si>
    <t>A8-121</t>
  </si>
  <si>
    <t>A8-B117</t>
  </si>
  <si>
    <t>平谷区兴谷街道寨笆路8号院8号楼-1层B117</t>
    <phoneticPr fontId="134" type="noConversion"/>
  </si>
  <si>
    <t>A8-123</t>
  </si>
  <si>
    <t>A8-B121</t>
  </si>
  <si>
    <t>平谷区兴谷街道寨笆路8号院8号楼-1层B121</t>
    <phoneticPr fontId="134" type="noConversion"/>
  </si>
  <si>
    <t>A8-124</t>
  </si>
  <si>
    <t>A8-B122</t>
  </si>
  <si>
    <t>平谷区兴谷街道寨笆路8号院8号楼-1层B122</t>
  </si>
  <si>
    <t>A8-125</t>
  </si>
  <si>
    <t>A8-B123</t>
  </si>
  <si>
    <t>平谷区兴谷街道寨笆路8号院8号楼-1层B123</t>
  </si>
  <si>
    <t>A8-126</t>
  </si>
  <si>
    <t>A8-B124</t>
  </si>
  <si>
    <t>平谷区兴谷街道寨笆路8号院8号楼-1层B124</t>
  </si>
  <si>
    <t>A8-127</t>
  </si>
  <si>
    <t>A8-B125</t>
  </si>
  <si>
    <t>平谷区兴谷街道寨笆路8号院8号楼-1层B125</t>
  </si>
  <si>
    <t>A8-128</t>
  </si>
  <si>
    <t>A8-B126</t>
  </si>
  <si>
    <t>平谷区兴谷街道寨笆路8号院8号楼-1层B126</t>
  </si>
  <si>
    <t>A8-130</t>
  </si>
  <si>
    <t>A8-B128</t>
  </si>
  <si>
    <t>平谷区兴谷街道寨笆路8号院8号楼-1层B128</t>
    <phoneticPr fontId="134" type="noConversion"/>
  </si>
  <si>
    <t>A8-131</t>
  </si>
  <si>
    <t>A8-B130</t>
  </si>
  <si>
    <t>平谷区兴谷街道寨笆路8号院8号楼-1层B130</t>
    <phoneticPr fontId="134" type="noConversion"/>
  </si>
  <si>
    <t>A8-101</t>
  </si>
  <si>
    <t>A8-B132</t>
  </si>
  <si>
    <t>平谷区兴谷街道寨笆路8号院8号楼-1层B132</t>
    <phoneticPr fontId="134" type="noConversion"/>
  </si>
  <si>
    <t>B1</t>
    <phoneticPr fontId="134" type="noConversion"/>
  </si>
  <si>
    <t>B1-101</t>
  </si>
  <si>
    <t>B1-B101</t>
  </si>
  <si>
    <t>平谷区兴谷街道寨笆路7号院1号楼-1层B101</t>
    <phoneticPr fontId="134" type="noConversion"/>
  </si>
  <si>
    <t>B1-104</t>
  </si>
  <si>
    <t>B1-B104</t>
  </si>
  <si>
    <t>平谷区兴谷街道寨笆路7号院1号楼-1层B104</t>
    <phoneticPr fontId="134" type="noConversion"/>
  </si>
  <si>
    <t>B1-113</t>
  </si>
  <si>
    <t>B1-B105</t>
  </si>
  <si>
    <t>平谷区兴谷街道寨笆路7号院1号楼-1层B105</t>
  </si>
  <si>
    <t>B1-107</t>
  </si>
  <si>
    <t>B1-B108</t>
  </si>
  <si>
    <t>平谷区兴谷街道寨笆路7号院1号楼-1层B108</t>
    <phoneticPr fontId="134" type="noConversion"/>
  </si>
  <si>
    <t>B1-108</t>
  </si>
  <si>
    <t>B1-B109</t>
  </si>
  <si>
    <t>平谷区兴谷街道寨笆路7号院1号楼-1层B109</t>
  </si>
  <si>
    <t>B1-112</t>
  </si>
  <si>
    <t>B1-B110</t>
  </si>
  <si>
    <t>平谷区兴谷街道寨笆路7号院1号楼-1层B110</t>
  </si>
  <si>
    <t>B1-110</t>
  </si>
  <si>
    <t>B1-B112</t>
  </si>
  <si>
    <t>平谷区兴谷街道寨笆路7号院1号楼-1层B112</t>
    <phoneticPr fontId="134" type="noConversion"/>
  </si>
  <si>
    <t>B1-111</t>
  </si>
  <si>
    <t>B1-B113</t>
  </si>
  <si>
    <t>平谷区兴谷街道寨笆路7号院1号楼-1层B113</t>
  </si>
  <si>
    <t>B1-201</t>
  </si>
  <si>
    <t>B1-B201</t>
  </si>
  <si>
    <t>平谷区兴谷街道寨笆路7号院1号楼-2层B201</t>
    <phoneticPr fontId="134" type="noConversion"/>
  </si>
  <si>
    <t>B1-202</t>
  </si>
  <si>
    <t>B1-B202</t>
  </si>
  <si>
    <t>平谷区兴谷街道寨笆路7号院1号楼-2层B202</t>
  </si>
  <si>
    <t>B1-203</t>
  </si>
  <si>
    <t>B1-B203</t>
  </si>
  <si>
    <t>平谷区兴谷街道寨笆路7号院1号楼-2层B203</t>
  </si>
  <si>
    <t>B1-204</t>
  </si>
  <si>
    <t>B1-B204</t>
  </si>
  <si>
    <t>平谷区兴谷街道寨笆路7号院1号楼-2层B204</t>
  </si>
  <si>
    <t>B1-209</t>
  </si>
  <si>
    <t>B1-B205</t>
  </si>
  <si>
    <t>平谷区兴谷街道寨笆路7号院1号楼-2层B205</t>
  </si>
  <si>
    <t>B1-207</t>
  </si>
  <si>
    <t>B1-B207</t>
  </si>
  <si>
    <t>平谷区兴谷街道寨笆路7号院1号楼-2层B207</t>
    <phoneticPr fontId="134" type="noConversion"/>
  </si>
  <si>
    <t>B1-206</t>
  </si>
  <si>
    <t>B1-B208</t>
  </si>
  <si>
    <t>平谷区兴谷街道寨笆路7号院1号楼-2层B208</t>
  </si>
  <si>
    <t>B1-210</t>
  </si>
  <si>
    <t>B1-B209</t>
  </si>
  <si>
    <t>平谷区兴谷街道寨笆路7号院1号楼-2层B209</t>
  </si>
  <si>
    <t>B1-211</t>
  </si>
  <si>
    <t>B1-B210</t>
  </si>
  <si>
    <t>平谷区兴谷街道寨笆路7号院1号楼-2层B210</t>
  </si>
  <si>
    <t>B1-212</t>
  </si>
  <si>
    <t>B1-B211</t>
  </si>
  <si>
    <t>平谷区兴谷街道寨笆路7号院1号楼-2层B211</t>
  </si>
  <si>
    <t>B1-213</t>
  </si>
  <si>
    <t>B1-B212</t>
  </si>
  <si>
    <t>平谷区兴谷街道寨笆路7号院1号楼-2层B212</t>
  </si>
  <si>
    <t>B1-214</t>
  </si>
  <si>
    <t>B1-B213</t>
  </si>
  <si>
    <t>平谷区兴谷街道寨笆路7号院1号楼-2层B213</t>
  </si>
  <si>
    <t>B1-215</t>
  </si>
  <si>
    <t>B1-B214</t>
  </si>
  <si>
    <t>平谷区兴谷街道寨笆路7号院1号楼-2层B214</t>
  </si>
  <si>
    <t>B1-216</t>
  </si>
  <si>
    <t>B1-B215</t>
  </si>
  <si>
    <t>平谷区兴谷街道寨笆路7号院1号楼-2层B215</t>
  </si>
  <si>
    <t>B1-217</t>
  </si>
  <si>
    <t>B1-B216</t>
  </si>
  <si>
    <t>平谷区兴谷街道寨笆路7号院1号楼-2层B216</t>
  </si>
  <si>
    <t>B1-224</t>
  </si>
  <si>
    <t>B1-B217</t>
  </si>
  <si>
    <t>平谷区兴谷街道寨笆路7号院1号楼-2层B217</t>
  </si>
  <si>
    <t>B1-223</t>
  </si>
  <si>
    <t>B1-B218</t>
  </si>
  <si>
    <t>平谷区兴谷街道寨笆路7号院1号楼-2层B218</t>
  </si>
  <si>
    <t>B1-222</t>
  </si>
  <si>
    <t>B1-B219</t>
  </si>
  <si>
    <t>平谷区兴谷街道寨笆路7号院1号楼-2层B219</t>
  </si>
  <si>
    <t>B1-219</t>
  </si>
  <si>
    <t>B1-B220</t>
  </si>
  <si>
    <t>平谷区兴谷街道寨笆路7号院1号楼-2层B220</t>
  </si>
  <si>
    <t>B1-220</t>
  </si>
  <si>
    <t>B1-B221</t>
  </si>
  <si>
    <t>平谷区兴谷街道寨笆路7号院1号楼-2层B221</t>
  </si>
  <si>
    <t>B2</t>
    <phoneticPr fontId="134" type="noConversion"/>
  </si>
  <si>
    <t>B2-106</t>
  </si>
  <si>
    <t>B2-B110</t>
  </si>
  <si>
    <t>平谷区兴谷街道寨笆路7号院2号楼-1层B110</t>
    <phoneticPr fontId="134" type="noConversion"/>
  </si>
  <si>
    <t>B2-107</t>
  </si>
  <si>
    <t>B2-B111</t>
  </si>
  <si>
    <t>平谷区兴谷街道寨笆路7号院2号楼-1层B111</t>
  </si>
  <si>
    <t>B2-108</t>
  </si>
  <si>
    <t>B2-B112</t>
  </si>
  <si>
    <t>平谷区兴谷街道寨笆路7号院2号楼-1层B112</t>
  </si>
  <si>
    <t>B2-110</t>
  </si>
  <si>
    <t>B2-B114</t>
  </si>
  <si>
    <t>平谷区兴谷街道寨笆路7号院2号楼-1层B114</t>
    <phoneticPr fontId="134" type="noConversion"/>
  </si>
  <si>
    <t>10.6</t>
    <phoneticPr fontId="134" type="noConversion"/>
  </si>
  <si>
    <t>7.68</t>
    <phoneticPr fontId="134" type="noConversion"/>
  </si>
  <si>
    <t>8.31</t>
    <phoneticPr fontId="134" type="noConversion"/>
  </si>
  <si>
    <t>6.43</t>
    <phoneticPr fontId="134" type="noConversion"/>
  </si>
  <si>
    <t>4.4</t>
    <phoneticPr fontId="134" type="noConversion"/>
  </si>
  <si>
    <t>10.56</t>
    <phoneticPr fontId="134" type="noConversion"/>
  </si>
  <si>
    <t>10.32</t>
    <phoneticPr fontId="134" type="noConversion"/>
  </si>
  <si>
    <t>9.06</t>
    <phoneticPr fontId="134" type="noConversion"/>
  </si>
  <si>
    <t>11.93</t>
    <phoneticPr fontId="134" type="noConversion"/>
  </si>
  <si>
    <t>5.27</t>
    <phoneticPr fontId="134" type="noConversion"/>
  </si>
  <si>
    <t>7.82</t>
    <phoneticPr fontId="134" type="noConversion"/>
  </si>
  <si>
    <t>9.06</t>
    <phoneticPr fontId="134" type="noConversion"/>
  </si>
  <si>
    <t>9.06</t>
    <phoneticPr fontId="134" type="noConversion"/>
  </si>
  <si>
    <t>8.32</t>
    <phoneticPr fontId="134" type="noConversion"/>
  </si>
  <si>
    <t>7.61</t>
    <phoneticPr fontId="134" type="noConversion"/>
  </si>
  <si>
    <t>10.54</t>
    <phoneticPr fontId="134" type="noConversion"/>
  </si>
  <si>
    <t>8.24</t>
    <phoneticPr fontId="134" type="noConversion"/>
  </si>
  <si>
    <t>10.23</t>
    <phoneticPr fontId="134" type="noConversion"/>
  </si>
  <si>
    <t>8.97</t>
    <phoneticPr fontId="134" type="noConversion"/>
  </si>
  <si>
    <t>8.13</t>
    <phoneticPr fontId="134" type="noConversion"/>
  </si>
  <si>
    <t>7.2</t>
    <phoneticPr fontId="134" type="noConversion"/>
  </si>
  <si>
    <t>6.9</t>
    <phoneticPr fontId="134" type="noConversion"/>
  </si>
  <si>
    <t>7.69</t>
    <phoneticPr fontId="134" type="noConversion"/>
  </si>
  <si>
    <t>9.82</t>
    <phoneticPr fontId="134" type="noConversion"/>
  </si>
  <si>
    <t>6.98</t>
    <phoneticPr fontId="134" type="noConversion"/>
  </si>
  <si>
    <t>8.3</t>
    <phoneticPr fontId="134" type="noConversion"/>
  </si>
  <si>
    <t>7.97</t>
    <phoneticPr fontId="134" type="noConversion"/>
  </si>
  <si>
    <t>8.02</t>
    <phoneticPr fontId="134" type="noConversion"/>
  </si>
  <si>
    <t>7.72</t>
    <phoneticPr fontId="134" type="noConversion"/>
  </si>
  <si>
    <t>7.72</t>
    <phoneticPr fontId="134" type="noConversion"/>
  </si>
  <si>
    <t>7.6</t>
    <phoneticPr fontId="134" type="noConversion"/>
  </si>
  <si>
    <t>4.35</t>
    <phoneticPr fontId="134" type="noConversion"/>
  </si>
  <si>
    <t>7.45</t>
    <phoneticPr fontId="134" type="noConversion"/>
  </si>
  <si>
    <t>10.65</t>
    <phoneticPr fontId="134" type="noConversion"/>
  </si>
  <si>
    <t>7.73</t>
    <phoneticPr fontId="134" type="noConversion"/>
  </si>
  <si>
    <t>9.52</t>
    <phoneticPr fontId="134" type="noConversion"/>
  </si>
  <si>
    <t>8.2</t>
    <phoneticPr fontId="134" type="noConversion"/>
  </si>
  <si>
    <t>6.79</t>
    <phoneticPr fontId="134" type="noConversion"/>
  </si>
  <si>
    <t>11.48</t>
    <phoneticPr fontId="134" type="noConversion"/>
  </si>
  <si>
    <t>10.65</t>
    <phoneticPr fontId="134" type="noConversion"/>
  </si>
  <si>
    <t>8.2</t>
    <phoneticPr fontId="134" type="noConversion"/>
  </si>
  <si>
    <t>7.58</t>
    <phoneticPr fontId="134" type="noConversion"/>
  </si>
  <si>
    <t>11.03</t>
    <phoneticPr fontId="134" type="noConversion"/>
  </si>
  <si>
    <t>8.94</t>
    <phoneticPr fontId="134" type="noConversion"/>
  </si>
  <si>
    <t>9.07</t>
    <phoneticPr fontId="134" type="noConversion"/>
  </si>
  <si>
    <t>7.74</t>
    <phoneticPr fontId="134" type="noConversion"/>
  </si>
  <si>
    <t>8.87</t>
    <phoneticPr fontId="134" type="noConversion"/>
  </si>
  <si>
    <t>9.18</t>
    <phoneticPr fontId="134" type="noConversion"/>
  </si>
  <si>
    <t>10.69</t>
    <phoneticPr fontId="134" type="noConversion"/>
  </si>
  <si>
    <t>10.64</t>
    <phoneticPr fontId="134" type="noConversion"/>
  </si>
  <si>
    <t>10.64</t>
    <phoneticPr fontId="134" type="noConversion"/>
  </si>
  <si>
    <t>10.64</t>
    <phoneticPr fontId="134" type="noConversion"/>
  </si>
  <si>
    <t>8.35</t>
    <phoneticPr fontId="134" type="noConversion"/>
  </si>
  <si>
    <t>10.75</t>
    <phoneticPr fontId="134" type="noConversion"/>
  </si>
  <si>
    <t>8.14</t>
    <phoneticPr fontId="134" type="noConversion"/>
  </si>
  <si>
    <t>6.94</t>
    <phoneticPr fontId="134" type="noConversion"/>
  </si>
  <si>
    <t>8.86</t>
    <phoneticPr fontId="134" type="noConversion"/>
  </si>
  <si>
    <t>10.5</t>
    <phoneticPr fontId="134" type="noConversion"/>
  </si>
  <si>
    <t>10.4</t>
    <phoneticPr fontId="134" type="noConversion"/>
  </si>
  <si>
    <t>11.06</t>
    <phoneticPr fontId="134" type="noConversion"/>
  </si>
  <si>
    <t>10.63</t>
    <phoneticPr fontId="134" type="noConversion"/>
  </si>
  <si>
    <t>6.8</t>
    <phoneticPr fontId="134" type="noConversion"/>
  </si>
  <si>
    <t>9.62</t>
    <phoneticPr fontId="134" type="noConversion"/>
  </si>
  <si>
    <t>9.28</t>
    <phoneticPr fontId="134" type="noConversion"/>
  </si>
  <si>
    <t>11.23</t>
    <phoneticPr fontId="134" type="noConversion"/>
  </si>
  <si>
    <t>7.95</t>
    <phoneticPr fontId="134" type="noConversion"/>
  </si>
  <si>
    <t>12.19</t>
    <phoneticPr fontId="134" type="noConversion"/>
  </si>
  <si>
    <t>9.05</t>
    <phoneticPr fontId="134" type="noConversion"/>
  </si>
  <si>
    <t>9.1</t>
    <phoneticPr fontId="134" type="noConversion"/>
  </si>
  <si>
    <t>10.59</t>
    <phoneticPr fontId="134" type="noConversion"/>
  </si>
  <si>
    <t>8.38</t>
    <phoneticPr fontId="134" type="noConversion"/>
  </si>
  <si>
    <t>10.98</t>
    <phoneticPr fontId="134" type="noConversion"/>
  </si>
  <si>
    <t>10.38</t>
    <phoneticPr fontId="134" type="noConversion"/>
  </si>
  <si>
    <t>10.6</t>
    <phoneticPr fontId="134" type="noConversion"/>
  </si>
  <si>
    <t>9.87</t>
    <phoneticPr fontId="134" type="noConversion"/>
  </si>
  <si>
    <t>7.1</t>
    <phoneticPr fontId="134" type="noConversion"/>
  </si>
  <si>
    <t>10.38</t>
    <phoneticPr fontId="134" type="noConversion"/>
  </si>
  <si>
    <t>6.88</t>
    <phoneticPr fontId="134" type="noConversion"/>
  </si>
  <si>
    <t>6.74</t>
    <phoneticPr fontId="134" type="noConversion"/>
  </si>
  <si>
    <t>10.6</t>
    <phoneticPr fontId="134" type="noConversion"/>
  </si>
  <si>
    <t>7.68</t>
    <phoneticPr fontId="134" type="noConversion"/>
  </si>
  <si>
    <t>10.7</t>
    <phoneticPr fontId="134" type="noConversion"/>
  </si>
  <si>
    <t>7.86</t>
    <phoneticPr fontId="134" type="noConversion"/>
  </si>
  <si>
    <t>7.5</t>
    <phoneticPr fontId="134" type="noConversion"/>
  </si>
  <si>
    <t>7.84</t>
    <phoneticPr fontId="134" type="noConversion"/>
  </si>
  <si>
    <t>8.18</t>
    <phoneticPr fontId="134" type="noConversion"/>
  </si>
  <si>
    <t>9.82</t>
    <phoneticPr fontId="134" type="noConversion"/>
  </si>
  <si>
    <t>7.82</t>
    <phoneticPr fontId="134" type="noConversion"/>
  </si>
  <si>
    <t>7.82</t>
    <phoneticPr fontId="134" type="noConversion"/>
  </si>
  <si>
    <t>10.92</t>
    <phoneticPr fontId="134" type="noConversion"/>
  </si>
  <si>
    <t>10.49</t>
    <phoneticPr fontId="134" type="noConversion"/>
  </si>
  <si>
    <t>8.42</t>
    <phoneticPr fontId="134" type="noConversion"/>
  </si>
  <si>
    <t>9.22</t>
    <phoneticPr fontId="134" type="noConversion"/>
  </si>
  <si>
    <t>6.46</t>
    <phoneticPr fontId="134" type="noConversion"/>
  </si>
  <si>
    <t>10.11</t>
    <phoneticPr fontId="134" type="noConversion"/>
  </si>
  <si>
    <t>8.87</t>
    <phoneticPr fontId="134" type="noConversion"/>
  </si>
  <si>
    <t>7.6</t>
    <phoneticPr fontId="134" type="noConversion"/>
  </si>
  <si>
    <t>8.43</t>
    <phoneticPr fontId="134" type="noConversion"/>
  </si>
  <si>
    <t>8.04</t>
    <phoneticPr fontId="134" type="noConversion"/>
  </si>
  <si>
    <t>10.42</t>
    <phoneticPr fontId="134" type="noConversion"/>
  </si>
  <si>
    <t>8.07</t>
    <phoneticPr fontId="134" type="noConversion"/>
  </si>
  <si>
    <t>5.23</t>
    <phoneticPr fontId="134" type="noConversion"/>
  </si>
  <si>
    <t>7.75</t>
    <phoneticPr fontId="134" type="noConversion"/>
  </si>
  <si>
    <t>8.21</t>
    <phoneticPr fontId="134" type="noConversion"/>
  </si>
  <si>
    <t>7.83</t>
    <phoneticPr fontId="134" type="noConversion"/>
  </si>
  <si>
    <t>7.59</t>
    <phoneticPr fontId="134" type="noConversion"/>
  </si>
  <si>
    <t>8.1</t>
    <phoneticPr fontId="134" type="noConversion"/>
  </si>
  <si>
    <t>7.22</t>
    <phoneticPr fontId="134" type="noConversion"/>
  </si>
  <si>
    <t>8.38</t>
    <phoneticPr fontId="134" type="noConversion"/>
  </si>
  <si>
    <t>12.03</t>
    <phoneticPr fontId="134" type="noConversion"/>
  </si>
  <si>
    <t>10.5</t>
    <phoneticPr fontId="134" type="noConversion"/>
  </si>
  <si>
    <t>8.35</t>
    <phoneticPr fontId="134" type="noConversion"/>
  </si>
  <si>
    <t>4.45</t>
    <phoneticPr fontId="134" type="noConversion"/>
  </si>
  <si>
    <t>9.1</t>
    <phoneticPr fontId="134" type="noConversion"/>
  </si>
  <si>
    <t>10.69</t>
    <phoneticPr fontId="134" type="noConversion"/>
  </si>
  <si>
    <t>8.22</t>
    <phoneticPr fontId="134" type="noConversion"/>
  </si>
  <si>
    <t>7.69</t>
    <phoneticPr fontId="134" type="noConversion"/>
  </si>
  <si>
    <t>8.18</t>
    <phoneticPr fontId="134" type="noConversion"/>
  </si>
  <si>
    <t>10.98</t>
    <phoneticPr fontId="134" type="noConversion"/>
  </si>
  <si>
    <t>10.55</t>
    <phoneticPr fontId="134" type="noConversion"/>
  </si>
  <si>
    <t>4.43</t>
    <phoneticPr fontId="134" type="noConversion"/>
  </si>
  <si>
    <t>10.64</t>
    <phoneticPr fontId="134" type="noConversion"/>
  </si>
  <si>
    <t>8.43</t>
    <phoneticPr fontId="134" type="noConversion"/>
  </si>
  <si>
    <t>9.06</t>
    <phoneticPr fontId="134" type="noConversion"/>
  </si>
  <si>
    <t>8.31</t>
    <phoneticPr fontId="134" type="noConversion"/>
  </si>
  <si>
    <t>7.69</t>
    <phoneticPr fontId="134" type="noConversion"/>
  </si>
  <si>
    <t>10.41</t>
    <phoneticPr fontId="134" type="noConversion"/>
  </si>
  <si>
    <t>7.38</t>
    <phoneticPr fontId="134" type="noConversion"/>
  </si>
  <si>
    <t>10.51</t>
    <phoneticPr fontId="134" type="noConversion"/>
  </si>
  <si>
    <t>6.38</t>
    <phoneticPr fontId="134" type="noConversion"/>
  </si>
  <si>
    <t>4.39</t>
    <phoneticPr fontId="134" type="noConversion"/>
  </si>
  <si>
    <t>7.71</t>
    <phoneticPr fontId="134" type="noConversion"/>
  </si>
  <si>
    <t>10.58</t>
    <phoneticPr fontId="134" type="noConversion"/>
  </si>
  <si>
    <t>8.23</t>
    <phoneticPr fontId="134" type="noConversion"/>
  </si>
  <si>
    <t>7.38</t>
    <phoneticPr fontId="134" type="noConversion"/>
  </si>
  <si>
    <t>4.35</t>
    <phoneticPr fontId="134" type="noConversion"/>
  </si>
  <si>
    <t>10.43</t>
    <phoneticPr fontId="134" type="noConversion"/>
  </si>
  <si>
    <t>7.65</t>
    <phoneticPr fontId="134" type="noConversion"/>
  </si>
  <si>
    <t>8.25</t>
    <phoneticPr fontId="134" type="noConversion"/>
  </si>
  <si>
    <t>6.87</t>
    <phoneticPr fontId="134" type="noConversion"/>
  </si>
  <si>
    <t>7.74</t>
    <phoneticPr fontId="134" type="noConversion"/>
  </si>
  <si>
    <t>7.74</t>
    <phoneticPr fontId="134" type="noConversion"/>
  </si>
  <si>
    <t>10.45</t>
    <phoneticPr fontId="134" type="noConversion"/>
  </si>
  <si>
    <t>10.45</t>
    <phoneticPr fontId="134" type="noConversion"/>
  </si>
  <si>
    <t>8.19</t>
    <phoneticPr fontId="134" type="noConversion"/>
  </si>
  <si>
    <t>与级别开发程度不一致</t>
  </si>
  <si>
    <t>单套模式</t>
  </si>
  <si>
    <t>售价</t>
  </si>
  <si>
    <t>观岭家园</t>
    <phoneticPr fontId="3" type="noConversion"/>
  </si>
  <si>
    <t>城建·京能·樾园</t>
    <phoneticPr fontId="3" type="noConversion"/>
  </si>
  <si>
    <t>北京城建樂知筑</t>
    <phoneticPr fontId="3" type="noConversion"/>
  </si>
  <si>
    <t>正常</t>
  </si>
  <si>
    <t>一般</t>
  </si>
  <si>
    <t>较好</t>
  </si>
  <si>
    <t>较差</t>
  </si>
  <si>
    <t>成本法 (元)</t>
  </si>
  <si>
    <t>有窗</t>
    <phoneticPr fontId="134" type="noConversion"/>
  </si>
  <si>
    <t>有窗</t>
    <phoneticPr fontId="134" type="noConversion"/>
  </si>
  <si>
    <t>楼层</t>
    <phoneticPr fontId="3" type="noConversion"/>
  </si>
  <si>
    <t>窗户</t>
    <phoneticPr fontId="3" type="noConversion"/>
  </si>
  <si>
    <t>有窗</t>
    <phoneticPr fontId="24" type="noConversion"/>
  </si>
  <si>
    <t>无</t>
    <phoneticPr fontId="24" type="noConversion"/>
  </si>
  <si>
    <t>无</t>
    <phoneticPr fontId="134" type="noConversion"/>
  </si>
  <si>
    <t>好</t>
  </si>
  <si>
    <t>序号</t>
    <phoneticPr fontId="134" type="noConversion"/>
  </si>
  <si>
    <t>坐落</t>
    <phoneticPr fontId="134" type="noConversion"/>
  </si>
  <si>
    <t>面积</t>
    <phoneticPr fontId="134" type="noConversion"/>
  </si>
  <si>
    <t>单价</t>
    <phoneticPr fontId="134" type="noConversion"/>
  </si>
  <si>
    <t>总价</t>
    <phoneticPr fontId="134" type="noConversion"/>
  </si>
  <si>
    <t>楼号或幢号</t>
  </si>
  <si>
    <t>房屋总层数</t>
  </si>
  <si>
    <t>所在层数</t>
  </si>
  <si>
    <t>房号及部位</t>
  </si>
  <si>
    <t>房屋结构</t>
  </si>
  <si>
    <t>竣工时间</t>
  </si>
  <si>
    <r>
      <t>2025</t>
    </r>
    <r>
      <rPr>
        <sz val="11"/>
        <rFont val="宋体"/>
        <family val="3"/>
        <charset val="134"/>
      </rPr>
      <t>年</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</si>
  <si>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</si>
  <si>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</si>
  <si>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r>
      <t>建筑面积</t>
    </r>
    <r>
      <rPr>
        <sz val="9"/>
        <rFont val="Arial"/>
        <family val="2"/>
      </rPr>
      <t>(m</t>
    </r>
    <r>
      <rPr>
        <vertAlign val="superscript"/>
        <sz val="9"/>
        <rFont val="Arial"/>
        <family val="2"/>
      </rPr>
      <t>2</t>
    </r>
    <r>
      <rPr>
        <sz val="9"/>
        <rFont val="Arial"/>
        <family val="2"/>
      </rPr>
      <t>)</t>
    </r>
  </si>
  <si>
    <t>房屋坐落</t>
  </si>
  <si>
    <t>权利性质</t>
  </si>
  <si>
    <t>商品房</t>
  </si>
  <si>
    <t>共有情况</t>
  </si>
  <si>
    <t>单独所有</t>
  </si>
  <si>
    <t>证号</t>
  </si>
  <si>
    <t>权利人</t>
  </si>
  <si>
    <r>
      <t>平谷区兴谷街道寨笆路</t>
    </r>
    <r>
      <rPr>
        <sz val="9"/>
        <rFont val="Arial"/>
        <family val="2"/>
      </rPr>
      <t>8</t>
    </r>
    <r>
      <rPr>
        <sz val="9"/>
        <rFont val="华文细黑"/>
        <family val="3"/>
        <charset val="134"/>
      </rPr>
      <t>号院</t>
    </r>
  </si>
  <si>
    <t>京（2023）平不动产权第0001037号</t>
    <phoneticPr fontId="134" type="noConversion"/>
  </si>
  <si>
    <t>北京金科德远置业有限公司</t>
    <phoneticPr fontId="134" type="noConversion"/>
  </si>
  <si>
    <t>——</t>
    <phoneticPr fontId="134" type="noConversion"/>
  </si>
  <si>
    <r>
      <rPr>
        <sz val="9"/>
        <rFont val="宋体"/>
        <family val="3"/>
        <charset val="134"/>
      </rPr>
      <t>建筑面积合计</t>
    </r>
    <phoneticPr fontId="134" type="noConversion"/>
  </si>
  <si>
    <r>
      <rPr>
        <sz val="9"/>
        <rFont val="宋体"/>
        <family val="3"/>
        <charset val="134"/>
      </rPr>
      <t>土地使用情况摘要</t>
    </r>
    <phoneticPr fontId="134" type="noConversion"/>
  </si>
  <si>
    <r>
      <rPr>
        <sz val="9"/>
        <rFont val="宋体"/>
        <family val="3"/>
        <charset val="134"/>
      </rPr>
      <t>权属性质</t>
    </r>
    <phoneticPr fontId="134" type="noConversion"/>
  </si>
  <si>
    <t>出让</t>
    <phoneticPr fontId="134" type="noConversion"/>
  </si>
  <si>
    <t>使用期限</t>
    <phoneticPr fontId="134" type="noConversion"/>
  </si>
  <si>
    <r>
      <t>2018</t>
    </r>
    <r>
      <rPr>
        <sz val="9"/>
        <rFont val="宋体"/>
        <family val="3"/>
        <charset val="134"/>
      </rPr>
      <t>年</t>
    </r>
    <r>
      <rPr>
        <sz val="9"/>
        <rFont val="Arial"/>
        <family val="2"/>
      </rPr>
      <t>3</t>
    </r>
    <r>
      <rPr>
        <sz val="9"/>
        <rFont val="宋体"/>
        <family val="3"/>
        <charset val="134"/>
      </rPr>
      <t>月</t>
    </r>
    <r>
      <rPr>
        <sz val="9"/>
        <rFont val="Arial"/>
        <family val="2"/>
      </rPr>
      <t>23</t>
    </r>
    <r>
      <rPr>
        <sz val="9"/>
        <rFont val="宋体"/>
        <family val="3"/>
        <charset val="134"/>
      </rPr>
      <t>日起至</t>
    </r>
    <r>
      <rPr>
        <sz val="9"/>
        <rFont val="Arial"/>
        <family val="2"/>
      </rPr>
      <t>2068</t>
    </r>
    <r>
      <rPr>
        <sz val="9"/>
        <rFont val="宋体"/>
        <family val="3"/>
        <charset val="134"/>
      </rPr>
      <t>年</t>
    </r>
    <r>
      <rPr>
        <sz val="9"/>
        <rFont val="Arial"/>
        <family val="2"/>
      </rPr>
      <t>3</t>
    </r>
    <r>
      <rPr>
        <sz val="9"/>
        <rFont val="宋体"/>
        <family val="3"/>
        <charset val="134"/>
      </rPr>
      <t>月</t>
    </r>
    <r>
      <rPr>
        <sz val="9"/>
        <rFont val="Arial"/>
        <family val="2"/>
      </rPr>
      <t>22</t>
    </r>
    <r>
      <rPr>
        <sz val="9"/>
        <rFont val="宋体"/>
        <family val="3"/>
        <charset val="134"/>
      </rPr>
      <t>日止</t>
    </r>
    <phoneticPr fontId="134" type="noConversion"/>
  </si>
  <si>
    <t>京（2023）平不动产权第0002907号</t>
    <phoneticPr fontId="134" type="noConversion"/>
  </si>
  <si>
    <t>平谷区兴谷街道寨笆路7号院</t>
    <phoneticPr fontId="134" type="noConversion"/>
  </si>
  <si>
    <t>7.38</t>
  </si>
  <si>
    <t>5.23</t>
  </si>
  <si>
    <t>4.35</t>
  </si>
  <si>
    <t>10.49</t>
  </si>
  <si>
    <t>10.43</t>
  </si>
  <si>
    <t>10.58</t>
  </si>
  <si>
    <t>8.23</t>
  </si>
  <si>
    <t>7.65</t>
  </si>
  <si>
    <t>8.25</t>
  </si>
  <si>
    <t>8.2</t>
  </si>
  <si>
    <t>6.87</t>
  </si>
  <si>
    <t>7.74</t>
  </si>
  <si>
    <t>7.6</t>
  </si>
  <si>
    <t>7.71</t>
  </si>
  <si>
    <t>9.06</t>
  </si>
  <si>
    <t>B1</t>
    <phoneticPr fontId="134" type="noConversion"/>
  </si>
  <si>
    <t>-1</t>
    <phoneticPr fontId="134" type="noConversion"/>
  </si>
  <si>
    <r>
      <rPr>
        <sz val="9"/>
        <rFont val="宋体"/>
        <family val="3"/>
        <charset val="134"/>
      </rPr>
      <t>钢筋混凝土</t>
    </r>
    <phoneticPr fontId="134" type="noConversion"/>
  </si>
  <si>
    <r>
      <t>2025</t>
    </r>
    <r>
      <rPr>
        <sz val="11"/>
        <rFont val="宋体"/>
        <family val="3"/>
        <charset val="134"/>
      </rPr>
      <t>年</t>
    </r>
    <phoneticPr fontId="134" type="noConversion"/>
  </si>
  <si>
    <r>
      <rPr>
        <sz val="9"/>
        <rFont val="宋体"/>
        <family val="3"/>
        <charset val="134"/>
      </rPr>
      <t>丙类库房</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</si>
  <si>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</si>
  <si>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</si>
  <si>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t>-1</t>
    <phoneticPr fontId="134" type="noConversion"/>
  </si>
  <si>
    <r>
      <rPr>
        <sz val="9"/>
        <rFont val="宋体"/>
        <family val="3"/>
        <charset val="134"/>
      </rPr>
      <t>丙类库房</t>
    </r>
    <phoneticPr fontId="134" type="noConversion"/>
  </si>
  <si>
    <t>B1</t>
    <phoneticPr fontId="134" type="noConversion"/>
  </si>
  <si>
    <r>
      <t>2025</t>
    </r>
    <r>
      <rPr>
        <sz val="11"/>
        <rFont val="宋体"/>
        <family val="3"/>
        <charset val="134"/>
      </rPr>
      <t>年</t>
    </r>
    <phoneticPr fontId="134" type="noConversion"/>
  </si>
  <si>
    <r>
      <t>2025</t>
    </r>
    <r>
      <rPr>
        <sz val="11"/>
        <rFont val="宋体"/>
        <family val="3"/>
        <charset val="134"/>
      </rPr>
      <t>年</t>
    </r>
    <phoneticPr fontId="134" type="noConversion"/>
  </si>
  <si>
    <t>-2</t>
    <phoneticPr fontId="134" type="noConversion"/>
  </si>
  <si>
    <r>
      <rPr>
        <sz val="9"/>
        <rFont val="宋体"/>
        <family val="3"/>
        <charset val="134"/>
      </rPr>
      <t>钢筋混凝土</t>
    </r>
    <phoneticPr fontId="134" type="noConversion"/>
  </si>
  <si>
    <t>B1</t>
    <phoneticPr fontId="134" type="noConversion"/>
  </si>
  <si>
    <t>京（2023）平不动产权第0002285号</t>
    <phoneticPr fontId="134" type="noConversion"/>
  </si>
  <si>
    <r>
      <t>2</t>
    </r>
    <r>
      <rPr>
        <sz val="11"/>
        <color theme="1"/>
        <rFont val="宋体"/>
        <family val="3"/>
        <charset val="134"/>
        <scheme val="minor"/>
      </rPr>
      <t>022年</t>
    </r>
    <phoneticPr fontId="134" type="noConversion"/>
  </si>
  <si>
    <t>晟贤悦府</t>
    <phoneticPr fontId="134" type="noConversion"/>
  </si>
  <si>
    <t>住宅售价</t>
    <phoneticPr fontId="134" type="noConversion"/>
  </si>
  <si>
    <t>仓储售价</t>
    <phoneticPr fontId="134" type="noConversion"/>
  </si>
  <si>
    <r>
      <t>1</t>
    </r>
    <r>
      <rPr>
        <sz val="11"/>
        <color theme="1"/>
        <rFont val="宋体"/>
        <family val="3"/>
        <charset val="134"/>
        <scheme val="minor"/>
      </rPr>
      <t>.6-1.7</t>
    </r>
    <phoneticPr fontId="134" type="noConversion"/>
  </si>
  <si>
    <t>未售</t>
    <phoneticPr fontId="134" type="noConversion"/>
  </si>
  <si>
    <r>
      <t>2</t>
    </r>
    <r>
      <rPr>
        <sz val="11"/>
        <color theme="1"/>
        <rFont val="宋体"/>
        <family val="3"/>
        <charset val="134"/>
        <scheme val="minor"/>
      </rPr>
      <t>.6-3.0</t>
    </r>
    <phoneticPr fontId="134" type="noConversion"/>
  </si>
  <si>
    <r>
      <t>0</t>
    </r>
    <r>
      <rPr>
        <sz val="11"/>
        <color theme="1"/>
        <rFont val="宋体"/>
        <family val="3"/>
        <charset val="134"/>
        <scheme val="minor"/>
      </rPr>
      <t>.5-0.8</t>
    </r>
    <phoneticPr fontId="134" type="noConversion"/>
  </si>
  <si>
    <t>2.5-3.2</t>
    <phoneticPr fontId="134" type="noConversion"/>
  </si>
  <si>
    <t>0.2-0.55</t>
    <phoneticPr fontId="134" type="noConversion"/>
  </si>
  <si>
    <t>北京城建·樾府</t>
    <phoneticPr fontId="134" type="noConversion"/>
  </si>
  <si>
    <t>0.1-0.38</t>
    <phoneticPr fontId="134" type="noConversion"/>
  </si>
  <si>
    <t>天润·香墅湾1号</t>
    <phoneticPr fontId="134" type="noConversion"/>
  </si>
  <si>
    <t>2.6-3.3</t>
    <phoneticPr fontId="134" type="noConversion"/>
  </si>
  <si>
    <t>0.3-1</t>
    <phoneticPr fontId="134" type="noConversion"/>
  </si>
  <si>
    <t>京投发展·璟悦府（部分回迁）</t>
    <phoneticPr fontId="134" type="noConversion"/>
  </si>
  <si>
    <t>1.9-3.0</t>
    <phoneticPr fontId="134" type="noConversion"/>
  </si>
  <si>
    <t>0.1-0.3</t>
    <phoneticPr fontId="134" type="noConversion"/>
  </si>
  <si>
    <r>
      <t>1</t>
    </r>
    <r>
      <rPr>
        <sz val="11"/>
        <color theme="1"/>
        <rFont val="宋体"/>
        <family val="3"/>
        <charset val="134"/>
        <scheme val="minor"/>
      </rPr>
      <t>.8左右</t>
    </r>
    <phoneticPr fontId="134" type="noConversion"/>
  </si>
  <si>
    <t>首城汇景湾</t>
    <phoneticPr fontId="134" type="noConversion"/>
  </si>
  <si>
    <r>
      <t>1</t>
    </r>
    <r>
      <rPr>
        <sz val="11"/>
        <color theme="1"/>
        <rFont val="宋体"/>
        <family val="3"/>
        <charset val="134"/>
        <scheme val="minor"/>
      </rPr>
      <t>.3-1.7</t>
    </r>
    <phoneticPr fontId="134" type="noConversion"/>
  </si>
  <si>
    <r>
      <t>0</t>
    </r>
    <r>
      <rPr>
        <sz val="11"/>
        <color theme="1"/>
        <rFont val="宋体"/>
        <family val="3"/>
        <charset val="134"/>
        <scheme val="minor"/>
      </rPr>
      <t>.05-0.13</t>
    </r>
    <phoneticPr fontId="134" type="noConversion"/>
  </si>
  <si>
    <t>成交时间</t>
  </si>
  <si>
    <t>楼栋号</t>
  </si>
  <si>
    <t>单元号</t>
  </si>
  <si>
    <t>楼层号</t>
  </si>
  <si>
    <t>房间号</t>
  </si>
  <si>
    <t>许可证号</t>
  </si>
  <si>
    <t>物业类型</t>
  </si>
  <si>
    <t>户型</t>
  </si>
  <si>
    <t>套数</t>
  </si>
  <si>
    <t>成交面积(㎡)</t>
  </si>
  <si>
    <t>成交金额(万元)</t>
  </si>
  <si>
    <t>成交单价(元/㎡)</t>
  </si>
  <si>
    <t/>
  </si>
  <si>
    <t>8#</t>
  </si>
  <si>
    <t>B202</t>
  </si>
  <si>
    <t>京(2025)平不动产权第0001560号</t>
  </si>
  <si>
    <t>其他</t>
  </si>
  <si>
    <t>4#</t>
  </si>
  <si>
    <t>B205</t>
  </si>
  <si>
    <t>京(2025)平不动产权第0001562号</t>
  </si>
  <si>
    <t>1#</t>
  </si>
  <si>
    <t>B105</t>
  </si>
  <si>
    <t>B208</t>
  </si>
  <si>
    <t>B210</t>
  </si>
  <si>
    <t>B206</t>
  </si>
  <si>
    <t>B201</t>
  </si>
  <si>
    <t>2#</t>
  </si>
  <si>
    <t>B318</t>
  </si>
  <si>
    <t>京(2025)平不动产权第0001561号</t>
  </si>
  <si>
    <t>B213</t>
  </si>
  <si>
    <t>3#</t>
  </si>
  <si>
    <t>B308</t>
  </si>
  <si>
    <t>B102</t>
  </si>
  <si>
    <t>5#</t>
  </si>
  <si>
    <t>B207</t>
  </si>
  <si>
    <t>京(2017)平不动产权第0014095号</t>
  </si>
  <si>
    <t>储物间</t>
  </si>
  <si>
    <t>京(2017)平不动产权第0015114号</t>
  </si>
  <si>
    <t>京(2017)平不动产权第0010283号</t>
  </si>
  <si>
    <t>9#</t>
  </si>
  <si>
    <t>京(2017)平不动产权第0010290号</t>
  </si>
  <si>
    <t>3号楼</t>
  </si>
  <si>
    <t>现：京(2017)平不动产权第0015114号</t>
  </si>
  <si>
    <t>5号楼</t>
  </si>
  <si>
    <t>现：京(2017)平不动产权第0014095号</t>
  </si>
  <si>
    <t>10号楼</t>
  </si>
  <si>
    <t>现：京(2017)平不动产权第0010285号</t>
  </si>
  <si>
    <t>2号楼</t>
  </si>
  <si>
    <t>现：京(2017)平不动产权第0010283号</t>
  </si>
  <si>
    <t>9号楼</t>
  </si>
  <si>
    <t>现：京(2017)平不动产权第0010290号</t>
  </si>
  <si>
    <t>8号楼</t>
  </si>
  <si>
    <t>现：京(2017)平不动产权第0010292号</t>
  </si>
  <si>
    <t>北京城建·京能·樾园</t>
    <phoneticPr fontId="134" type="noConversion"/>
  </si>
  <si>
    <t>2单元01</t>
  </si>
  <si>
    <t>现：X京房权证平字第035606号</t>
  </si>
  <si>
    <t>1单元02</t>
  </si>
  <si>
    <t>天润·香墅湾1号</t>
    <phoneticPr fontId="134" type="noConversion"/>
  </si>
  <si>
    <t>比较法-仓储 (1)</t>
  </si>
  <si>
    <t>比较法-仓储 (1)</t>
    <phoneticPr fontId="16" type="noConversion"/>
  </si>
  <si>
    <t>3m</t>
    <phoneticPr fontId="134" type="noConversion"/>
  </si>
  <si>
    <t>合计</t>
    <phoneticPr fontId="134" type="noConversion"/>
  </si>
  <si>
    <t>北京城建·樾府</t>
    <phoneticPr fontId="134" type="noConversion"/>
  </si>
  <si>
    <t>北京城建·樂知筑</t>
    <phoneticPr fontId="134" type="noConversion"/>
  </si>
  <si>
    <t>首创悦洳汇</t>
    <phoneticPr fontId="134" type="noConversion"/>
  </si>
  <si>
    <t>中心城区以外</t>
  </si>
  <si>
    <t>首创悦洳汇</t>
    <phoneticPr fontId="134" type="noConversion"/>
  </si>
  <si>
    <t>层高</t>
    <phoneticPr fontId="134" type="noConversion"/>
  </si>
  <si>
    <t>调高层高</t>
    <phoneticPr fontId="134" type="noConversion"/>
  </si>
  <si>
    <t>标准层高</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</si>
</sst>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b/>
      <sz val="10"/>
      <color rgb="FFFF0000"/>
      <name val="宋体"/>
      <family val="3"/>
      <charset val="134"/>
      <scheme val="minor"/>
    </font>
    <font>
      <sz val="9"/>
      <name val="华文细黑"/>
      <family val="3"/>
      <charset val="134"/>
    </font>
    <font>
      <vertAlign val="superscript"/>
      <sz val="9"/>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92CDDC"/>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3" fillId="0" borderId="0" xfId="10" applyFont="1" applyFill="1">
      <alignment vertical="center"/>
    </xf>
    <xf numFmtId="0" fontId="272" fillId="22" borderId="1" xfId="10" applyFont="1" applyFill="1" applyBorder="1" applyAlignment="1">
      <alignment horizontal="center" vertical="center"/>
    </xf>
    <xf numFmtId="49" fontId="272" fillId="22" borderId="1" xfId="10" applyNumberFormat="1" applyFont="1" applyFill="1" applyBorder="1" applyAlignment="1">
      <alignment horizontal="center" vertical="center"/>
    </xf>
    <xf numFmtId="0" fontId="274" fillId="0" borderId="1" xfId="10" applyFont="1" applyFill="1" applyBorder="1" applyAlignment="1">
      <alignment horizontal="center" vertical="center"/>
    </xf>
    <xf numFmtId="49" fontId="274" fillId="0" borderId="1" xfId="10" applyNumberFormat="1" applyFont="1" applyFill="1" applyBorder="1" applyAlignment="1">
      <alignment horizontal="center" vertical="center" shrinkToFit="1"/>
    </xf>
    <xf numFmtId="0" fontId="273" fillId="0" borderId="0" xfId="10" applyFont="1" applyFill="1" applyAlignment="1">
      <alignment horizontal="center" vertical="center"/>
    </xf>
    <xf numFmtId="49" fontId="275" fillId="22" borderId="1" xfId="10" applyNumberFormat="1" applyFont="1" applyFill="1" applyBorder="1" applyAlignment="1">
      <alignment horizontal="center" vertical="center"/>
    </xf>
    <xf numFmtId="0" fontId="274" fillId="0" borderId="1" xfId="0" applyFont="1" applyFill="1" applyBorder="1">
      <alignment vertical="center"/>
    </xf>
    <xf numFmtId="49" fontId="274" fillId="0" borderId="1" xfId="10" applyNumberFormat="1" applyFont="1" applyFill="1" applyBorder="1" applyAlignment="1" applyProtection="1">
      <alignment horizontal="center" vertical="center" shrinkToFit="1"/>
      <protection locked="0"/>
    </xf>
    <xf numFmtId="0" fontId="222" fillId="0" borderId="108"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274" fillId="0" borderId="1" xfId="0" applyFont="1" applyFill="1" applyBorder="1" applyProtection="1">
      <alignment vertical="center"/>
      <protection locked="0"/>
    </xf>
    <xf numFmtId="176" fontId="60" fillId="0" borderId="1" xfId="0" applyNumberFormat="1"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xf numFmtId="10" fontId="98" fillId="6" borderId="1" xfId="0" applyNumberFormat="1" applyFont="1" applyFill="1" applyBorder="1" applyAlignment="1" applyProtection="1">
      <alignment horizontal="center" vertical="center"/>
      <protection locked="0"/>
    </xf>
    <xf numFmtId="0" fontId="272" fillId="22" borderId="3" xfId="10" applyFont="1" applyFill="1" applyBorder="1" applyAlignment="1">
      <alignment vertical="center"/>
    </xf>
    <xf numFmtId="0" fontId="273" fillId="0" borderId="1" xfId="10" applyFont="1" applyFill="1" applyBorder="1" applyAlignment="1">
      <alignment horizontal="center" vertical="center"/>
    </xf>
    <xf numFmtId="0" fontId="273" fillId="0" borderId="1" xfId="10" applyNumberFormat="1" applyFont="1" applyFill="1" applyBorder="1" applyAlignment="1">
      <alignment horizontal="center" vertical="center"/>
    </xf>
    <xf numFmtId="0" fontId="274" fillId="0" borderId="1" xfId="0" applyFont="1" applyFill="1" applyBorder="1" applyAlignment="1">
      <alignment horizontal="center" vertical="center"/>
    </xf>
    <xf numFmtId="49" fontId="274" fillId="0" borderId="1" xfId="0" applyNumberFormat="1" applyFont="1" applyFill="1" applyBorder="1" applyAlignment="1">
      <alignment horizontal="center" vertical="center"/>
    </xf>
    <xf numFmtId="0" fontId="274" fillId="0" borderId="5" xfId="0" applyFont="1" applyFill="1" applyBorder="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49" fontId="273" fillId="0" borderId="0" xfId="10" applyNumberFormat="1" applyFont="1" applyFill="1">
      <alignment vertical="center"/>
    </xf>
    <xf numFmtId="0" fontId="276" fillId="0" borderId="1" xfId="0" applyFont="1" applyBorder="1">
      <alignment vertical="center"/>
    </xf>
    <xf numFmtId="0" fontId="276" fillId="0" borderId="1" xfId="0" applyFont="1" applyBorder="1" applyAlignment="1">
      <alignment vertical="center" wrapText="1"/>
    </xf>
    <xf numFmtId="0" fontId="242" fillId="0" borderId="1" xfId="0" applyFont="1" applyBorder="1" applyAlignment="1">
      <alignment horizontal="center" vertical="center"/>
    </xf>
    <xf numFmtId="0" fontId="242" fillId="0" borderId="1" xfId="0" applyFont="1" applyBorder="1" applyAlignment="1">
      <alignment horizontal="center" vertical="center" wrapText="1"/>
    </xf>
    <xf numFmtId="0" fontId="276" fillId="0" borderId="1" xfId="0" applyFont="1" applyBorder="1" applyAlignment="1">
      <alignment vertical="center"/>
    </xf>
    <xf numFmtId="0" fontId="242" fillId="0" borderId="1" xfId="0" applyNumberFormat="1" applyFont="1" applyBorder="1" applyAlignment="1">
      <alignment horizontal="center" vertical="center" wrapText="1"/>
    </xf>
    <xf numFmtId="0" fontId="242" fillId="0" borderId="1" xfId="0" applyFont="1" applyFill="1" applyBorder="1" applyAlignment="1">
      <alignment horizontal="center" vertical="center" wrapText="1"/>
    </xf>
    <xf numFmtId="0" fontId="24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95" fillId="0" borderId="0" xfId="0" applyFont="1">
      <alignment vertical="center"/>
    </xf>
    <xf numFmtId="0" fontId="95" fillId="0" borderId="0" xfId="0" applyFont="1" applyAlignment="1">
      <alignment horizontal="center" vertical="center"/>
    </xf>
    <xf numFmtId="0" fontId="0" fillId="0" borderId="0" xfId="0" applyAlignment="1">
      <alignment horizontal="center" vertical="center"/>
    </xf>
    <xf numFmtId="0" fontId="0" fillId="0" borderId="0" xfId="0" applyNumberFormat="1" applyAlignment="1"/>
    <xf numFmtId="14" fontId="0" fillId="0" borderId="0" xfId="0" applyNumberFormat="1" applyAlignment="1"/>
    <xf numFmtId="0" fontId="95" fillId="0" borderId="0" xfId="0" applyNumberFormat="1" applyFont="1" applyAlignment="1"/>
    <xf numFmtId="14" fontId="0" fillId="5" borderId="0" xfId="0" applyNumberFormat="1" applyFill="1" applyAlignment="1"/>
    <xf numFmtId="0" fontId="0" fillId="5" borderId="0" xfId="0" applyNumberFormat="1" applyFill="1" applyAlignment="1"/>
    <xf numFmtId="14" fontId="0" fillId="0" borderId="0" xfId="0" applyNumberFormat="1" applyFill="1" applyAlignment="1"/>
    <xf numFmtId="0" fontId="0" fillId="0" borderId="0" xfId="0" applyNumberFormat="1" applyFill="1" applyAlignment="1"/>
    <xf numFmtId="0" fontId="0" fillId="0" borderId="0" xfId="0" applyFill="1">
      <alignment vertical="center"/>
    </xf>
    <xf numFmtId="14" fontId="95" fillId="0" borderId="0" xfId="0" applyNumberFormat="1" applyFont="1" applyFill="1" applyAlignment="1"/>
    <xf numFmtId="0" fontId="95" fillId="0" borderId="0" xfId="0" applyNumberFormat="1" applyFont="1" applyFill="1" applyAlignment="1"/>
    <xf numFmtId="0" fontId="95" fillId="5" borderId="0" xfId="0" applyFont="1" applyFill="1">
      <alignment vertical="center"/>
    </xf>
    <xf numFmtId="0" fontId="95" fillId="5" borderId="0" xfId="0" applyFont="1" applyFill="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22" borderId="5" xfId="10" applyFont="1" applyFill="1" applyBorder="1" applyAlignment="1">
      <alignment horizontal="center" vertical="center"/>
    </xf>
    <xf numFmtId="0" fontId="272" fillId="22" borderId="54" xfId="10" applyFont="1" applyFill="1" applyBorder="1" applyAlignment="1">
      <alignment horizontal="center" vertical="center"/>
    </xf>
    <xf numFmtId="0" fontId="274" fillId="0" borderId="5" xfId="0" applyFont="1" applyFill="1" applyBorder="1" applyAlignment="1">
      <alignment horizontal="center" vertical="center"/>
    </xf>
    <xf numFmtId="0" fontId="274" fillId="0" borderId="3" xfId="0" applyFont="1" applyFill="1" applyBorder="1" applyAlignment="1">
      <alignment horizontal="center" vertical="center"/>
    </xf>
    <xf numFmtId="0" fontId="242" fillId="0" borderId="1" xfId="0" applyFont="1" applyFill="1" applyBorder="1" applyAlignment="1">
      <alignment horizontal="center" vertical="center"/>
    </xf>
    <xf numFmtId="0" fontId="276" fillId="0" borderId="5" xfId="0" applyFont="1" applyBorder="1" applyAlignment="1">
      <alignment horizontal="center" vertical="center"/>
    </xf>
    <xf numFmtId="0" fontId="276" fillId="0" borderId="54" xfId="0" applyFont="1" applyBorder="1" applyAlignment="1">
      <alignment horizontal="center" vertical="center"/>
    </xf>
    <xf numFmtId="0" fontId="276" fillId="0" borderId="3" xfId="0" applyFont="1" applyBorder="1" applyAlignment="1">
      <alignment horizontal="center" vertical="center"/>
    </xf>
    <xf numFmtId="0" fontId="276" fillId="0" borderId="5" xfId="0" applyFont="1" applyBorder="1" applyAlignment="1">
      <alignment horizontal="center" vertical="center" wrapText="1"/>
    </xf>
    <xf numFmtId="0" fontId="276" fillId="0" borderId="54" xfId="0" applyFont="1" applyBorder="1" applyAlignment="1">
      <alignment horizontal="center" vertical="center" wrapText="1"/>
    </xf>
    <xf numFmtId="0" fontId="276" fillId="0" borderId="3" xfId="0" applyFont="1" applyBorder="1" applyAlignment="1">
      <alignment horizontal="center" vertical="center" wrapText="1"/>
    </xf>
    <xf numFmtId="0" fontId="242" fillId="0" borderId="1" xfId="0" applyFont="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54" fillId="0" borderId="6" xfId="0" applyNumberFormat="1" applyFont="1" applyFill="1" applyBorder="1" applyAlignment="1" applyProtection="1">
      <alignment horizontal="left" vertical="center" wrapText="1"/>
    </xf>
    <xf numFmtId="0" fontId="256" fillId="0" borderId="19" xfId="0" applyNumberFormat="1" applyFont="1" applyFill="1" applyBorder="1" applyAlignment="1" applyProtection="1">
      <alignment horizontal="left" vertical="center"/>
    </xf>
    <xf numFmtId="0" fontId="254" fillId="0" borderId="28" xfId="0" applyNumberFormat="1" applyFont="1" applyFill="1" applyBorder="1" applyAlignment="1" applyProtection="1">
      <alignment horizontal="left" vertical="center"/>
    </xf>
    <xf numFmtId="0" fontId="254" fillId="0" borderId="25" xfId="0" applyNumberFormat="1" applyFont="1" applyFill="1" applyBorder="1" applyAlignment="1" applyProtection="1">
      <alignment horizontal="left" vertical="center" wrapText="1"/>
    </xf>
    <xf numFmtId="0" fontId="254" fillId="0" borderId="32" xfId="0" applyNumberFormat="1" applyFont="1" applyFill="1" applyBorder="1" applyAlignment="1" applyProtection="1">
      <alignment horizontal="left" vertical="center"/>
    </xf>
    <xf numFmtId="0" fontId="254" fillId="0" borderId="33" xfId="0" applyNumberFormat="1" applyFont="1" applyFill="1" applyBorder="1" applyAlignment="1" applyProtection="1">
      <alignment horizontal="left" vertical="center"/>
    </xf>
    <xf numFmtId="0" fontId="255" fillId="0" borderId="40" xfId="0" applyNumberFormat="1" applyFont="1" applyFill="1" applyBorder="1" applyAlignment="1" applyProtection="1">
      <alignment horizontal="left" vertical="center" wrapText="1"/>
    </xf>
    <xf numFmtId="0" fontId="255" fillId="0" borderId="9" xfId="0" applyNumberFormat="1" applyFont="1" applyFill="1" applyBorder="1" applyAlignment="1" applyProtection="1">
      <alignment horizontal="left" vertical="center" wrapText="1"/>
    </xf>
    <xf numFmtId="0" fontId="255" fillId="0" borderId="1" xfId="0" applyNumberFormat="1" applyFont="1" applyFill="1" applyBorder="1" applyAlignment="1" applyProtection="1">
      <alignment horizontal="left" vertical="center" wrapText="1"/>
    </xf>
    <xf numFmtId="0" fontId="255" fillId="0" borderId="2" xfId="0" applyNumberFormat="1" applyFont="1" applyFill="1" applyBorder="1" applyAlignment="1" applyProtection="1">
      <alignment horizontal="left" vertical="center" wrapText="1"/>
    </xf>
    <xf numFmtId="0" fontId="255" fillId="0" borderId="14" xfId="0" applyNumberFormat="1" applyFont="1" applyFill="1" applyBorder="1" applyAlignment="1" applyProtection="1">
      <alignment horizontal="left" vertical="center" wrapText="1"/>
    </xf>
    <xf numFmtId="0" fontId="255" fillId="0" borderId="74" xfId="0" applyNumberFormat="1" applyFont="1" applyFill="1" applyBorder="1" applyAlignment="1" applyProtection="1">
      <alignment horizontal="left" vertical="center" wrapText="1"/>
    </xf>
    <xf numFmtId="0" fontId="255" fillId="0" borderId="32" xfId="0" applyNumberFormat="1" applyFont="1" applyFill="1" applyBorder="1" applyAlignment="1" applyProtection="1">
      <alignment horizontal="left" vertical="center" wrapText="1"/>
    </xf>
    <xf numFmtId="0" fontId="255" fillId="0" borderId="15" xfId="0" applyNumberFormat="1" applyFont="1" applyFill="1" applyBorder="1" applyAlignment="1" applyProtection="1">
      <alignment horizontal="left" vertical="center" wrapText="1"/>
    </xf>
    <xf numFmtId="0" fontId="255" fillId="0" borderId="13" xfId="0" applyNumberFormat="1" applyFont="1" applyFill="1" applyBorder="1" applyAlignment="1" applyProtection="1">
      <alignment horizontal="left" vertical="center" wrapText="1"/>
    </xf>
    <xf numFmtId="0" fontId="255" fillId="0" borderId="10" xfId="0" applyNumberFormat="1" applyFont="1" applyFill="1" applyBorder="1" applyAlignment="1" applyProtection="1">
      <alignment horizontal="left" vertical="center" wrapText="1"/>
    </xf>
    <xf numFmtId="0" fontId="255" fillId="0" borderId="24" xfId="0" applyNumberFormat="1" applyFont="1" applyFill="1" applyBorder="1" applyAlignment="1" applyProtection="1">
      <alignment horizontal="left" vertical="center" wrapText="1"/>
    </xf>
    <xf numFmtId="0" fontId="255" fillId="0" borderId="12" xfId="0" applyNumberFormat="1" applyFont="1" applyFill="1" applyBorder="1" applyAlignment="1" applyProtection="1">
      <alignment horizontal="left" vertical="center" wrapText="1"/>
    </xf>
    <xf numFmtId="0" fontId="255" fillId="0" borderId="49" xfId="0" applyNumberFormat="1" applyFont="1" applyFill="1" applyBorder="1" applyAlignment="1" applyProtection="1">
      <alignment horizontal="left" vertical="center" wrapText="1"/>
    </xf>
    <xf numFmtId="0" fontId="255" fillId="0" borderId="1" xfId="18" applyNumberFormat="1" applyFont="1" applyFill="1" applyBorder="1" applyAlignment="1" applyProtection="1">
      <alignment horizontal="left" vertical="center" wrapText="1"/>
    </xf>
    <xf numFmtId="0" fontId="253" fillId="23" borderId="126" xfId="0" applyFont="1" applyFill="1" applyBorder="1" applyAlignment="1">
      <alignment horizontal="left" vertical="center" wrapText="1"/>
    </xf>
    <xf numFmtId="0" fontId="109" fillId="6" borderId="75" xfId="0" applyFont="1" applyFill="1" applyBorder="1" applyAlignment="1" applyProtection="1">
      <alignment horizontal="center" vertical="center" wrapText="1"/>
    </xf>
    <xf numFmtId="186" fontId="109" fillId="6" borderId="84" xfId="0" applyNumberFormat="1" applyFont="1" applyFill="1" applyBorder="1" applyAlignment="1" applyProtection="1">
      <alignment horizontal="center" vertical="center" wrapText="1"/>
    </xf>
    <xf numFmtId="0" fontId="113" fillId="0" borderId="1" xfId="0"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38101</xdr:rowOff>
    </xdr:from>
    <xdr:to>
      <xdr:col>17</xdr:col>
      <xdr:colOff>436800</xdr:colOff>
      <xdr:row>21</xdr:row>
      <xdr:rowOff>50186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8421"/>
          <a:ext cx="10800000" cy="1292245"/>
        </a:xfrm>
        <a:prstGeom prst="rect">
          <a:avLst/>
        </a:prstGeom>
      </xdr:spPr>
    </xdr:pic>
    <xdr:clientData/>
  </xdr:twoCellAnchor>
  <xdr:twoCellAnchor editAs="oneCell">
    <xdr:from>
      <xdr:col>0</xdr:col>
      <xdr:colOff>0</xdr:colOff>
      <xdr:row>21</xdr:row>
      <xdr:rowOff>45720</xdr:rowOff>
    </xdr:from>
    <xdr:to>
      <xdr:col>17</xdr:col>
      <xdr:colOff>436800</xdr:colOff>
      <xdr:row>26</xdr:row>
      <xdr:rowOff>76774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86200"/>
          <a:ext cx="10800000" cy="945454"/>
        </a:xfrm>
        <a:prstGeom prst="rect">
          <a:avLst/>
        </a:prstGeom>
      </xdr:spPr>
    </xdr:pic>
    <xdr:clientData/>
  </xdr:twoCellAnchor>
  <xdr:twoCellAnchor editAs="oneCell">
    <xdr:from>
      <xdr:col>0</xdr:col>
      <xdr:colOff>0</xdr:colOff>
      <xdr:row>0</xdr:row>
      <xdr:rowOff>0</xdr:rowOff>
    </xdr:from>
    <xdr:to>
      <xdr:col>17</xdr:col>
      <xdr:colOff>436800</xdr:colOff>
      <xdr:row>14</xdr:row>
      <xdr:rowOff>155719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0800000" cy="2716039"/>
        </a:xfrm>
        <a:prstGeom prst="rect">
          <a:avLst/>
        </a:prstGeom>
      </xdr:spPr>
    </xdr:pic>
    <xdr:clientData/>
  </xdr:twoCellAnchor>
  <xdr:twoCellAnchor editAs="oneCell">
    <xdr:from>
      <xdr:col>0</xdr:col>
      <xdr:colOff>0</xdr:colOff>
      <xdr:row>26</xdr:row>
      <xdr:rowOff>160020</xdr:rowOff>
    </xdr:from>
    <xdr:to>
      <xdr:col>17</xdr:col>
      <xdr:colOff>436800</xdr:colOff>
      <xdr:row>52</xdr:row>
      <xdr:rowOff>131036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14900"/>
          <a:ext cx="10800000" cy="4725896"/>
        </a:xfrm>
        <a:prstGeom prst="rect">
          <a:avLst/>
        </a:prstGeom>
      </xdr:spPr>
    </xdr:pic>
    <xdr:clientData/>
  </xdr:twoCellAnchor>
  <xdr:twoCellAnchor editAs="oneCell">
    <xdr:from>
      <xdr:col>0</xdr:col>
      <xdr:colOff>0</xdr:colOff>
      <xdr:row>54</xdr:row>
      <xdr:rowOff>0</xdr:rowOff>
    </xdr:from>
    <xdr:to>
      <xdr:col>23</xdr:col>
      <xdr:colOff>322057</xdr:colOff>
      <xdr:row>110</xdr:row>
      <xdr:rowOff>139672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875520"/>
          <a:ext cx="14342857" cy="10380952"/>
        </a:xfrm>
        <a:prstGeom prst="rect">
          <a:avLst/>
        </a:prstGeom>
      </xdr:spPr>
    </xdr:pic>
    <xdr:clientData/>
  </xdr:twoCellAnchor>
  <xdr:twoCellAnchor editAs="oneCell">
    <xdr:from>
      <xdr:col>0</xdr:col>
      <xdr:colOff>0</xdr:colOff>
      <xdr:row>111</xdr:row>
      <xdr:rowOff>15240</xdr:rowOff>
    </xdr:from>
    <xdr:to>
      <xdr:col>23</xdr:col>
      <xdr:colOff>217295</xdr:colOff>
      <xdr:row>172</xdr:row>
      <xdr:rowOff>2417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314920"/>
          <a:ext cx="14238095" cy="1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受贵公司委托，我公司对北京市房地产市场价值进行了预评估。</v>
      </c>
    </row>
    <row r="7" spans="1:2" s="1201" customFormat="1">
      <c r="A7" s="1199" t="s">
        <v>566</v>
      </c>
      <c r="B7" s="1200" t="e">
        <f>'预评函-1'!A7</f>
        <v>#DIV/0!</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e">
        <f>'预评函-1'!A10</f>
        <v>#DIV/0!</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2025年8月13日（评估专业人员实地查勘之日）</v>
      </c>
    </row>
    <row r="13" spans="1:2" s="1201" customFormat="1">
      <c r="A13" s="1199" t="s">
        <v>529</v>
      </c>
      <c r="B13" s="1200"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6.2" thickBot="1">
      <c r="A18" s="1202" t="s">
        <v>534</v>
      </c>
      <c r="B18" s="1203" t="str">
        <f>'预评函-1'!A24</f>
        <v>本次评估采用的主估价方法为成本法和比较法。</v>
      </c>
    </row>
    <row r="19" spans="1:2" s="1198" customFormat="1" ht="16.2"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10.32</v>
      </c>
    </row>
    <row r="44" spans="1:2" s="1201" customFormat="1" ht="31.2">
      <c r="A44" s="1199" t="s">
        <v>575</v>
      </c>
      <c r="B44" s="1200" t="str">
        <f>'预评函-3'!C2</f>
        <v>(分摊)土地面积</v>
      </c>
    </row>
    <row r="45" spans="1:2" s="1201" customFormat="1">
      <c r="A45" s="1199" t="s">
        <v>547</v>
      </c>
      <c r="B45" s="1200" t="e">
        <f>'预评函-3'!C4</f>
        <v>#DIV/0!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
      </c>
    </row>
    <row r="58" spans="1:2" s="1198" customFormat="1" ht="16.2"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2574</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2575</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4545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2"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2"/>
      <c r="B54" s="1552" t="s">
        <v>385</v>
      </c>
      <c r="C54" s="1549" t="s">
        <v>583</v>
      </c>
    </row>
    <row r="55" spans="1:4">
      <c r="A55" s="3552"/>
      <c r="B55" s="1552" t="s">
        <v>386</v>
      </c>
      <c r="C55" s="1549" t="s">
        <v>584</v>
      </c>
    </row>
    <row r="56" spans="1:4">
      <c r="A56" s="3552"/>
      <c r="B56" s="1552" t="s">
        <v>387</v>
      </c>
      <c r="C56" s="1549" t="s">
        <v>588</v>
      </c>
    </row>
    <row r="57" spans="1:4">
      <c r="A57" s="3552"/>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H68" sqref="H68"/>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2497</v>
      </c>
      <c r="B1" s="3011"/>
      <c r="C1" s="3011"/>
      <c r="D1" s="3011"/>
      <c r="E1" s="3011"/>
      <c r="F1" s="3012"/>
      <c r="I1" s="3428" t="s">
        <v>2590</v>
      </c>
      <c r="J1" s="3223"/>
      <c r="K1" s="3223"/>
      <c r="L1" s="3223"/>
      <c r="M1" s="3223"/>
      <c r="N1" s="3429"/>
      <c r="O1" s="3429"/>
      <c r="P1" s="3429"/>
      <c r="Q1" s="3429"/>
      <c r="R1" s="3429"/>
    </row>
    <row r="2" spans="1:18">
      <c r="A2" s="3014"/>
      <c r="B2" s="3015"/>
      <c r="C2" s="3015"/>
      <c r="D2" s="3015"/>
      <c r="E2" s="3015"/>
      <c r="F2" s="3016"/>
      <c r="I2" s="3553" t="s">
        <v>2577</v>
      </c>
      <c r="J2" s="3553"/>
      <c r="K2" s="3553"/>
      <c r="L2" s="3553"/>
      <c r="M2" s="3553"/>
      <c r="N2" s="3553"/>
      <c r="O2" s="3553"/>
      <c r="P2" s="3553"/>
      <c r="Q2" s="3553"/>
      <c r="R2" s="3553"/>
    </row>
    <row r="3" spans="1:18">
      <c r="A3" s="3017" t="s">
        <v>2498</v>
      </c>
      <c r="B3" s="3018">
        <f>项目基本情况!D3</f>
        <v>45882</v>
      </c>
      <c r="C3" s="3020"/>
      <c r="D3" s="3020"/>
      <c r="E3" s="3020"/>
      <c r="F3" s="3016"/>
      <c r="I3" s="3430"/>
      <c r="J3" s="3430" t="s">
        <v>2581</v>
      </c>
      <c r="K3" s="3430" t="s">
        <v>2582</v>
      </c>
      <c r="L3" s="3430" t="s">
        <v>2583</v>
      </c>
      <c r="M3" s="3430" t="s">
        <v>2584</v>
      </c>
      <c r="N3" s="3431" t="s">
        <v>2585</v>
      </c>
      <c r="O3" s="3431" t="s">
        <v>2586</v>
      </c>
      <c r="P3" s="3431" t="s">
        <v>2587</v>
      </c>
      <c r="Q3" s="3431" t="s">
        <v>2588</v>
      </c>
      <c r="R3" s="3431" t="s">
        <v>2589</v>
      </c>
    </row>
    <row r="4" spans="1:18">
      <c r="A4" s="3017" t="s">
        <v>2499</v>
      </c>
      <c r="B4" s="3020" t="s">
        <v>2500</v>
      </c>
      <c r="C4" s="3020" t="s">
        <v>2501</v>
      </c>
      <c r="D4" s="3020" t="s">
        <v>2502</v>
      </c>
      <c r="E4" s="3020" t="s">
        <v>2503</v>
      </c>
      <c r="F4" s="3016"/>
      <c r="I4" s="3430" t="s">
        <v>2578</v>
      </c>
      <c r="J4" s="3430">
        <v>80</v>
      </c>
      <c r="K4" s="3430">
        <v>70</v>
      </c>
      <c r="L4" s="3430">
        <v>20</v>
      </c>
      <c r="M4" s="3430">
        <v>30</v>
      </c>
      <c r="N4" s="3020">
        <v>45</v>
      </c>
      <c r="O4" s="3020">
        <v>60</v>
      </c>
      <c r="P4" s="3020">
        <v>50</v>
      </c>
      <c r="Q4" s="3020">
        <v>20</v>
      </c>
      <c r="R4" s="3020">
        <v>375</v>
      </c>
    </row>
    <row r="5" spans="1:18">
      <c r="A5" s="3021">
        <v>40</v>
      </c>
      <c r="B5" s="3018">
        <v>46375</v>
      </c>
      <c r="C5" s="3020">
        <f>ROUNDDOWN(MIN((B5-B3)/365,A5),2)</f>
        <v>1.35</v>
      </c>
      <c r="D5" s="3022">
        <f>IF(ISERROR(ROUND(POWER(1+E5,A5-C5)*(POWER(1+E5,C5)-1)/(POWER(1+E5,A5)-1),3)),0,ROUND(POWER(1+E5,A5-C5)*(POWER(1+E5,C5)-1)/(POWER(1+E5,A5)-1),4))</f>
        <v>6.5100000000000005E-2</v>
      </c>
      <c r="E5" s="3023">
        <v>0.04</v>
      </c>
      <c r="F5" s="3016"/>
      <c r="I5" s="3430" t="s">
        <v>2579</v>
      </c>
      <c r="J5" s="3430">
        <v>70</v>
      </c>
      <c r="K5" s="3430">
        <v>60</v>
      </c>
      <c r="L5" s="3430">
        <v>15</v>
      </c>
      <c r="M5" s="3430">
        <v>25</v>
      </c>
      <c r="N5" s="3020">
        <v>40</v>
      </c>
      <c r="O5" s="3020">
        <v>50</v>
      </c>
      <c r="P5" s="3020">
        <v>40</v>
      </c>
      <c r="Q5" s="3020">
        <v>15</v>
      </c>
      <c r="R5" s="3020">
        <v>315</v>
      </c>
    </row>
    <row r="6" spans="1:18">
      <c r="A6" s="3021">
        <v>50</v>
      </c>
      <c r="B6" s="3018">
        <v>50028</v>
      </c>
      <c r="C6" s="3020">
        <f>ROUNDDOWN(MIN((B6-B3)/365,A6),2)</f>
        <v>11.35</v>
      </c>
      <c r="D6" s="3022">
        <f>IF(ISERROR(ROUND(POWER(1+E6,A6-C6)*(POWER(1+E6,C6)-1)/(POWER(1+E6,A6)-1),3)),0,ROUND(POWER(1+E6,A6-C6)*(POWER(1+E6,C6)-1)/(POWER(1+E6,A6)-1),4))</f>
        <v>0.41810000000000003</v>
      </c>
      <c r="E6" s="3023">
        <v>0.04</v>
      </c>
      <c r="F6" s="3016"/>
      <c r="I6" s="3430" t="s">
        <v>2580</v>
      </c>
      <c r="J6" s="3430">
        <v>60</v>
      </c>
      <c r="K6" s="3430">
        <v>50</v>
      </c>
      <c r="L6" s="3430">
        <v>10</v>
      </c>
      <c r="M6" s="3430">
        <v>20</v>
      </c>
      <c r="N6" s="3020">
        <v>35</v>
      </c>
      <c r="O6" s="3020">
        <v>40</v>
      </c>
      <c r="P6" s="3020">
        <v>30</v>
      </c>
      <c r="Q6" s="3020">
        <v>10</v>
      </c>
      <c r="R6" s="3020">
        <v>255</v>
      </c>
    </row>
    <row r="7" spans="1:18">
      <c r="A7" s="3021">
        <v>70</v>
      </c>
      <c r="B7" s="3018">
        <v>57333</v>
      </c>
      <c r="C7" s="3020">
        <f>ROUNDDOWN(MIN((B7-B3)/365,A7),2)</f>
        <v>31.37</v>
      </c>
      <c r="D7" s="3022">
        <f>IF(ISERROR(ROUND(POWER(1+E7,A7-C7)*(POWER(1+E7,C7)-1)/(POWER(1+E7,A7)-1),3)),0,ROUND(POWER(1+E7,A7-C7)*(POWER(1+E7,C7)-1)/(POWER(1+E7,A7)-1),4))</f>
        <v>0.75639999999999996</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4">
      <c r="A17" s="3017" t="s">
        <v>2514</v>
      </c>
      <c r="B17" s="3026">
        <v>4810</v>
      </c>
      <c r="C17" s="3019"/>
      <c r="D17" s="3015"/>
      <c r="E17" s="3015"/>
      <c r="F17" s="3016"/>
    </row>
    <row r="18" spans="1:14" ht="15" thickBot="1">
      <c r="A18" s="3028" t="s">
        <v>2513</v>
      </c>
      <c r="B18" s="3029">
        <f>ROUND(B17*F11/F12,2)</f>
        <v>5541.87</v>
      </c>
      <c r="C18" s="3029">
        <f>ROUND(F11/F12,4)</f>
        <v>1.1521999999999999</v>
      </c>
      <c r="D18" s="3030"/>
      <c r="E18" s="3030"/>
      <c r="F18" s="3031"/>
    </row>
    <row r="19" spans="1:14" ht="15" thickBot="1"/>
    <row r="20" spans="1:14" s="3066" customFormat="1" ht="15" thickTop="1">
      <c r="A20" s="3063" t="s">
        <v>2516</v>
      </c>
      <c r="B20" s="3064"/>
      <c r="C20" s="3064"/>
      <c r="D20" s="3064"/>
      <c r="E20" s="3064"/>
      <c r="F20" s="3064"/>
      <c r="G20" s="3065"/>
      <c r="I20" s="3067" t="s">
        <v>2561</v>
      </c>
      <c r="J20" s="3067" t="s">
        <v>2566</v>
      </c>
      <c r="K20" s="3067"/>
      <c r="L20" s="3067"/>
      <c r="M20" s="3067"/>
    </row>
    <row r="21" spans="1:14">
      <c r="A21" s="3032"/>
      <c r="B21" s="3033" t="s">
        <v>2517</v>
      </c>
      <c r="C21" s="3033" t="s">
        <v>2518</v>
      </c>
      <c r="D21" s="3033" t="s">
        <v>2519</v>
      </c>
      <c r="E21" s="3033" t="s">
        <v>2520</v>
      </c>
      <c r="F21" s="3033" t="s">
        <v>2521</v>
      </c>
      <c r="G21" s="3034" t="s">
        <v>2522</v>
      </c>
      <c r="I21" s="3055">
        <v>5</v>
      </c>
      <c r="J21" s="3055">
        <v>54.2</v>
      </c>
    </row>
    <row r="22" spans="1:14">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N23" s="3448" t="s">
        <v>2565</v>
      </c>
    </row>
    <row r="24" spans="1:14">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N24" s="3448">
        <v>10</v>
      </c>
    </row>
    <row r="25" spans="1:14">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N25" s="3448">
        <v>8</v>
      </c>
    </row>
    <row r="26" spans="1:14">
      <c r="A26" s="3037"/>
      <c r="B26" s="3038"/>
      <c r="C26" s="3038"/>
      <c r="D26" s="3038"/>
      <c r="E26" s="3038"/>
      <c r="F26" s="3038"/>
      <c r="G26" s="3039"/>
      <c r="I26" s="3055">
        <v>30</v>
      </c>
      <c r="J26" s="3055">
        <v>90.5</v>
      </c>
      <c r="K26" s="3055">
        <f t="shared" si="2"/>
        <v>4.2000000000000028</v>
      </c>
      <c r="L26" s="3055" t="s">
        <v>2568</v>
      </c>
      <c r="N26" s="3448">
        <v>5</v>
      </c>
    </row>
    <row r="27" spans="1:14">
      <c r="A27" s="3037" t="s">
        <v>2527</v>
      </c>
      <c r="B27" s="3038"/>
      <c r="C27" s="3038"/>
      <c r="D27" s="3038"/>
      <c r="E27" s="3038"/>
      <c r="F27" s="3038"/>
      <c r="G27" s="3039"/>
      <c r="I27" s="3055">
        <v>35</v>
      </c>
      <c r="J27" s="3055">
        <v>93.8</v>
      </c>
      <c r="K27" s="3055">
        <f t="shared" si="2"/>
        <v>3.2999999999999972</v>
      </c>
      <c r="L27" s="3055" t="s">
        <v>2569</v>
      </c>
      <c r="N27" s="3448">
        <v>3</v>
      </c>
    </row>
    <row r="28" spans="1:14">
      <c r="A28" s="3037" t="s">
        <v>2528</v>
      </c>
      <c r="B28" s="3038"/>
      <c r="C28" s="3038"/>
      <c r="D28" s="3038"/>
      <c r="E28" s="3038"/>
      <c r="F28" s="3038"/>
      <c r="G28" s="3039"/>
      <c r="I28" s="3055">
        <v>40</v>
      </c>
      <c r="J28" s="3055">
        <v>96.4</v>
      </c>
      <c r="K28" s="3055">
        <f t="shared" si="2"/>
        <v>2.6000000000000085</v>
      </c>
      <c r="L28" s="3055" t="s">
        <v>2570</v>
      </c>
      <c r="N28" s="3448">
        <v>2</v>
      </c>
    </row>
    <row r="29" spans="1:14">
      <c r="A29" s="3037" t="s">
        <v>2529</v>
      </c>
      <c r="B29" s="3038"/>
      <c r="C29" s="3038"/>
      <c r="D29" s="3038"/>
      <c r="E29" s="3038"/>
      <c r="F29" s="3038"/>
      <c r="G29" s="3039"/>
      <c r="I29" s="3055">
        <v>45</v>
      </c>
      <c r="J29" s="3055">
        <v>98.4</v>
      </c>
      <c r="K29" s="3055">
        <f t="shared" si="2"/>
        <v>2</v>
      </c>
    </row>
    <row r="30" spans="1:14">
      <c r="A30" s="3037" t="s">
        <v>2530</v>
      </c>
      <c r="B30" s="3038"/>
      <c r="C30" s="3038"/>
      <c r="D30" s="3038"/>
      <c r="E30" s="3038"/>
      <c r="F30" s="3038"/>
      <c r="G30" s="3039"/>
      <c r="I30" s="3055">
        <v>50</v>
      </c>
      <c r="J30" s="3055">
        <v>100</v>
      </c>
      <c r="K30" s="3055">
        <f t="shared" si="2"/>
        <v>1.5999999999999943</v>
      </c>
    </row>
    <row r="31" spans="1:14">
      <c r="A31" s="3037" t="s">
        <v>2531</v>
      </c>
      <c r="B31" s="3038"/>
      <c r="C31" s="3038"/>
      <c r="D31" s="3038"/>
      <c r="E31" s="3038"/>
      <c r="F31" s="3038"/>
      <c r="G31" s="3039"/>
      <c r="I31" s="3055" t="s">
        <v>2562</v>
      </c>
    </row>
    <row r="32" spans="1:14">
      <c r="A32" s="3037" t="s">
        <v>2532</v>
      </c>
      <c r="B32" s="3038"/>
      <c r="C32" s="3038"/>
      <c r="D32" s="3038"/>
      <c r="E32" s="3038"/>
      <c r="F32" s="3038"/>
      <c r="G32" s="3039"/>
    </row>
    <row r="33" spans="1:14">
      <c r="A33" s="3037" t="s">
        <v>2533</v>
      </c>
      <c r="B33" s="3038"/>
      <c r="C33" s="3038"/>
      <c r="D33" s="3038"/>
      <c r="E33" s="3038"/>
      <c r="F33" s="3038"/>
      <c r="G33" s="3039"/>
      <c r="I33" s="3055" t="s">
        <v>2561</v>
      </c>
      <c r="J33" s="3055" t="s">
        <v>2571</v>
      </c>
    </row>
    <row r="34" spans="1:14">
      <c r="A34" s="3037" t="s">
        <v>2534</v>
      </c>
      <c r="B34" s="3038"/>
      <c r="C34" s="3038"/>
      <c r="D34" s="3038"/>
      <c r="E34" s="3038"/>
      <c r="F34" s="3038"/>
      <c r="G34" s="3039"/>
      <c r="I34" s="3055">
        <v>5</v>
      </c>
      <c r="J34" s="3055">
        <v>55.1</v>
      </c>
    </row>
    <row r="35" spans="1:14">
      <c r="A35" s="3037" t="s">
        <v>2535</v>
      </c>
      <c r="B35" s="3038"/>
      <c r="C35" s="3038"/>
      <c r="D35" s="3038"/>
      <c r="E35" s="3038"/>
      <c r="F35" s="3038"/>
      <c r="G35" s="3039"/>
      <c r="I35" s="3055">
        <v>10</v>
      </c>
      <c r="J35" s="3055">
        <v>67</v>
      </c>
      <c r="K35" s="3055">
        <f>J35-J34</f>
        <v>11.899999999999999</v>
      </c>
    </row>
    <row r="36" spans="1:14">
      <c r="A36" s="3037" t="s">
        <v>2536</v>
      </c>
      <c r="B36" s="3038"/>
      <c r="C36" s="3038"/>
      <c r="D36" s="3038"/>
      <c r="E36" s="3038"/>
      <c r="F36" s="3038"/>
      <c r="G36" s="3039"/>
      <c r="I36" s="3055">
        <v>15</v>
      </c>
      <c r="J36" s="3055">
        <v>76.3</v>
      </c>
      <c r="K36" s="3055">
        <f t="shared" ref="K36:K41" si="3">J36-J35</f>
        <v>9.2999999999999972</v>
      </c>
      <c r="L36" s="3055" t="s">
        <v>2564</v>
      </c>
      <c r="N36" s="3448" t="s">
        <v>2565</v>
      </c>
    </row>
    <row r="37" spans="1:14">
      <c r="A37" s="3037" t="s">
        <v>2537</v>
      </c>
      <c r="B37" s="3038"/>
      <c r="C37" s="3038"/>
      <c r="D37" s="3038"/>
      <c r="E37" s="3038"/>
      <c r="F37" s="3038"/>
      <c r="G37" s="3039"/>
      <c r="I37" s="3055">
        <v>20</v>
      </c>
      <c r="J37" s="3055">
        <v>83.6</v>
      </c>
      <c r="K37" s="3055">
        <f t="shared" si="3"/>
        <v>7.2999999999999972</v>
      </c>
      <c r="L37" s="3055" t="s">
        <v>2563</v>
      </c>
      <c r="N37" s="3448">
        <v>10</v>
      </c>
    </row>
    <row r="38" spans="1:14">
      <c r="A38" s="3037" t="s">
        <v>2538</v>
      </c>
      <c r="B38" s="3038"/>
      <c r="C38" s="3038"/>
      <c r="D38" s="3038"/>
      <c r="E38" s="3038"/>
      <c r="F38" s="3038"/>
      <c r="G38" s="3039"/>
      <c r="I38" s="3055">
        <v>25</v>
      </c>
      <c r="J38" s="3055">
        <v>89.3</v>
      </c>
      <c r="K38" s="3055">
        <f t="shared" si="3"/>
        <v>5.7000000000000028</v>
      </c>
      <c r="L38" s="3055" t="s">
        <v>2567</v>
      </c>
      <c r="N38" s="3448">
        <v>8</v>
      </c>
    </row>
    <row r="39" spans="1:14">
      <c r="A39" s="3037"/>
      <c r="B39" s="3038"/>
      <c r="C39" s="3038"/>
      <c r="D39" s="3038"/>
      <c r="E39" s="3038"/>
      <c r="F39" s="3038"/>
      <c r="G39" s="3039"/>
      <c r="I39" s="3055">
        <v>30</v>
      </c>
      <c r="J39" s="3055">
        <v>93.8</v>
      </c>
      <c r="K39" s="3055">
        <f t="shared" si="3"/>
        <v>4.5</v>
      </c>
      <c r="L39" s="3055" t="s">
        <v>2568</v>
      </c>
      <c r="N39" s="3448">
        <v>6</v>
      </c>
    </row>
    <row r="40" spans="1:14">
      <c r="A40" s="3040" t="s">
        <v>2539</v>
      </c>
      <c r="B40" s="3041"/>
      <c r="C40" s="3041"/>
      <c r="D40" s="3041"/>
      <c r="E40" s="3041"/>
      <c r="F40" s="3041"/>
      <c r="G40" s="3042"/>
      <c r="I40" s="3055">
        <v>35</v>
      </c>
      <c r="J40" s="3055">
        <v>97.2</v>
      </c>
      <c r="K40" s="3055">
        <f t="shared" si="3"/>
        <v>3.4000000000000057</v>
      </c>
      <c r="L40" s="3055" t="s">
        <v>2569</v>
      </c>
      <c r="N40" s="3448">
        <v>3</v>
      </c>
    </row>
    <row r="41" spans="1:14">
      <c r="A41" s="3043" t="s">
        <v>2540</v>
      </c>
      <c r="B41" s="3044" t="s">
        <v>2541</v>
      </c>
      <c r="C41" s="3045" t="s">
        <v>2542</v>
      </c>
      <c r="D41" s="3045" t="s">
        <v>2543</v>
      </c>
      <c r="E41" s="3046"/>
      <c r="F41" s="3047"/>
      <c r="G41" s="3048"/>
      <c r="I41" s="3055">
        <v>40</v>
      </c>
      <c r="J41" s="3055">
        <v>100</v>
      </c>
      <c r="K41" s="3055">
        <f t="shared" si="3"/>
        <v>2.7999999999999972</v>
      </c>
    </row>
    <row r="42" spans="1:14">
      <c r="A42" s="3043" t="s">
        <v>2544</v>
      </c>
      <c r="B42" s="3044" t="s">
        <v>2545</v>
      </c>
      <c r="C42" s="3045" t="s">
        <v>2546</v>
      </c>
      <c r="D42" s="3049" t="s">
        <v>2547</v>
      </c>
      <c r="E42" s="3041" t="s">
        <v>2548</v>
      </c>
      <c r="F42" s="3041"/>
      <c r="G42" s="3042"/>
    </row>
    <row r="43" spans="1:14">
      <c r="A43" s="3043" t="s">
        <v>2549</v>
      </c>
      <c r="B43" s="3044" t="s">
        <v>2550</v>
      </c>
      <c r="C43" s="3045" t="s">
        <v>2551</v>
      </c>
      <c r="D43" s="3045" t="s">
        <v>2552</v>
      </c>
      <c r="E43" s="3046" t="s">
        <v>2553</v>
      </c>
      <c r="F43" s="3047"/>
      <c r="G43" s="3048"/>
      <c r="I43" s="3055" t="s">
        <v>2561</v>
      </c>
      <c r="J43" s="3055" t="s">
        <v>2572</v>
      </c>
    </row>
    <row r="44" spans="1:14">
      <c r="A44" s="3043" t="s">
        <v>2554</v>
      </c>
      <c r="B44" s="3044" t="s">
        <v>2555</v>
      </c>
      <c r="C44" s="3045" t="s">
        <v>2556</v>
      </c>
      <c r="D44" s="3049">
        <v>0.5</v>
      </c>
      <c r="E44" s="3046" t="s">
        <v>2557</v>
      </c>
      <c r="F44" s="3047"/>
      <c r="G44" s="3048"/>
      <c r="I44" s="3055">
        <v>30</v>
      </c>
      <c r="J44" s="3055">
        <v>81.7</v>
      </c>
    </row>
    <row r="45" spans="1:14" ht="15" thickBot="1">
      <c r="A45" s="3050" t="s">
        <v>2558</v>
      </c>
      <c r="B45" s="3051" t="s">
        <v>2545</v>
      </c>
      <c r="C45" s="3052" t="s">
        <v>2545</v>
      </c>
      <c r="D45" s="3052" t="s">
        <v>2559</v>
      </c>
      <c r="E45" s="3053" t="s">
        <v>2560</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3383</v>
      </c>
    </row>
    <row r="50" spans="1:4">
      <c r="A50" s="3440" t="s">
        <v>3384</v>
      </c>
      <c r="B50" s="3440" t="s">
        <v>3385</v>
      </c>
      <c r="C50" s="3440" t="s">
        <v>3386</v>
      </c>
      <c r="D50" s="3440" t="s">
        <v>3387</v>
      </c>
    </row>
    <row r="51" spans="1:4">
      <c r="A51" s="3440" t="s">
        <v>3388</v>
      </c>
      <c r="B51" s="3019">
        <f>B52+B53</f>
        <v>15000</v>
      </c>
      <c r="C51" s="3441">
        <f>D51/B51</f>
        <v>2666.6666666666665</v>
      </c>
      <c r="D51" s="3019">
        <f>D52+D53</f>
        <v>40000000</v>
      </c>
    </row>
    <row r="52" spans="1:4">
      <c r="A52" s="3442" t="s">
        <v>3389</v>
      </c>
      <c r="B52" s="3443">
        <v>10000</v>
      </c>
      <c r="C52" s="3443">
        <v>1500</v>
      </c>
      <c r="D52" s="3444">
        <f>C52*B52</f>
        <v>15000000</v>
      </c>
    </row>
    <row r="53" spans="1:4">
      <c r="A53" s="3442" t="s">
        <v>3390</v>
      </c>
      <c r="B53" s="3443">
        <v>5000</v>
      </c>
      <c r="C53" s="3443">
        <v>5000</v>
      </c>
      <c r="D53" s="3444">
        <f>C53*B53</f>
        <v>25000000</v>
      </c>
    </row>
    <row r="54" spans="1:4">
      <c r="A54" s="3440" t="s">
        <v>3391</v>
      </c>
      <c r="B54" s="3019">
        <f>B51</f>
        <v>15000</v>
      </c>
      <c r="C54" s="3026">
        <v>700</v>
      </c>
      <c r="D54" s="3019">
        <f t="shared" ref="D54:D55" si="5">C54*B54</f>
        <v>10500000</v>
      </c>
    </row>
    <row r="55" spans="1:4">
      <c r="A55" s="3440" t="s">
        <v>3392</v>
      </c>
      <c r="B55" s="3019">
        <f>B51</f>
        <v>15000</v>
      </c>
      <c r="C55" s="3026">
        <v>1500</v>
      </c>
      <c r="D55" s="3019">
        <f t="shared" si="5"/>
        <v>22500000</v>
      </c>
    </row>
    <row r="56" spans="1:4">
      <c r="A56" s="3440" t="s">
        <v>3393</v>
      </c>
      <c r="B56" s="3019">
        <f>B51</f>
        <v>15000</v>
      </c>
      <c r="C56" s="3445">
        <f>C51+C54+C55</f>
        <v>4866.6666666666661</v>
      </c>
      <c r="D56" s="3019">
        <f>D51+D54+D55</f>
        <v>73000000</v>
      </c>
    </row>
    <row r="58" spans="1:4">
      <c r="A58" s="3440" t="s">
        <v>3394</v>
      </c>
      <c r="B58" s="3446">
        <v>0.05</v>
      </c>
      <c r="C58" s="3019">
        <f>C56*(1+B58)</f>
        <v>5110</v>
      </c>
      <c r="D58" s="3019">
        <f>D56*B58</f>
        <v>3650000</v>
      </c>
    </row>
    <row r="60" spans="1:4">
      <c r="A60" s="3440" t="s">
        <v>3395</v>
      </c>
      <c r="B60" s="3026">
        <v>3500</v>
      </c>
      <c r="C60" s="3026">
        <f>C53</f>
        <v>5000</v>
      </c>
      <c r="D60" s="3019">
        <f>C60*B60</f>
        <v>17500000</v>
      </c>
    </row>
    <row r="62" spans="1:4">
      <c r="A62" s="3440" t="s">
        <v>3396</v>
      </c>
      <c r="B62" s="3026">
        <f>B51</f>
        <v>15000</v>
      </c>
      <c r="C62" s="3447">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3" t="s">
        <v>2165</v>
      </c>
      <c r="B1" s="3562" t="str">
        <f>IF(B10="北京市","北京市",C10)&amp;F10&amp;IF(结果表!G1="在建","出让国有建设用地使用权及在建建筑物",IF(结果表!G1="土地","出让国有建设用地使用权",))&amp;B9&amp;"预评估"</f>
        <v>北京市房地产市场价值预评估</v>
      </c>
      <c r="C1" s="3563"/>
      <c r="D1" s="3563"/>
      <c r="E1" s="3563"/>
      <c r="F1" s="3563"/>
      <c r="G1" s="3563"/>
      <c r="H1" s="3563"/>
      <c r="I1" s="3564"/>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4" t="s">
        <v>2166</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0">
        <f>D3</f>
        <v>45882</v>
      </c>
      <c r="C3" s="2371" t="s">
        <v>2168</v>
      </c>
      <c r="D3" s="2370">
        <v>45882</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8" thickBot="1">
      <c r="A4" s="1088"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8"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3424</v>
      </c>
      <c r="C8" s="2387"/>
      <c r="D8" s="3565" t="s">
        <v>2174</v>
      </c>
      <c r="E8" s="2388"/>
      <c r="F8" s="2389"/>
      <c r="G8" s="2660"/>
      <c r="H8" s="2660"/>
      <c r="I8" s="2660"/>
      <c r="J8" s="2436"/>
      <c r="K8" s="2611"/>
      <c r="L8" s="2610"/>
      <c r="M8" s="2610"/>
      <c r="N8" s="2436"/>
      <c r="O8" s="2447"/>
      <c r="P8" s="2436"/>
      <c r="Q8" s="2436"/>
      <c r="R8" s="2436"/>
    </row>
    <row r="9" spans="1:30" ht="13.8" thickBot="1">
      <c r="A9" s="2390" t="s">
        <v>2175</v>
      </c>
      <c r="B9" s="2391" t="s">
        <v>3425</v>
      </c>
      <c r="C9" s="2392"/>
      <c r="D9" s="3566"/>
      <c r="E9" s="2391"/>
      <c r="F9" s="2393"/>
      <c r="G9" s="2662"/>
      <c r="H9" s="2662"/>
      <c r="I9" s="2662"/>
      <c r="J9" s="2436"/>
      <c r="K9" s="2613"/>
      <c r="L9" s="2610"/>
      <c r="M9" s="2610"/>
      <c r="N9" s="2436"/>
      <c r="O9" s="2447"/>
      <c r="P9" s="2436"/>
      <c r="Q9" s="2436"/>
      <c r="R9" s="2436"/>
    </row>
    <row r="10" spans="1:30" ht="13.8" thickTop="1">
      <c r="A10" s="2394" t="s">
        <v>2176</v>
      </c>
      <c r="B10" s="2395" t="s">
        <v>3422</v>
      </c>
      <c r="C10" s="2396"/>
      <c r="D10" s="2379"/>
      <c r="E10" s="2397" t="s">
        <v>2177</v>
      </c>
      <c r="F10" s="2663"/>
      <c r="G10" s="2664"/>
      <c r="H10" s="2665"/>
      <c r="I10" s="2666"/>
      <c r="J10" s="2436"/>
      <c r="K10" s="2613"/>
      <c r="L10" s="2610"/>
      <c r="M10" s="2610"/>
      <c r="N10" s="2436"/>
      <c r="O10" s="2447"/>
      <c r="P10" s="2436"/>
      <c r="Q10" s="2436"/>
      <c r="R10" s="2436"/>
    </row>
    <row r="11" spans="1:30">
      <c r="A11" s="2398" t="s">
        <v>2178</v>
      </c>
      <c r="B11" s="2399" t="s">
        <v>3423</v>
      </c>
      <c r="C11" s="2400"/>
      <c r="D11" s="2401"/>
      <c r="E11" s="2367"/>
      <c r="F11" s="2367"/>
      <c r="G11" s="2367"/>
      <c r="H11" s="2367"/>
      <c r="I11" s="2367"/>
      <c r="J11" s="3058"/>
      <c r="K11" s="3057"/>
      <c r="L11" s="2610"/>
      <c r="M11" s="2610"/>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6" t="s">
        <v>2573</v>
      </c>
      <c r="J12" s="3059"/>
      <c r="K12" s="2610"/>
      <c r="L12" s="2610"/>
      <c r="M12" s="2436"/>
      <c r="N12" s="2447"/>
      <c r="O12" s="2436"/>
      <c r="P12" s="2436"/>
      <c r="Q12" s="2436"/>
      <c r="AD12" s="1743"/>
    </row>
    <row r="13" spans="1:30">
      <c r="A13" s="3414" t="s">
        <v>3328</v>
      </c>
      <c r="B13" s="2404" t="s">
        <v>2187</v>
      </c>
      <c r="C13" s="854">
        <v>68749</v>
      </c>
      <c r="D13" s="854"/>
      <c r="E13" s="854"/>
      <c r="F13" s="854"/>
      <c r="G13" s="854">
        <v>61444</v>
      </c>
      <c r="H13" s="854"/>
      <c r="I13" s="854"/>
      <c r="J13" s="3059"/>
      <c r="K13" s="2610"/>
      <c r="L13" s="2610"/>
      <c r="M13" s="2436"/>
      <c r="N13" s="2447"/>
      <c r="O13" s="2436"/>
      <c r="P13" s="2436"/>
      <c r="Q13" s="2436"/>
      <c r="AD13" s="1743"/>
    </row>
    <row r="14" spans="1:30">
      <c r="A14" s="1079"/>
      <c r="B14" s="2404" t="s">
        <v>2188</v>
      </c>
      <c r="C14" s="2405">
        <v>70</v>
      </c>
      <c r="D14" s="2405"/>
      <c r="E14" s="2405"/>
      <c r="F14" s="2405"/>
      <c r="G14" s="2405">
        <v>50</v>
      </c>
      <c r="H14" s="2405"/>
      <c r="I14" s="2405"/>
      <c r="J14" s="3060"/>
      <c r="K14" s="2610"/>
      <c r="L14" s="2610"/>
      <c r="M14" s="2436"/>
      <c r="N14" s="2447"/>
      <c r="O14" s="2436"/>
      <c r="P14" s="2436"/>
      <c r="Q14" s="2436"/>
      <c r="AD14" s="1743"/>
    </row>
    <row r="15" spans="1:30">
      <c r="A15" s="319"/>
      <c r="B15" s="2406" t="s">
        <v>2189</v>
      </c>
      <c r="C15" s="2407">
        <f>IF(A13="出让",IF(C13="","",ROUNDDOWN(MIN((C13-$D$3)/365,C14),2)),C14)</f>
        <v>62.64</v>
      </c>
      <c r="D15" s="2407" t="str">
        <f>IF(A13="出让",IF(D13="","",ROUNDDOWN(MIN((D13-$D$3)/365,D14),2)),D14)</f>
        <v/>
      </c>
      <c r="E15" s="2407" t="str">
        <f>IF(A13="出让",IF(E13="","",ROUNDDOWN(MIN((E13-$D$3)/365,E14),2)),E14)</f>
        <v/>
      </c>
      <c r="F15" s="2407" t="str">
        <f>IF(A13="出让",IF(F13="","",ROUNDDOWN(MIN((F13-$D$3)/365,F14),2)),F14)</f>
        <v/>
      </c>
      <c r="G15" s="2407">
        <f>IF(A13="出让",IF(G13="","",ROUNDDOWN(MIN((G13-$D$3)/365,G14),2)),G14)</f>
        <v>42.63</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2190</v>
      </c>
      <c r="B16" s="3572"/>
      <c r="C16" s="3573"/>
      <c r="D16" s="3574"/>
      <c r="E16" s="2410" t="s">
        <v>2191</v>
      </c>
      <c r="F16" s="3575"/>
      <c r="G16" s="3576"/>
      <c r="H16" s="3576"/>
      <c r="I16" s="3577"/>
      <c r="J16" s="2436"/>
      <c r="K16" s="2614"/>
      <c r="L16" s="2448"/>
      <c r="M16" s="2448"/>
      <c r="N16" s="2506"/>
      <c r="O16" s="2448"/>
      <c r="P16" s="2506"/>
      <c r="Q16" s="2436"/>
      <c r="R16" s="2436"/>
    </row>
    <row r="17" spans="1:28">
      <c r="A17" s="312" t="s">
        <v>2192</v>
      </c>
      <c r="B17" s="301" t="s">
        <v>2193</v>
      </c>
      <c r="C17" s="8">
        <f>'数据-汇总表'!E3</f>
        <v>10.32</v>
      </c>
      <c r="D17" s="2319" t="s">
        <v>2194</v>
      </c>
      <c r="E17" s="3578" t="s">
        <v>2195</v>
      </c>
      <c r="F17" s="3579"/>
      <c r="G17" s="3579"/>
      <c r="H17" s="3579"/>
      <c r="I17" s="3580"/>
      <c r="J17" s="2436"/>
      <c r="K17" s="2615"/>
      <c r="L17" s="2448"/>
      <c r="M17" s="2448"/>
      <c r="N17" s="2506"/>
      <c r="O17" s="2448"/>
      <c r="P17" s="2506"/>
      <c r="Q17" s="2436"/>
      <c r="R17" s="2436"/>
      <c r="S17" s="2436"/>
      <c r="T17" s="2436"/>
      <c r="U17" s="2436"/>
      <c r="V17" s="2436"/>
    </row>
    <row r="18" spans="1:28" ht="24.6" thickBot="1">
      <c r="A18" s="2411" t="s">
        <v>2196</v>
      </c>
      <c r="B18" s="1088" t="s">
        <v>2197</v>
      </c>
      <c r="C18" s="2412" t="e">
        <f>'数据-汇总表'!D3</f>
        <v>#DIV/0!</v>
      </c>
      <c r="D18" s="1090" t="s">
        <v>2198</v>
      </c>
      <c r="E18" s="3581" t="s">
        <v>2199</v>
      </c>
      <c r="F18" s="3582"/>
      <c r="G18" s="3582"/>
      <c r="H18" s="3582"/>
      <c r="I18" s="3583"/>
      <c r="J18" s="2436"/>
      <c r="K18" s="2615"/>
      <c r="L18" s="2448"/>
      <c r="M18" s="2448"/>
      <c r="N18" s="2506"/>
      <c r="O18" s="2448"/>
      <c r="P18" s="2506"/>
      <c r="Q18" s="2436"/>
      <c r="R18" s="2436"/>
      <c r="S18" s="2436"/>
      <c r="T18" s="2436"/>
      <c r="U18" s="2436"/>
      <c r="V18" s="2436"/>
    </row>
    <row r="19" spans="1:28" ht="37.200000000000003" thickTop="1" thickBot="1">
      <c r="A19" s="326" t="s">
        <v>1055</v>
      </c>
      <c r="B19" s="306" t="s">
        <v>2200</v>
      </c>
      <c r="C19" s="1561"/>
      <c r="D19" s="1562" t="s">
        <v>2201</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2202</v>
      </c>
      <c r="B20" s="3568" t="s">
        <v>2203</v>
      </c>
      <c r="C20" s="3569"/>
      <c r="D20" s="3570" t="s">
        <v>2204</v>
      </c>
      <c r="E20" s="3571"/>
      <c r="F20" s="2644" t="s">
        <v>1056</v>
      </c>
      <c r="G20" s="2661"/>
      <c r="H20" s="2661"/>
      <c r="I20" s="2661"/>
      <c r="J20" s="2436"/>
      <c r="K20" s="3567"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36.6" thickBot="1">
      <c r="A21" s="2629"/>
      <c r="B21" s="2630" t="s">
        <v>2206</v>
      </c>
      <c r="C21" s="2631" t="s">
        <v>1057</v>
      </c>
      <c r="D21" s="1566" t="s">
        <v>2207</v>
      </c>
      <c r="E21" s="2632" t="s">
        <v>1057</v>
      </c>
      <c r="F21" s="2645"/>
      <c r="G21" s="2661"/>
      <c r="H21" s="2661"/>
      <c r="I21" s="2661"/>
      <c r="J21" s="2436"/>
      <c r="K21" s="356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36.6" thickBot="1">
      <c r="A22" s="2629"/>
      <c r="B22" s="2633" t="s">
        <v>2208</v>
      </c>
      <c r="C22" s="2631" t="s">
        <v>1058</v>
      </c>
      <c r="D22" s="2660"/>
      <c r="E22" s="2660"/>
      <c r="F22" s="2660"/>
      <c r="G22" s="2661"/>
      <c r="H22" s="2661"/>
      <c r="I22" s="2661"/>
      <c r="J22" s="2436"/>
      <c r="K22" s="356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55" t="s">
        <v>2211</v>
      </c>
      <c r="B27" s="319" t="s">
        <v>2212</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55"/>
      <c r="B28" s="301" t="s">
        <v>2213</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55"/>
      <c r="B29" s="301" t="s">
        <v>2214</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56"/>
      <c r="B30" s="301" t="s">
        <v>2215</v>
      </c>
      <c r="C30" s="3557"/>
      <c r="D30" s="3558"/>
      <c r="E30" s="2661"/>
      <c r="F30" s="2661"/>
      <c r="G30" s="2661"/>
      <c r="H30" s="2661"/>
      <c r="I30" s="2661"/>
      <c r="J30" s="2436"/>
      <c r="K30" s="2613"/>
      <c r="L30" s="2610"/>
      <c r="M30" s="2610"/>
      <c r="N30" s="2436"/>
      <c r="O30" s="2447"/>
      <c r="P30" s="2436"/>
      <c r="Q30" s="2436"/>
      <c r="R30" s="2436"/>
      <c r="S30" s="2436"/>
      <c r="T30" s="2436"/>
      <c r="U30" s="2436"/>
      <c r="V30" s="2436"/>
    </row>
    <row r="31" spans="1:28">
      <c r="A31" s="3559" t="s">
        <v>2216</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60"/>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60"/>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2217</v>
      </c>
      <c r="B34" s="2024"/>
      <c r="C34" s="2024"/>
      <c r="D34" s="2024"/>
      <c r="E34" s="2024"/>
      <c r="F34" s="2024"/>
      <c r="G34" s="2024"/>
      <c r="H34" s="2024"/>
      <c r="I34" s="2661"/>
      <c r="J34" s="2436"/>
      <c r="K34" s="2424">
        <f>COUNTIF(B34:H34,"——")</f>
        <v>0</v>
      </c>
      <c r="L34" s="322" t="s">
        <v>2218</v>
      </c>
      <c r="M34" s="322" t="s">
        <v>2219</v>
      </c>
      <c r="N34" s="322" t="s">
        <v>2220</v>
      </c>
      <c r="O34" s="322" t="s">
        <v>2221</v>
      </c>
      <c r="P34" s="322" t="s">
        <v>2222</v>
      </c>
      <c r="Q34" s="322" t="s">
        <v>2223</v>
      </c>
      <c r="R34" s="322" t="s">
        <v>2224</v>
      </c>
      <c r="S34" s="3554" t="s">
        <v>2225</v>
      </c>
      <c r="T34" s="2425" t="str">
        <f>NUMBERSTRING(7-K34,1)&amp;"通"</f>
        <v>七通</v>
      </c>
      <c r="U34" s="2436"/>
      <c r="V34" s="2436"/>
    </row>
    <row r="35" spans="1:30">
      <c r="A35" s="2426"/>
      <c r="B35" s="3561" t="s">
        <v>2226</v>
      </c>
      <c r="C35" s="3561"/>
      <c r="D35" s="3561"/>
      <c r="E35" s="3561"/>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54"/>
      <c r="T35" s="328" t="str">
        <f>IF(T34="一通",L35,IF(T34="二通",M35,IF(T34="三通",N35,IF(T34="四通",O35,IF(T34="五通",P35,IF(T34="六通",Q35,R35))))))</f>
        <v>、、、、、、</v>
      </c>
      <c r="U35" s="2436"/>
      <c r="V35" s="2436"/>
    </row>
    <row r="36" spans="1:30">
      <c r="A36" s="2427"/>
      <c r="B36" s="663" t="s">
        <v>2182</v>
      </c>
      <c r="C36" s="663" t="s">
        <v>2183</v>
      </c>
      <c r="D36" s="663" t="s">
        <v>2181</v>
      </c>
      <c r="E36" s="663" t="s">
        <v>2186</v>
      </c>
      <c r="F36" s="3062" t="s">
        <v>2576</v>
      </c>
      <c r="G36" s="2661"/>
      <c r="H36" s="2661"/>
      <c r="I36" s="2661"/>
      <c r="J36" s="2436"/>
      <c r="K36" s="2613"/>
      <c r="L36" s="2610"/>
      <c r="M36" s="2610"/>
      <c r="N36" s="2436"/>
      <c r="O36" s="2447"/>
      <c r="P36" s="2436"/>
      <c r="Q36" s="2436"/>
      <c r="R36" s="2436"/>
      <c r="S36" s="2436"/>
      <c r="T36" s="2436"/>
      <c r="U36" s="2436"/>
      <c r="V36" s="2436"/>
    </row>
    <row r="37" spans="1:30">
      <c r="A37" s="2627" t="s">
        <v>2227</v>
      </c>
      <c r="B37" s="2428"/>
      <c r="C37" s="2428"/>
      <c r="D37" s="2428" t="s">
        <v>307</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2228</v>
      </c>
      <c r="B38" s="2429"/>
      <c r="C38" s="2429"/>
      <c r="D38" s="2429" t="s">
        <v>3408</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2230</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2">
      <c r="A42" s="322"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0</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10.32</v>
      </c>
      <c r="BA5" s="15">
        <f t="shared" si="1"/>
        <v>10.32</v>
      </c>
      <c r="BB5" s="15">
        <f t="shared" si="1"/>
        <v>10.32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6"/>
      <c r="AV6" s="12" t="s">
        <v>1072</v>
      </c>
      <c r="AW6" s="1584"/>
      <c r="AX6" s="158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43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t="s">
        <v>3330</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仓储</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1049"/>
      <c r="D13" s="1623" t="s">
        <v>3429</v>
      </c>
      <c r="E13" s="13" t="e">
        <f>IF($C$3="是",ROUND($A$3*G13/$B$3,2),ROUND($A$3*(G13-AT13)/$B$3,2))</f>
        <v>#DIV/0!</v>
      </c>
      <c r="F13" s="29"/>
      <c r="G13" s="30">
        <f>H13+AC13+AT13</f>
        <v>0</v>
      </c>
      <c r="H13" s="17">
        <f>SUMIF(I$12:AB$12,"总值",I13:AB13)</f>
        <v>0</v>
      </c>
      <c r="I13" s="1624" t="str">
        <f>估价对象汇总!E3</f>
        <v>10.32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t="e">
        <f>ROUND($AY$6*AZ13/$AZ$5,2)</f>
        <v>#DIV/0!</v>
      </c>
      <c r="AZ13" s="13">
        <f>BA13+BL13</f>
        <v>10.32</v>
      </c>
      <c r="BA13" s="13">
        <f>SUM(BB13:BK13)</f>
        <v>10.32</v>
      </c>
      <c r="BB13" s="13">
        <f>IF($D13="是",I13-J13,0)</f>
        <v>10.32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568"/>
      <c r="D14" s="1623"/>
      <c r="E14" s="13" t="e">
        <f>IF($C$3="是",ROUND($A$3*G14/$B$3,2),ROUND($A$3*(G14-AT14)/$B$3,2))</f>
        <v>#DIV/0!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568"/>
      <c r="D15" s="1623"/>
      <c r="E15" s="13" t="e">
        <f>IF($C$3="是",ROUND($A$3*G15/$B$3,2),ROUND($A$3*(G15-AT15)/$B$3,2))</f>
        <v>#DIV/0!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t="e">
        <f>IF($C$3="是",ROUND($A$3*G16/$B$3,2),ROUND($A$3*(G16-AT16)/$B$3,2))</f>
        <v>#DIV/0!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t="e">
        <f>IF($C$3="是",ROUND($A$3*G17/$B$3,2),ROUND($A$3*(G17-AT17)/$B$3,2))</f>
        <v>#DIV/0!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64" sqref="M64"/>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93" t="s">
        <v>1131</v>
      </c>
      <c r="B2" s="3593"/>
      <c r="C2" s="3593"/>
      <c r="D2" s="794" t="s">
        <v>1107</v>
      </c>
      <c r="E2" s="1637" t="s">
        <v>1108</v>
      </c>
      <c r="F2" s="2656"/>
      <c r="G2" s="2647"/>
      <c r="H2" s="2648"/>
      <c r="I2" s="2322" t="s">
        <v>1132</v>
      </c>
      <c r="J2" s="2656"/>
      <c r="K2" s="2656"/>
      <c r="L2" s="2656"/>
      <c r="M2" s="2656"/>
      <c r="N2" s="2658"/>
      <c r="O2" s="2656"/>
      <c r="P2" s="2656"/>
    </row>
    <row r="3" spans="1:16" ht="15" thickBot="1">
      <c r="A3" s="3594" t="s">
        <v>1105</v>
      </c>
      <c r="B3" s="3594"/>
      <c r="C3" s="3594"/>
      <c r="D3" s="43" t="e">
        <f>'数据-基础表'!AY6</f>
        <v>#DIV/0!</v>
      </c>
      <c r="E3" s="43">
        <f>'数据-基础表'!AZ5</f>
        <v>10.32</v>
      </c>
      <c r="F3" s="2656"/>
      <c r="G3" s="1143"/>
      <c r="H3" s="1024" t="s">
        <v>1106</v>
      </c>
      <c r="I3" s="853" t="e">
        <f>ROUND('数据-基础表'!B3/'数据-基础表'!A3,2)</f>
        <v>#DIV/0!</v>
      </c>
      <c r="J3" s="2656"/>
      <c r="K3" s="2656"/>
      <c r="L3" s="2656"/>
      <c r="M3" s="2656"/>
      <c r="N3" s="2658"/>
      <c r="O3" s="2656"/>
      <c r="P3" s="2656"/>
    </row>
    <row r="4" spans="1:16" ht="14.4">
      <c r="A4" s="3595"/>
      <c r="B4" s="3596"/>
      <c r="C4" s="3597"/>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ht="14.4">
      <c r="A5" s="44" t="s">
        <v>1109</v>
      </c>
      <c r="B5" s="3598" t="s">
        <v>1110</v>
      </c>
      <c r="C5" s="3598"/>
      <c r="D5" s="45" t="e">
        <f>ROUND($D$3*E5/$E$3,2)</f>
        <v>#DIV/0!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598" t="s">
        <v>1111</v>
      </c>
      <c r="C6" s="3598"/>
      <c r="D6" s="45" t="e">
        <f>ROUND($D$3*E6/$E$3,2)</f>
        <v>#DIV/0!</v>
      </c>
      <c r="E6" s="46">
        <f>E3-E5</f>
        <v>10.32</v>
      </c>
      <c r="F6" s="2656"/>
      <c r="G6" s="2650" t="s">
        <v>1112</v>
      </c>
      <c r="H6" s="1144" t="s">
        <v>1113</v>
      </c>
      <c r="I6" s="2651" t="e">
        <f>ROUND(F31/D31,2)</f>
        <v>#DIV/0!</v>
      </c>
      <c r="J6" s="2656"/>
      <c r="K6" s="2656"/>
      <c r="L6" s="2656"/>
      <c r="M6" s="2656"/>
      <c r="N6" s="2656"/>
      <c r="O6" s="2656"/>
      <c r="P6" s="2656"/>
    </row>
    <row r="7" spans="1:16" ht="15" thickBot="1">
      <c r="A7" s="3590"/>
      <c r="B7" s="3591"/>
      <c r="C7" s="3592"/>
      <c r="D7" s="1639" t="s">
        <v>1107</v>
      </c>
      <c r="E7" s="1643" t="s">
        <v>1114</v>
      </c>
      <c r="F7" s="2656"/>
      <c r="G7" s="2652" t="s">
        <v>1115</v>
      </c>
      <c r="H7" s="2653"/>
      <c r="I7" s="2654">
        <v>1.5</v>
      </c>
      <c r="J7" s="2656"/>
      <c r="K7" s="2656"/>
      <c r="L7" s="2656"/>
      <c r="M7" s="2656"/>
      <c r="N7" s="2656"/>
      <c r="O7" s="2656"/>
      <c r="P7" s="2656"/>
    </row>
    <row r="8" spans="1:16" ht="14.4">
      <c r="A8" s="44" t="s">
        <v>1116</v>
      </c>
      <c r="B8" s="47" t="s">
        <v>1117</v>
      </c>
      <c r="C8" s="45" t="s">
        <v>1118</v>
      </c>
      <c r="D8" s="45" t="e">
        <f t="shared" ref="D8:D15" si="0">ROUND($D$3*E8/$E$3,2)</f>
        <v>#DIV/0!</v>
      </c>
      <c r="E8" s="48">
        <f>SUMIF('数据-基础表'!BB10:BK10,"地上",'数据-基础表'!BB5:BK5)</f>
        <v>0</v>
      </c>
      <c r="F8" s="2656"/>
      <c r="G8" s="2657"/>
      <c r="H8" s="2657"/>
      <c r="I8" s="2656"/>
      <c r="J8" s="2656"/>
      <c r="K8" s="2656"/>
      <c r="L8" s="2656"/>
      <c r="M8" s="2656"/>
      <c r="N8" s="2656"/>
      <c r="O8" s="2656"/>
      <c r="P8" s="2656"/>
    </row>
    <row r="9" spans="1:16" ht="14.4">
      <c r="A9" s="1644"/>
      <c r="B9" s="1645"/>
      <c r="C9" s="45" t="s">
        <v>1119</v>
      </c>
      <c r="D9" s="45" t="e">
        <f t="shared" si="0"/>
        <v>#DIV/0!</v>
      </c>
      <c r="E9" s="49">
        <v>0</v>
      </c>
      <c r="F9" s="2656"/>
      <c r="G9" s="2657"/>
      <c r="H9" s="2657"/>
      <c r="I9" s="2656"/>
      <c r="J9" s="2656"/>
      <c r="K9" s="2656"/>
      <c r="L9" s="2656"/>
      <c r="M9" s="2656"/>
      <c r="N9" s="2656"/>
      <c r="O9" s="2656"/>
      <c r="P9" s="2656"/>
    </row>
    <row r="10" spans="1:16" ht="14.4">
      <c r="A10" s="1644"/>
      <c r="B10" s="1645"/>
      <c r="C10" s="45" t="s">
        <v>1128</v>
      </c>
      <c r="D10" s="45" t="e">
        <f t="shared" si="0"/>
        <v>#DIV/0!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4"/>
      <c r="B11" s="1645"/>
      <c r="C11" s="45" t="s">
        <v>1120</v>
      </c>
      <c r="D11" s="45" t="e">
        <f t="shared" si="0"/>
        <v>#DIV/0!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t="e">
        <f t="shared" si="0"/>
        <v>#DIV/0!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t="e">
        <f t="shared" si="0"/>
        <v>#DIV/0!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t="e">
        <f t="shared" si="0"/>
        <v>#DIV/0!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t="e">
        <f t="shared" si="0"/>
        <v>#DIV/0!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t="e">
        <f>SUM(D8:D15)</f>
        <v>#DIV/0!</v>
      </c>
      <c r="E16" s="50">
        <f>SUM(E8:E15)</f>
        <v>0</v>
      </c>
      <c r="F16" s="2656"/>
      <c r="G16" s="2657"/>
      <c r="H16" s="1646" t="s">
        <v>1135</v>
      </c>
      <c r="I16" s="1647"/>
      <c r="J16" s="1137"/>
      <c r="K16" s="3587" t="s">
        <v>1135</v>
      </c>
      <c r="L16" s="3588"/>
      <c r="M16" s="3588"/>
      <c r="N16" s="3588"/>
      <c r="O16" s="3588"/>
      <c r="P16" s="3589"/>
    </row>
    <row r="17" spans="1:19" ht="14.4">
      <c r="A17" s="1648" t="s">
        <v>1136</v>
      </c>
      <c r="B17" s="1649" t="s">
        <v>1137</v>
      </c>
      <c r="C17" s="1650" t="s">
        <v>1138</v>
      </c>
      <c r="D17" s="1651" t="s">
        <v>1126</v>
      </c>
      <c r="E17" s="1652" t="s">
        <v>1127</v>
      </c>
      <c r="F17" s="1653"/>
      <c r="G17" s="1654"/>
      <c r="H17" s="1655" t="s">
        <v>1139</v>
      </c>
      <c r="I17" s="1656" t="s">
        <v>1124</v>
      </c>
      <c r="J17" s="1137"/>
      <c r="K17" s="3584" t="s">
        <v>1140</v>
      </c>
      <c r="L17" s="3585"/>
      <c r="M17" s="3586"/>
      <c r="N17" s="3584" t="s">
        <v>1141</v>
      </c>
      <c r="O17" s="3585"/>
      <c r="P17" s="3586"/>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408" t="s">
        <v>3426</v>
      </c>
      <c r="D19" s="45" t="e">
        <f>ROUND($D$3*E19/$E$3,2)</f>
        <v>#DIV/0!</v>
      </c>
      <c r="E19" s="53">
        <f t="shared" ref="E19:E26" si="1">SUM(F19:G19)</f>
        <v>10.32</v>
      </c>
      <c r="F19" s="2792"/>
      <c r="G19" s="2793">
        <v>10.32</v>
      </c>
      <c r="H19" s="669" t="e">
        <f>ROUND($D$3*I19/$E$3,2)</f>
        <v>#DIV/0!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t="e">
        <f t="shared" ref="R19:S26" si="5">D19+H19</f>
        <v>#DIV/0!</v>
      </c>
      <c r="S19" s="1025">
        <f t="shared" si="5"/>
        <v>10.32</v>
      </c>
    </row>
    <row r="20" spans="1:19" ht="14.4">
      <c r="A20" s="1668"/>
      <c r="B20" s="47" t="s">
        <v>1153</v>
      </c>
      <c r="C20" s="3408"/>
      <c r="D20" s="45" t="e">
        <f t="shared" ref="D20:D26" si="6">ROUND($D$3*E20/$E$3,2)</f>
        <v>#DIV/0!</v>
      </c>
      <c r="E20" s="53">
        <f t="shared" si="1"/>
        <v>0</v>
      </c>
      <c r="F20" s="2792"/>
      <c r="G20" s="2793"/>
      <c r="H20" s="669" t="e">
        <f t="shared" ref="H20:H26" si="7">ROUND($D$3*I20/$E$3,2)</f>
        <v>#DIV/0!</v>
      </c>
      <c r="I20" s="48">
        <f t="shared" si="2"/>
        <v>0</v>
      </c>
      <c r="J20" s="1137"/>
      <c r="K20" s="1136">
        <f t="shared" si="3"/>
        <v>0</v>
      </c>
      <c r="L20" s="1024">
        <f t="shared" si="4"/>
        <v>0</v>
      </c>
      <c r="M20" s="1148">
        <f t="shared" ref="M20:M26" si="8">K20+L20</f>
        <v>0</v>
      </c>
      <c r="N20" s="1666"/>
      <c r="O20" s="1667"/>
      <c r="P20" s="1148">
        <f t="shared" ref="P20:P26" si="9">N20+O20</f>
        <v>0</v>
      </c>
      <c r="R20" s="1024" t="e">
        <f t="shared" si="5"/>
        <v>#DIV/0!</v>
      </c>
      <c r="S20" s="1025">
        <f t="shared" si="5"/>
        <v>0</v>
      </c>
    </row>
    <row r="21" spans="1:19" ht="14.4">
      <c r="A21" s="1668"/>
      <c r="B21" s="47" t="s">
        <v>1153</v>
      </c>
      <c r="C21" s="3408"/>
      <c r="D21" s="45" t="e">
        <f t="shared" si="6"/>
        <v>#DIV/0!</v>
      </c>
      <c r="E21" s="53">
        <f t="shared" si="1"/>
        <v>0</v>
      </c>
      <c r="F21" s="2792"/>
      <c r="G21" s="2793"/>
      <c r="H21" s="669" t="e">
        <f t="shared" si="7"/>
        <v>#DIV/0!</v>
      </c>
      <c r="I21" s="48">
        <f t="shared" si="2"/>
        <v>0</v>
      </c>
      <c r="J21" s="1137"/>
      <c r="K21" s="1136">
        <f t="shared" si="3"/>
        <v>0</v>
      </c>
      <c r="L21" s="1024">
        <f t="shared" si="4"/>
        <v>0</v>
      </c>
      <c r="M21" s="1148">
        <f t="shared" si="8"/>
        <v>0</v>
      </c>
      <c r="N21" s="1666"/>
      <c r="O21" s="1667"/>
      <c r="P21" s="1148">
        <f t="shared" si="9"/>
        <v>0</v>
      </c>
      <c r="R21" s="1024" t="e">
        <f t="shared" si="5"/>
        <v>#DIV/0!</v>
      </c>
      <c r="S21" s="1025">
        <f t="shared" si="5"/>
        <v>0</v>
      </c>
    </row>
    <row r="22" spans="1:19" ht="14.4">
      <c r="A22" s="1668"/>
      <c r="B22" s="47" t="s">
        <v>1153</v>
      </c>
      <c r="C22" s="3409"/>
      <c r="D22" s="45" t="e">
        <f t="shared" si="6"/>
        <v>#DIV/0!</v>
      </c>
      <c r="E22" s="53">
        <f t="shared" si="1"/>
        <v>0</v>
      </c>
      <c r="F22" s="2794"/>
      <c r="G22" s="2795"/>
      <c r="H22" s="669" t="e">
        <f t="shared" si="7"/>
        <v>#DIV/0!</v>
      </c>
      <c r="I22" s="48">
        <f t="shared" si="2"/>
        <v>0</v>
      </c>
      <c r="J22" s="1137"/>
      <c r="K22" s="1136">
        <f t="shared" si="3"/>
        <v>0</v>
      </c>
      <c r="L22" s="1024">
        <f t="shared" si="4"/>
        <v>0</v>
      </c>
      <c r="M22" s="1148">
        <f t="shared" si="8"/>
        <v>0</v>
      </c>
      <c r="N22" s="1666"/>
      <c r="O22" s="1667"/>
      <c r="P22" s="1148">
        <f t="shared" si="9"/>
        <v>0</v>
      </c>
      <c r="R22" s="1024" t="e">
        <f t="shared" si="5"/>
        <v>#DIV/0!</v>
      </c>
      <c r="S22" s="1025">
        <f t="shared" si="5"/>
        <v>0</v>
      </c>
    </row>
    <row r="23" spans="1:19" ht="14.4">
      <c r="A23" s="1668"/>
      <c r="B23" s="47" t="s">
        <v>1153</v>
      </c>
      <c r="C23" s="3409"/>
      <c r="D23" s="45" t="e">
        <f>ROUND($D$3*E23/$E$3,2)</f>
        <v>#DIV/0!</v>
      </c>
      <c r="E23" s="53">
        <f>SUM(F23:G23)</f>
        <v>0</v>
      </c>
      <c r="F23" s="2794"/>
      <c r="G23" s="2795"/>
      <c r="H23" s="669" t="e">
        <f>ROUND($D$3*I23/$E$3,2)</f>
        <v>#DIV/0!</v>
      </c>
      <c r="I23" s="48">
        <f t="shared" si="2"/>
        <v>0</v>
      </c>
      <c r="J23" s="1137"/>
      <c r="K23" s="1136">
        <f t="shared" si="3"/>
        <v>0</v>
      </c>
      <c r="L23" s="1024">
        <f t="shared" si="4"/>
        <v>0</v>
      </c>
      <c r="M23" s="1148">
        <f t="shared" si="8"/>
        <v>0</v>
      </c>
      <c r="N23" s="1666"/>
      <c r="O23" s="1667"/>
      <c r="P23" s="1148">
        <f t="shared" si="9"/>
        <v>0</v>
      </c>
      <c r="R23" s="1024" t="e">
        <f t="shared" si="5"/>
        <v>#DIV/0!</v>
      </c>
      <c r="S23" s="1025">
        <f t="shared" si="5"/>
        <v>0</v>
      </c>
    </row>
    <row r="24" spans="1:19" ht="14.4">
      <c r="A24" s="1668"/>
      <c r="B24" s="47" t="s">
        <v>1153</v>
      </c>
      <c r="C24" s="3409"/>
      <c r="D24" s="45" t="e">
        <f>ROUND($D$3*E24/$E$3,2)</f>
        <v>#DIV/0!</v>
      </c>
      <c r="E24" s="53">
        <f>SUM(F24:G24)</f>
        <v>0</v>
      </c>
      <c r="F24" s="2794"/>
      <c r="G24" s="2795"/>
      <c r="H24" s="669" t="e">
        <f>ROUND($D$3*I24/$E$3,2)</f>
        <v>#DIV/0!</v>
      </c>
      <c r="I24" s="48">
        <f t="shared" si="2"/>
        <v>0</v>
      </c>
      <c r="J24" s="1137"/>
      <c r="K24" s="1136">
        <f t="shared" si="3"/>
        <v>0</v>
      </c>
      <c r="L24" s="1024">
        <f t="shared" si="4"/>
        <v>0</v>
      </c>
      <c r="M24" s="1148">
        <f t="shared" si="8"/>
        <v>0</v>
      </c>
      <c r="N24" s="1666"/>
      <c r="O24" s="1667"/>
      <c r="P24" s="1148">
        <f t="shared" si="9"/>
        <v>0</v>
      </c>
      <c r="R24" s="1024" t="e">
        <f t="shared" si="5"/>
        <v>#DIV/0!</v>
      </c>
      <c r="S24" s="1025">
        <f t="shared" si="5"/>
        <v>0</v>
      </c>
    </row>
    <row r="25" spans="1:19" ht="14.4">
      <c r="A25" s="1668"/>
      <c r="B25" s="47" t="s">
        <v>1153</v>
      </c>
      <c r="C25" s="3409"/>
      <c r="D25" s="45" t="e">
        <f t="shared" si="6"/>
        <v>#DIV/0!</v>
      </c>
      <c r="E25" s="53">
        <f t="shared" si="1"/>
        <v>0</v>
      </c>
      <c r="F25" s="2794"/>
      <c r="G25" s="2795"/>
      <c r="H25" s="44" t="e">
        <f t="shared" si="7"/>
        <v>#DIV/0!</v>
      </c>
      <c r="I25" s="48">
        <f t="shared" si="2"/>
        <v>0</v>
      </c>
      <c r="J25" s="1137"/>
      <c r="K25" s="1136">
        <f t="shared" si="3"/>
        <v>0</v>
      </c>
      <c r="L25" s="1024">
        <f t="shared" si="4"/>
        <v>0</v>
      </c>
      <c r="M25" s="1148">
        <f t="shared" si="8"/>
        <v>0</v>
      </c>
      <c r="N25" s="1666"/>
      <c r="O25" s="1667"/>
      <c r="P25" s="1148">
        <f t="shared" si="9"/>
        <v>0</v>
      </c>
      <c r="R25" s="1024" t="e">
        <f t="shared" si="5"/>
        <v>#DIV/0!</v>
      </c>
      <c r="S25" s="1025">
        <f t="shared" si="5"/>
        <v>0</v>
      </c>
    </row>
    <row r="26" spans="1:19" ht="14.4">
      <c r="A26" s="1668"/>
      <c r="B26" s="47" t="s">
        <v>1153</v>
      </c>
      <c r="C26" s="55"/>
      <c r="D26" s="45" t="e">
        <f t="shared" si="6"/>
        <v>#DIV/0!</v>
      </c>
      <c r="E26" s="53">
        <f t="shared" si="1"/>
        <v>0</v>
      </c>
      <c r="F26" s="2794"/>
      <c r="G26" s="2795"/>
      <c r="H26" s="44" t="e">
        <f t="shared" si="7"/>
        <v>#DIV/0!</v>
      </c>
      <c r="I26" s="48">
        <f t="shared" si="2"/>
        <v>0</v>
      </c>
      <c r="J26" s="1137"/>
      <c r="K26" s="1143">
        <f t="shared" si="3"/>
        <v>0</v>
      </c>
      <c r="L26" s="1144">
        <f t="shared" si="4"/>
        <v>0</v>
      </c>
      <c r="M26" s="59">
        <f t="shared" si="8"/>
        <v>0</v>
      </c>
      <c r="N26" s="1669"/>
      <c r="O26" s="1670"/>
      <c r="P26" s="59">
        <f t="shared" si="9"/>
        <v>0</v>
      </c>
      <c r="R26" s="1024" t="e">
        <f t="shared" si="5"/>
        <v>#DIV/0!</v>
      </c>
      <c r="S26" s="1025">
        <f t="shared" si="5"/>
        <v>0</v>
      </c>
    </row>
    <row r="27" spans="1:19" ht="15" thickBot="1">
      <c r="A27" s="1668"/>
      <c r="B27" s="45"/>
      <c r="C27" s="1671" t="s">
        <v>1154</v>
      </c>
      <c r="D27" s="1138" t="e">
        <f>SUM(D19:D26)</f>
        <v>#DIV/0!</v>
      </c>
      <c r="E27" s="1139">
        <f>IF(SUM(E19:E26)='数据-基础表'!BA5,SUM(E19:E26),IF(F27="地上面积有误","面积有误","地下面积有误"))</f>
        <v>10.32</v>
      </c>
      <c r="F27" s="1138">
        <f>IF(SUM(F19:F26)=E8,SUM(F19:F26),"地上面积有误")</f>
        <v>0</v>
      </c>
      <c r="G27" s="1140">
        <f>SUM(G19:G26)</f>
        <v>10.32</v>
      </c>
      <c r="H27" s="1141" t="e">
        <f>SUM(H19:H26)</f>
        <v>#DIV/0!</v>
      </c>
      <c r="I27" s="1142">
        <f>SUM(I19:I26)</f>
        <v>0</v>
      </c>
      <c r="J27" s="1137"/>
      <c r="K27" s="1145">
        <f>SUM(K19:K26)</f>
        <v>0</v>
      </c>
      <c r="L27" s="1146">
        <f>SUM(L19:L26)</f>
        <v>0</v>
      </c>
      <c r="M27" s="1149">
        <f>SUM(M19:M26)</f>
        <v>0</v>
      </c>
      <c r="N27" s="1145">
        <f t="shared" ref="N27:O27" si="10">SUM(N19:N26)</f>
        <v>0</v>
      </c>
      <c r="O27" s="1146">
        <f t="shared" si="10"/>
        <v>0</v>
      </c>
      <c r="P27" s="1147">
        <f>SUM(P19:P26)</f>
        <v>0</v>
      </c>
      <c r="R27" s="1026" t="e">
        <f>IF(SUM(R19:R26)=$D$3,SUM(R19:R26),SUM(R19:R26)&amp;"误差"&amp;ROUND(SUM(R19:R26)-$D$3,2))</f>
        <v>#DIV/0!</v>
      </c>
      <c r="S27" s="1024">
        <f>IF(SUM(S19:S26)=$E$3,SUM(S19:S26),SUM(S19:S26)&amp;"误差"&amp;ROUND(SUM(S19:S26)-E3,2))</f>
        <v>10.32</v>
      </c>
    </row>
    <row r="28" spans="1:19" ht="14.4">
      <c r="A28" s="1668"/>
      <c r="B28" s="47" t="s">
        <v>1155</v>
      </c>
      <c r="C28" s="1036" t="s">
        <v>1156</v>
      </c>
      <c r="D28" s="45" t="e">
        <f>ROUND($D$3*E28/$E$3,2)</f>
        <v>#DIV/0!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t="e">
        <f>ROUND($D$3*E29/$E$3,2)</f>
        <v>#DIV/0!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8" t="e">
        <f>SUM(D28:D29)</f>
        <v>#DIV/0!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3" t="s">
        <v>1158</v>
      </c>
      <c r="D31" s="675" t="e">
        <f>D27+D30</f>
        <v>#DIV/0!</v>
      </c>
      <c r="E31" s="675">
        <f>E27+E30</f>
        <v>10.32</v>
      </c>
      <c r="F31" s="676">
        <f>F27+F30</f>
        <v>0</v>
      </c>
      <c r="G31" s="677">
        <f>G27+G30</f>
        <v>10.32</v>
      </c>
      <c r="H31" s="2656"/>
      <c r="I31" s="2656"/>
      <c r="J31" s="2656"/>
      <c r="K31" s="2656"/>
      <c r="L31" s="2656"/>
      <c r="M31" s="2656"/>
      <c r="N31" s="2656"/>
      <c r="O31" s="2656"/>
      <c r="P31" s="2656"/>
    </row>
    <row r="32" spans="1:19" ht="14.4">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B13" sqref="B13"/>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3">
        <f>项目基本情况!D3</f>
        <v>45882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3430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仓储</v>
      </c>
      <c r="B6" s="1711" t="str">
        <f>IF(A6=0,"","经营性")</f>
        <v>经营性</v>
      </c>
      <c r="C6" s="1712" t="s">
        <v>3402</v>
      </c>
      <c r="D6" s="856">
        <f>SUMIF(项目基本情况!C$12:I$12,C6,项目基本情况!C$14:I$14)</f>
        <v>70</v>
      </c>
      <c r="E6" s="855">
        <f>IF(B6="","",SUMIF(项目基本情况!C$12:I$12,C6,项目基本情况!C$13:I$13))</f>
        <v>68749</v>
      </c>
      <c r="F6" s="64">
        <f>SUMIF(项目基本情况!C$12:I$12,C6,项目基本情况!C$15:I$15)</f>
        <v>62.64</v>
      </c>
      <c r="G6" s="65">
        <f>IF(ISERROR(ROUND(POWER(1+H6,D6-F6)*(POWER(1+H6,F6)-1)/(POWER(1+H6,D6)-1),3)),0,ROUND(POWER(1+H6,D6-F6)*(POWER(1+H6,F6)-1)/(POWER(1+H6,D6)-1),3))</f>
        <v>0</v>
      </c>
      <c r="H6" s="731"/>
      <c r="I6" s="731">
        <v>0.05</v>
      </c>
      <c r="J6" s="66"/>
      <c r="K6" s="1028">
        <f>SUMIF('数据-汇总表'!C$19:C$33,A6,'数据-汇总表'!E$19:E$33)</f>
        <v>10.32</v>
      </c>
      <c r="L6" s="732">
        <v>3300</v>
      </c>
      <c r="M6" s="67">
        <f t="shared" ref="M6:M14" si="0">ROUND(K6*L6/10000,0)</f>
        <v>3</v>
      </c>
      <c r="N6" s="730">
        <v>0.9</v>
      </c>
      <c r="O6" s="67" t="str">
        <f>IF($N$5="成新度","——",ROUND(M6*N6,0))</f>
        <v>——</v>
      </c>
      <c r="P6" s="68" t="str">
        <f>IF($N$5="成新度","——",M6-O6)</f>
        <v>——</v>
      </c>
      <c r="Q6" s="733">
        <v>0.08</v>
      </c>
      <c r="R6" s="69" t="e">
        <f ca="1">SUMIF('数据-汇总表'!C$19:C$33,A6,'数据-汇总表'!R$19:R$27)</f>
        <v>#DIV/0!</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6"/>
      <c r="AG6" s="138">
        <f>IF(AF6="",0,AE6-AF6)</f>
        <v>0</v>
      </c>
      <c r="AH6" s="74"/>
      <c r="AI6" s="76"/>
      <c r="AJ6" s="77"/>
      <c r="AK6" s="78">
        <v>2E-3</v>
      </c>
      <c r="AL6" s="79">
        <v>1E-3</v>
      </c>
      <c r="AM6" s="80">
        <v>0.01</v>
      </c>
      <c r="AN6" s="1713"/>
      <c r="AO6" s="52" t="e">
        <f ca="1">SUMIF(INDIRECT("'"&amp;AN6&amp;"'"&amp;"!A:A"),"总价",INDIRECT("'"&amp;AN6&amp;"'"&amp;"!B:B"))</f>
        <v>#REF!</v>
      </c>
      <c r="AP6" s="1714">
        <f>IF(C6="住宅",K6*L6,0)</f>
        <v>34056</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t="s">
        <v>3330</v>
      </c>
      <c r="D7" s="856">
        <f>SUMIF(项目基本情况!C$12:I$12,C7,项目基本情况!C$14:I$14)</f>
        <v>50</v>
      </c>
      <c r="E7" s="855" t="str">
        <f>IF(B7="","",SUMIF(项目基本情况!C$12:I$12,C7,项目基本情况!C$13:I$13))</f>
        <v/>
      </c>
      <c r="F7" s="64">
        <f>SUMIF(项目基本情况!C$12:I$12,C7,项目基本情况!C$15:I$15)</f>
        <v>42.63</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0"/>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t="e">
        <f>ROUND(SUMPRODUCT(G6:G13,K6:K13)/SUMPRODUCT((G6:G13&gt;0)*(K6:K13)),3)</f>
        <v>#DIV/0!</v>
      </c>
      <c r="H16" s="90" t="e">
        <f>ROUND(SUMPRODUCT(H6:H13,K6:K13)/SUMPRODUCT((H6:H13&gt;0)*(K6:K13)),3)</f>
        <v>#DIV/0!</v>
      </c>
      <c r="I16" s="91"/>
      <c r="J16" s="91"/>
      <c r="K16" s="92">
        <f>SUM(K6:K15)</f>
        <v>10.32</v>
      </c>
      <c r="L16" s="93">
        <f>ROUND(M16*10000/SUM(K6:K14),0)</f>
        <v>2907</v>
      </c>
      <c r="M16" s="93">
        <f>SUM(M6:M14)</f>
        <v>3</v>
      </c>
      <c r="N16" s="94">
        <f>ROUND(SUMPRODUCT(M6:M14,N6:N14)/M16,3)</f>
        <v>0.9</v>
      </c>
      <c r="O16" s="93">
        <f>SUM(O6:O14)</f>
        <v>0</v>
      </c>
      <c r="P16" s="93">
        <f>SUM(P6:P14)</f>
        <v>0</v>
      </c>
      <c r="Q16" s="95">
        <f>ROUND(SUMPRODUCT(Q6:Q13,K6:K13)/SUMPRODUCT((Q6:Q13&gt;0)*(K6:K13)),2)</f>
        <v>0.08</v>
      </c>
      <c r="R16" s="1032" t="e">
        <f ca="1">SUM(R6:R13)</f>
        <v>#DIV/0!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c r="C19" s="2796" t="s">
        <v>2299</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1212</v>
      </c>
      <c r="B20" s="104">
        <v>2</v>
      </c>
      <c r="C20" s="2797" t="s">
        <v>2297</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2"/>
      <c r="C29" s="2799" t="s">
        <v>2291</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2">
        <v>0.05</v>
      </c>
      <c r="C33" s="2800" t="s">
        <v>3379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3">
        <v>0.05</v>
      </c>
      <c r="C34" s="2800" t="s">
        <v>2292</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110">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5">
        <v>0.02</v>
      </c>
      <c r="C37" s="2800" t="s">
        <v>3380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3">
        <v>0.03</v>
      </c>
      <c r="C38" s="2800" t="s">
        <v>3381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2307</v>
      </c>
      <c r="B40" s="1076">
        <f ca="1">IF(A40="利息：取LPR",存贷款利率!G1,存贷款利率!G1+C40)</f>
        <v>0.03</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9">
        <v>7.0000000000000007E-2</v>
      </c>
      <c r="C44" s="2800" t="s">
        <v>3382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2302</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7"/>
      <c r="L69" s="727"/>
    </row>
    <row r="70" spans="1:44" s="791" customFormat="1">
      <c r="A70" s="1739"/>
      <c r="D70" s="1740"/>
      <c r="K70" s="727"/>
      <c r="L70" s="727"/>
    </row>
    <row r="71" spans="1:44" s="791" customFormat="1">
      <c r="A71" s="1739"/>
      <c r="D71" s="1740"/>
      <c r="K71" s="727"/>
      <c r="L71" s="727"/>
    </row>
    <row r="72" spans="1:44" s="791" customFormat="1">
      <c r="A72" s="1739"/>
      <c r="D72" s="1740"/>
      <c r="K72" s="727"/>
      <c r="L72" s="727"/>
    </row>
    <row r="73" spans="1:44" s="791" customFormat="1">
      <c r="A73" s="1739"/>
      <c r="D73" s="1740"/>
      <c r="K73" s="727"/>
      <c r="L73" s="727"/>
    </row>
    <row r="74" spans="1:44" s="791" customFormat="1">
      <c r="A74" s="1739"/>
      <c r="D74" s="1740"/>
      <c r="K74" s="727"/>
      <c r="L74" s="727"/>
    </row>
    <row r="75" spans="1:44" s="791" customFormat="1">
      <c r="A75" s="1739"/>
      <c r="D75" s="1740"/>
      <c r="K75" s="727"/>
      <c r="L75" s="727"/>
    </row>
    <row r="76" spans="1:44" s="791" customFormat="1">
      <c r="A76" s="1739"/>
      <c r="D76" s="1740"/>
      <c r="K76" s="727"/>
      <c r="L76" s="727"/>
    </row>
    <row r="77" spans="1:44" s="791" customFormat="1">
      <c r="A77" s="1739"/>
      <c r="D77" s="1740"/>
      <c r="K77" s="727"/>
      <c r="L77" s="727"/>
    </row>
    <row r="78" spans="1:44" s="791" customFormat="1">
      <c r="A78" s="1739"/>
      <c r="D78" s="1740"/>
      <c r="K78" s="727"/>
      <c r="L78" s="727"/>
    </row>
    <row r="79" spans="1:44" s="791" customFormat="1">
      <c r="A79" s="1739"/>
      <c r="D79" s="1740"/>
      <c r="K79" s="727"/>
      <c r="L79" s="727"/>
    </row>
    <row r="80" spans="1:44" s="791" customFormat="1">
      <c r="A80" s="1739"/>
      <c r="D80" s="1740"/>
      <c r="K80" s="727"/>
      <c r="L80" s="727"/>
    </row>
    <row r="81" spans="1:12" s="791" customFormat="1">
      <c r="A81" s="1739"/>
      <c r="D81" s="1740"/>
      <c r="K81" s="727"/>
      <c r="L81" s="727"/>
    </row>
    <row r="82" spans="1:12" s="791" customFormat="1">
      <c r="A82" s="1739"/>
      <c r="D82" s="1740"/>
      <c r="K82" s="727"/>
      <c r="L82" s="727"/>
    </row>
    <row r="83" spans="1:12" s="791" customFormat="1">
      <c r="A83" s="1739"/>
      <c r="D83" s="1740"/>
      <c r="K83" s="727"/>
      <c r="L83" s="727"/>
    </row>
    <row r="84" spans="1:12" s="791" customFormat="1">
      <c r="A84" s="1739"/>
      <c r="D84" s="1740"/>
      <c r="K84" s="727"/>
      <c r="L84" s="727"/>
    </row>
    <row r="85" spans="1:12" s="791" customFormat="1">
      <c r="A85" s="1739"/>
      <c r="D85" s="1740"/>
      <c r="K85" s="727"/>
      <c r="L85" s="727"/>
    </row>
    <row r="86" spans="1:12" s="791" customFormat="1">
      <c r="A86" s="1739"/>
      <c r="D86" s="1740"/>
      <c r="K86" s="727"/>
      <c r="L86" s="727"/>
    </row>
    <row r="87" spans="1:12" s="791" customFormat="1">
      <c r="A87" s="1739"/>
      <c r="D87" s="1740"/>
      <c r="K87" s="727"/>
      <c r="L87" s="727"/>
    </row>
    <row r="88" spans="1:12" s="791" customFormat="1">
      <c r="A88" s="1739"/>
      <c r="D88" s="1740"/>
      <c r="K88" s="727"/>
      <c r="L88" s="727"/>
    </row>
    <row r="89" spans="1:12" s="791" customFormat="1">
      <c r="A89" s="1739"/>
      <c r="D89" s="1740"/>
      <c r="K89" s="727"/>
      <c r="L89" s="727"/>
    </row>
    <row r="90" spans="1:12" s="791" customFormat="1">
      <c r="A90" s="1739"/>
      <c r="D90" s="1740"/>
      <c r="K90" s="727"/>
      <c r="L90" s="727"/>
    </row>
    <row r="91" spans="1:12" s="791" customFormat="1">
      <c r="A91" s="1739"/>
      <c r="D91" s="1740"/>
      <c r="K91" s="727"/>
      <c r="L91" s="727"/>
    </row>
    <row r="92" spans="1:12" s="791" customFormat="1">
      <c r="A92" s="1739"/>
      <c r="D92" s="1740"/>
      <c r="K92" s="727"/>
      <c r="L92" s="727"/>
    </row>
    <row r="93" spans="1:12" s="791" customFormat="1">
      <c r="A93" s="1739"/>
      <c r="D93" s="1740"/>
      <c r="K93" s="727"/>
      <c r="L93" s="727"/>
    </row>
    <row r="94" spans="1:12" s="791" customFormat="1">
      <c r="A94" s="1739"/>
      <c r="D94" s="1740"/>
      <c r="K94" s="727"/>
      <c r="L94" s="727"/>
    </row>
    <row r="95" spans="1:12" s="791" customFormat="1">
      <c r="A95" s="1739"/>
      <c r="D95" s="1740"/>
      <c r="K95" s="727"/>
      <c r="L95" s="727"/>
    </row>
    <row r="96" spans="1:12" s="791" customFormat="1">
      <c r="A96" s="1739"/>
      <c r="D96" s="1740"/>
      <c r="K96" s="727"/>
      <c r="L96" s="727"/>
    </row>
    <row r="97" spans="1:12" s="791" customFormat="1">
      <c r="A97" s="1739"/>
      <c r="D97" s="1740"/>
      <c r="K97" s="727"/>
      <c r="L97" s="727"/>
    </row>
    <row r="98" spans="1:12" s="791" customFormat="1">
      <c r="A98" s="1739"/>
      <c r="D98" s="1740"/>
      <c r="K98" s="727"/>
      <c r="L98" s="727"/>
    </row>
    <row r="99" spans="1:12" s="791" customFormat="1">
      <c r="A99" s="1739"/>
      <c r="D99" s="1740"/>
      <c r="K99" s="727"/>
      <c r="L99" s="727"/>
    </row>
    <row r="100" spans="1:12" s="791" customFormat="1">
      <c r="A100" s="1739"/>
      <c r="D100" s="1740"/>
      <c r="K100" s="727"/>
      <c r="L100" s="727"/>
    </row>
    <row r="101" spans="1:12" s="791" customFormat="1">
      <c r="A101" s="1739"/>
      <c r="D101" s="1740"/>
      <c r="K101" s="727"/>
      <c r="L101" s="727"/>
    </row>
    <row r="102" spans="1:12" s="791" customFormat="1">
      <c r="A102" s="1739"/>
      <c r="D102" s="1740"/>
      <c r="K102" s="727"/>
      <c r="L102" s="727"/>
    </row>
    <row r="103" spans="1:12" s="791" customFormat="1">
      <c r="A103" s="1739"/>
      <c r="D103" s="1740"/>
      <c r="K103" s="727"/>
      <c r="L103" s="727"/>
    </row>
    <row r="104" spans="1:12" s="791" customFormat="1">
      <c r="A104" s="1739"/>
      <c r="D104" s="1740"/>
      <c r="K104" s="727"/>
      <c r="L104" s="727"/>
    </row>
    <row r="105" spans="1:12" s="791" customFormat="1">
      <c r="A105" s="1739"/>
      <c r="D105" s="1740"/>
      <c r="K105" s="727"/>
      <c r="L105" s="727"/>
    </row>
    <row r="106" spans="1:12" s="791" customFormat="1">
      <c r="A106" s="1739"/>
      <c r="D106" s="1740"/>
      <c r="K106" s="727"/>
      <c r="L106" s="727"/>
    </row>
    <row r="107" spans="1:12" s="791" customFormat="1">
      <c r="A107" s="1739"/>
      <c r="D107" s="1740"/>
      <c r="K107" s="727"/>
      <c r="L107" s="727"/>
    </row>
    <row r="108" spans="1:12" s="791" customFormat="1">
      <c r="A108" s="1739"/>
      <c r="D108" s="1740"/>
      <c r="K108" s="727"/>
      <c r="L108" s="727"/>
    </row>
    <row r="109" spans="1:12" s="791" customFormat="1">
      <c r="A109" s="1739"/>
      <c r="D109" s="1740"/>
      <c r="K109" s="727"/>
      <c r="L109" s="727"/>
    </row>
    <row r="110" spans="1:12" s="791" customFormat="1">
      <c r="A110" s="1739"/>
      <c r="D110" s="1740"/>
      <c r="K110" s="727"/>
      <c r="L110" s="727"/>
    </row>
    <row r="111" spans="1:12" s="791" customFormat="1">
      <c r="A111" s="1739"/>
      <c r="D111" s="1740"/>
      <c r="K111" s="727"/>
      <c r="L111" s="727"/>
    </row>
    <row r="112" spans="1:12" s="791" customFormat="1">
      <c r="A112" s="1739"/>
      <c r="D112" s="1740"/>
      <c r="K112" s="727"/>
      <c r="L112" s="727"/>
    </row>
    <row r="113" spans="1:12" s="791" customFormat="1">
      <c r="A113" s="1739"/>
      <c r="D113" s="1740"/>
      <c r="K113" s="727"/>
      <c r="L113" s="727"/>
    </row>
    <row r="114" spans="1:12" s="791" customFormat="1">
      <c r="A114" s="1739"/>
      <c r="D114" s="1740"/>
      <c r="K114" s="727"/>
      <c r="L114" s="727"/>
    </row>
    <row r="115" spans="1:12" s="791" customFormat="1">
      <c r="A115" s="1739"/>
      <c r="D115" s="1740"/>
      <c r="K115" s="727"/>
      <c r="L115" s="727"/>
    </row>
    <row r="116" spans="1:12" s="791" customFormat="1">
      <c r="A116" s="1739"/>
      <c r="D116" s="1740"/>
      <c r="K116" s="727"/>
      <c r="L116" s="727"/>
    </row>
    <row r="117" spans="1:12" s="791" customFormat="1">
      <c r="A117" s="1739"/>
      <c r="D117" s="1740"/>
      <c r="K117" s="727"/>
      <c r="L117" s="727"/>
    </row>
    <row r="118" spans="1:12" s="791" customFormat="1">
      <c r="A118" s="1739"/>
      <c r="D118" s="1740"/>
      <c r="K118" s="727"/>
      <c r="L118" s="727"/>
    </row>
    <row r="119" spans="1:12" s="791" customFormat="1">
      <c r="A119" s="1739"/>
      <c r="D119" s="1740"/>
      <c r="K119" s="727"/>
      <c r="L119" s="727"/>
    </row>
    <row r="120" spans="1:12" s="791" customFormat="1">
      <c r="A120" s="1739"/>
      <c r="D120" s="1740"/>
      <c r="K120" s="727"/>
      <c r="L120" s="727"/>
    </row>
    <row r="121" spans="1:12" s="791" customFormat="1">
      <c r="A121" s="1739"/>
      <c r="D121" s="1740"/>
      <c r="K121" s="727"/>
      <c r="L121" s="727"/>
    </row>
    <row r="122" spans="1:12" s="791" customFormat="1">
      <c r="A122" s="1739"/>
      <c r="D122" s="1740"/>
      <c r="K122" s="727"/>
      <c r="L122" s="727"/>
    </row>
    <row r="123" spans="1:12" s="791" customFormat="1">
      <c r="A123" s="1739"/>
      <c r="D123" s="1740"/>
      <c r="K123" s="727"/>
      <c r="L123" s="727"/>
    </row>
    <row r="124" spans="1:12" s="791" customFormat="1">
      <c r="A124" s="1739"/>
      <c r="D124" s="1740"/>
      <c r="K124" s="727"/>
      <c r="L124" s="727"/>
    </row>
    <row r="125" spans="1:12" s="791" customFormat="1">
      <c r="A125" s="1739"/>
      <c r="D125" s="1740"/>
      <c r="K125" s="727"/>
      <c r="L125" s="727"/>
    </row>
    <row r="126" spans="1:12" s="791" customFormat="1">
      <c r="A126" s="1739"/>
      <c r="D126" s="1740"/>
      <c r="K126" s="727"/>
      <c r="L126" s="727"/>
    </row>
    <row r="127" spans="1:12" s="791" customFormat="1">
      <c r="A127" s="1739"/>
      <c r="D127" s="1740"/>
      <c r="K127" s="727"/>
      <c r="L127" s="727"/>
    </row>
    <row r="128" spans="1:12" s="791" customFormat="1">
      <c r="A128" s="1739"/>
      <c r="D128" s="1740"/>
      <c r="K128" s="727"/>
      <c r="L128" s="727"/>
    </row>
    <row r="129" spans="1:12" s="791" customFormat="1">
      <c r="A129" s="1739"/>
      <c r="D129" s="1740"/>
      <c r="K129" s="727"/>
      <c r="L129" s="727"/>
    </row>
    <row r="130" spans="1:12" s="791" customFormat="1">
      <c r="A130" s="1739"/>
      <c r="D130" s="1740"/>
      <c r="K130" s="727"/>
      <c r="L130" s="727"/>
    </row>
    <row r="131" spans="1:12" s="791" customFormat="1">
      <c r="A131" s="1739"/>
      <c r="D131" s="1740"/>
      <c r="K131" s="727"/>
      <c r="L131" s="727"/>
    </row>
    <row r="132" spans="1:12" s="791" customFormat="1">
      <c r="A132" s="1739"/>
      <c r="D132" s="1740"/>
      <c r="K132" s="727"/>
      <c r="L132" s="727"/>
    </row>
    <row r="133" spans="1:12" s="791"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4"/>
  </cols>
  <sheetData>
    <row r="1" spans="1:29" s="2454" customFormat="1" ht="18" thickBot="1">
      <c r="A1" s="3599" t="s">
        <v>2283</v>
      </c>
      <c r="B1" s="3600"/>
      <c r="C1" s="3600"/>
      <c r="D1" s="3600"/>
      <c r="E1" s="3600"/>
      <c r="F1" s="3600"/>
      <c r="G1" s="360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7.200000000000003">
      <c r="A4" s="2439"/>
      <c r="B4" s="322" t="s">
        <v>2251</v>
      </c>
      <c r="C4" s="2465" t="s">
        <v>2252</v>
      </c>
      <c r="D4" s="2462"/>
      <c r="E4" s="2466"/>
      <c r="F4" s="1371" t="s">
        <v>2253</v>
      </c>
      <c r="G4" s="2467" t="s">
        <v>2254</v>
      </c>
      <c r="H4" s="797"/>
      <c r="I4" s="797"/>
      <c r="J4" s="797"/>
      <c r="K4" s="797"/>
      <c r="L4" s="797"/>
      <c r="M4" s="797"/>
      <c r="N4" s="797"/>
      <c r="O4" s="797"/>
      <c r="P4" s="797"/>
      <c r="Q4" s="797"/>
      <c r="R4" s="797"/>
    </row>
    <row r="5" spans="1:29" ht="37.200000000000003">
      <c r="A5" s="2439"/>
      <c r="B5" s="322" t="s">
        <v>2255</v>
      </c>
      <c r="C5" s="2465" t="s">
        <v>2256</v>
      </c>
      <c r="D5" s="2462"/>
      <c r="E5" s="2466"/>
      <c r="F5" s="322" t="s">
        <v>2257</v>
      </c>
      <c r="G5" s="2467" t="s">
        <v>2258</v>
      </c>
      <c r="H5" s="797"/>
      <c r="I5" s="797"/>
      <c r="J5" s="797"/>
      <c r="K5" s="797"/>
      <c r="L5" s="797"/>
      <c r="M5" s="797"/>
      <c r="N5" s="797"/>
      <c r="O5" s="797"/>
      <c r="P5" s="797"/>
      <c r="Q5" s="797"/>
      <c r="R5" s="797"/>
    </row>
    <row r="6" spans="1:29" ht="48">
      <c r="A6" s="2439"/>
      <c r="B6" s="322" t="s">
        <v>2259</v>
      </c>
      <c r="C6" s="2467" t="s">
        <v>2254</v>
      </c>
      <c r="D6" s="2462"/>
      <c r="E6" s="2466"/>
      <c r="F6" s="322" t="s">
        <v>2260</v>
      </c>
      <c r="G6" s="2467" t="s">
        <v>2261</v>
      </c>
      <c r="H6" s="797"/>
      <c r="I6" s="797"/>
      <c r="J6" s="797"/>
      <c r="K6" s="797"/>
      <c r="L6" s="797"/>
      <c r="M6" s="797"/>
      <c r="N6" s="797"/>
      <c r="O6" s="797"/>
      <c r="P6" s="797"/>
      <c r="Q6" s="797"/>
      <c r="R6" s="797"/>
    </row>
    <row r="7" spans="1:29" ht="36.6"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ht="24">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4.4"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2284</v>
      </c>
      <c r="B13" s="2481"/>
      <c r="C13" s="2481"/>
      <c r="D13" s="2479"/>
      <c r="E13" s="2481"/>
      <c r="F13" s="2481"/>
      <c r="G13" s="2481"/>
    </row>
    <row r="14" spans="1:29" ht="14.4" thickBot="1">
      <c r="A14" s="2491"/>
      <c r="B14" s="2491"/>
      <c r="C14" s="2492" t="s">
        <v>2267</v>
      </c>
      <c r="D14" s="2462"/>
      <c r="E14" s="2493"/>
      <c r="F14" s="2493"/>
      <c r="G14" s="2457" t="s">
        <v>2268</v>
      </c>
    </row>
    <row r="15" spans="1:29" ht="52.8">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9.6">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9.6">
      <c r="A17" s="2443"/>
      <c r="B17" s="2497" t="s">
        <v>2255</v>
      </c>
      <c r="C17" s="2498" t="str">
        <f>C5</f>
        <v>估价对象位于XX商圈，周边办公楼项目较多，入驻率高，办公集聚程度较好</v>
      </c>
      <c r="D17" s="2468"/>
      <c r="E17" s="2444"/>
      <c r="F17" s="2499" t="s">
        <v>2272</v>
      </c>
      <c r="G17" s="2501"/>
    </row>
    <row r="18" spans="1:18" ht="52.8">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6.4">
      <c r="A19" s="2443"/>
      <c r="B19" s="2499" t="s">
        <v>2273</v>
      </c>
      <c r="C19" s="2501"/>
      <c r="D19" s="2462"/>
      <c r="E19" s="2444"/>
      <c r="F19" s="322" t="s">
        <v>2257</v>
      </c>
      <c r="G19" s="2500" t="str">
        <f>G5</f>
        <v>估价对象所在区域公共配套设施齐备情况</v>
      </c>
    </row>
    <row r="20" spans="1:18" ht="26.4">
      <c r="A20" s="2443"/>
      <c r="B20" s="2499" t="s">
        <v>2274</v>
      </c>
      <c r="C20" s="2498" t="str">
        <f>C9</f>
        <v>区域自然环境：；人文环境；综合评价环境状况一般</v>
      </c>
      <c r="D20" s="2468"/>
      <c r="E20" s="2444"/>
      <c r="F20" s="322" t="s">
        <v>2260</v>
      </c>
      <c r="G20" s="2500" t="str">
        <f>G6</f>
        <v>估价对象所在区域基础设施水平</v>
      </c>
    </row>
    <row r="21" spans="1:18" ht="26.4">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4.4"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4.4"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2310.5099999999975</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45882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542.79999999999973</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3352</v>
      </c>
      <c r="D10" s="2509" t="s">
        <v>3353</v>
      </c>
      <c r="E10" s="3432"/>
      <c r="F10" s="3436" t="s">
        <v>3354</v>
      </c>
      <c r="G10" s="3433"/>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典型户型修正!B22</f>
        <v>2310.5099999999975</v>
      </c>
      <c r="C14" s="2515"/>
      <c r="D14" s="2515">
        <f ca="1">典型户型修正!B20</f>
        <v>542.79999999999973</v>
      </c>
      <c r="E14" s="2515">
        <f ca="1">ROUND(D14*10000/B14,0)</f>
        <v>2349</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5" sqref="C5:D16"/>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1262</v>
      </c>
      <c r="B1" s="1745"/>
      <c r="C1" s="1746" t="s">
        <v>3330</v>
      </c>
      <c r="D1" s="1745"/>
      <c r="E1" s="1745"/>
      <c r="F1" s="1747" t="s">
        <v>1263</v>
      </c>
      <c r="G1" s="1559"/>
      <c r="H1" s="1748" t="str">
        <f>IF(G1="现房","——","估价对象范围")</f>
        <v>估价对象范围</v>
      </c>
      <c r="I1" s="1749"/>
    </row>
    <row r="2" spans="1:12" ht="21.75" customHeight="1" thickBot="1">
      <c r="A2" s="3635" t="str">
        <f>项目基本情况!S2</f>
        <v>北京市房地产</v>
      </c>
      <c r="B2" s="3636"/>
      <c r="C2" s="3636"/>
      <c r="D2" s="3636"/>
      <c r="E2" s="3636"/>
      <c r="F2" s="3636"/>
      <c r="G2" s="3636"/>
      <c r="H2" s="3636"/>
      <c r="I2" s="3637"/>
    </row>
    <row r="3" spans="1:12" ht="13.2">
      <c r="A3" s="3639" t="s">
        <v>1264</v>
      </c>
      <c r="B3" s="3640"/>
      <c r="C3" s="3640"/>
      <c r="D3" s="3640"/>
      <c r="E3" s="3640"/>
      <c r="F3" s="3640"/>
      <c r="G3" s="3640"/>
      <c r="H3" s="3640"/>
      <c r="I3" s="3640"/>
    </row>
    <row r="4" spans="1:12" ht="14.4">
      <c r="A4" s="1752" t="s">
        <v>1265</v>
      </c>
      <c r="B4" s="1753" t="s">
        <v>1266</v>
      </c>
      <c r="C4" s="1754" t="s">
        <v>4390</v>
      </c>
      <c r="D4" s="1754" t="s">
        <v>4544</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15" t="s">
        <v>1268</v>
      </c>
      <c r="B5" s="3602">
        <v>25</v>
      </c>
      <c r="C5" s="3618">
        <v>8</v>
      </c>
      <c r="D5" s="3638">
        <v>20</v>
      </c>
      <c r="E5" s="131" t="s">
        <v>1269</v>
      </c>
      <c r="F5" s="1755"/>
      <c r="G5" s="1755"/>
      <c r="H5" s="1755"/>
      <c r="I5" s="1371"/>
    </row>
    <row r="6" spans="1:12" ht="13.2">
      <c r="A6" s="3615"/>
      <c r="B6" s="3602"/>
      <c r="C6" s="3619"/>
      <c r="D6" s="3638"/>
      <c r="E6" s="131" t="s">
        <v>1270</v>
      </c>
      <c r="F6" s="1755"/>
      <c r="G6" s="1755"/>
      <c r="H6" s="1755"/>
      <c r="I6" s="1371"/>
    </row>
    <row r="7" spans="1:12" ht="13.2">
      <c r="A7" s="3615"/>
      <c r="B7" s="3602"/>
      <c r="C7" s="3620"/>
      <c r="D7" s="3638"/>
      <c r="E7" s="131" t="s">
        <v>1271</v>
      </c>
      <c r="F7" s="1755"/>
      <c r="G7" s="1755"/>
      <c r="H7" s="1755"/>
      <c r="I7" s="1371"/>
    </row>
    <row r="8" spans="1:12" ht="13.2">
      <c r="A8" s="3615" t="s">
        <v>1272</v>
      </c>
      <c r="B8" s="3602">
        <v>15</v>
      </c>
      <c r="C8" s="3618">
        <v>6</v>
      </c>
      <c r="D8" s="3638">
        <v>12</v>
      </c>
      <c r="E8" s="131" t="s">
        <v>1273</v>
      </c>
      <c r="F8" s="1755"/>
      <c r="G8" s="1755"/>
      <c r="H8" s="1755"/>
      <c r="I8" s="1371"/>
    </row>
    <row r="9" spans="1:12" ht="13.2">
      <c r="A9" s="3615"/>
      <c r="B9" s="3602"/>
      <c r="C9" s="3620"/>
      <c r="D9" s="3638"/>
      <c r="E9" s="131" t="s">
        <v>1274</v>
      </c>
      <c r="F9" s="1755"/>
      <c r="G9" s="1755"/>
      <c r="H9" s="1755"/>
      <c r="I9" s="1371"/>
    </row>
    <row r="10" spans="1:12" ht="13.2">
      <c r="A10" s="3615" t="s">
        <v>1275</v>
      </c>
      <c r="B10" s="3602">
        <v>15</v>
      </c>
      <c r="C10" s="3618">
        <v>6</v>
      </c>
      <c r="D10" s="3638">
        <v>12</v>
      </c>
      <c r="E10" s="131" t="s">
        <v>1276</v>
      </c>
      <c r="F10" s="1755"/>
      <c r="G10" s="1755"/>
      <c r="H10" s="1755"/>
      <c r="I10" s="1371"/>
    </row>
    <row r="11" spans="1:12" ht="13.2">
      <c r="A11" s="3615"/>
      <c r="B11" s="3602"/>
      <c r="C11" s="3620"/>
      <c r="D11" s="3638"/>
      <c r="E11" s="131" t="s">
        <v>1277</v>
      </c>
      <c r="F11" s="1755"/>
      <c r="G11" s="1755"/>
      <c r="H11" s="1755"/>
      <c r="I11" s="1371"/>
    </row>
    <row r="12" spans="1:12" ht="13.2">
      <c r="A12" s="3615" t="s">
        <v>1278</v>
      </c>
      <c r="B12" s="3602">
        <v>15</v>
      </c>
      <c r="C12" s="3618">
        <v>6</v>
      </c>
      <c r="D12" s="3638">
        <v>12</v>
      </c>
      <c r="E12" s="131" t="s">
        <v>1279</v>
      </c>
      <c r="F12" s="1755"/>
      <c r="G12" s="1755"/>
      <c r="H12" s="1755"/>
      <c r="I12" s="1371"/>
    </row>
    <row r="13" spans="1:12" ht="13.2">
      <c r="A13" s="3615"/>
      <c r="B13" s="3602"/>
      <c r="C13" s="3620"/>
      <c r="D13" s="3638"/>
      <c r="E13" s="131" t="s">
        <v>1280</v>
      </c>
      <c r="F13" s="1755"/>
      <c r="G13" s="1755"/>
      <c r="H13" s="1755"/>
      <c r="I13" s="1371"/>
    </row>
    <row r="14" spans="1:12" ht="13.2">
      <c r="A14" s="3615" t="s">
        <v>1281</v>
      </c>
      <c r="B14" s="3602">
        <v>30</v>
      </c>
      <c r="C14" s="3618">
        <v>10</v>
      </c>
      <c r="D14" s="3638">
        <v>27</v>
      </c>
      <c r="E14" s="131" t="s">
        <v>1282</v>
      </c>
      <c r="F14" s="1755"/>
      <c r="G14" s="1755"/>
      <c r="H14" s="1755"/>
      <c r="I14" s="1371"/>
    </row>
    <row r="15" spans="1:12" ht="13.2">
      <c r="A15" s="3615"/>
      <c r="B15" s="3602"/>
      <c r="C15" s="3619"/>
      <c r="D15" s="3638"/>
      <c r="E15" s="131" t="s">
        <v>1283</v>
      </c>
      <c r="F15" s="1755"/>
      <c r="G15" s="1755"/>
      <c r="H15" s="1755"/>
      <c r="I15" s="1371"/>
    </row>
    <row r="16" spans="1:12" ht="13.2">
      <c r="A16" s="3615"/>
      <c r="B16" s="3602"/>
      <c r="C16" s="3620"/>
      <c r="D16" s="3638"/>
      <c r="E16" s="131" t="s">
        <v>1284</v>
      </c>
      <c r="F16" s="1755"/>
      <c r="G16" s="1755"/>
      <c r="H16" s="1755"/>
      <c r="I16" s="1371"/>
    </row>
    <row r="17" spans="1:36" ht="14.4">
      <c r="A17" s="1756" t="s">
        <v>1285</v>
      </c>
      <c r="B17" s="56"/>
      <c r="C17" s="132">
        <f>SUM(C5:C16)</f>
        <v>36</v>
      </c>
      <c r="D17" s="132">
        <f>SUM(D5:D16)</f>
        <v>83</v>
      </c>
      <c r="E17" s="129"/>
      <c r="F17" s="129"/>
      <c r="G17" s="129"/>
      <c r="H17" s="129"/>
      <c r="I17" s="129"/>
      <c r="K17" s="301"/>
      <c r="L17" s="301" t="s">
        <v>1286</v>
      </c>
      <c r="M17" s="301" t="s">
        <v>1287</v>
      </c>
    </row>
    <row r="18" spans="1:36" ht="31.95" customHeight="1" thickBot="1">
      <c r="A18" s="1757" t="s">
        <v>1288</v>
      </c>
      <c r="B18" s="1758"/>
      <c r="C18" s="133">
        <f>ROUND(C17/SUM(C17:D17),2)</f>
        <v>0.3</v>
      </c>
      <c r="D18" s="133">
        <f>1-C18</f>
        <v>0.7</v>
      </c>
      <c r="E18" s="3625" t="s">
        <v>2128</v>
      </c>
      <c r="F18" s="3626"/>
      <c r="G18" s="3626"/>
      <c r="H18" s="3626"/>
      <c r="I18" s="3626"/>
      <c r="K18" s="301" t="s">
        <v>1289</v>
      </c>
      <c r="L18" s="301">
        <f>IF(C1="",'数据-汇总表'!E3,SUMIF(项目类型,C1,'数据-汇总表'!E17:E26)+SUMIF(项目类型,C1,'数据-汇总表'!I17:I26))</f>
        <v>10.32</v>
      </c>
      <c r="M18" s="301">
        <f>IF(C1="",'数据-汇总表'!E3,SUMIF(项目类型,C1,'数据-汇总表'!E17:E26))</f>
        <v>10.32</v>
      </c>
    </row>
    <row r="19" spans="1:36" ht="14.4">
      <c r="A19" s="1759" t="s">
        <v>1290</v>
      </c>
      <c r="B19" s="1760" t="s">
        <v>1291</v>
      </c>
      <c r="C19" s="134">
        <f ca="1">SUMIF(INDIRECT("'"&amp;C4&amp;"'"&amp;"!A:A"),结果表!B19,INDIRECT("'"&amp;C4&amp;"'"&amp;"!B:B"))</f>
        <v>5.7397999999999998</v>
      </c>
      <c r="D19" s="135">
        <f ca="1">SUMIF(INDIRECT("'"&amp;D4&amp;"'"&amp;"!A:A"),结果表!B19,INDIRECT("'"&amp;D4&amp;"'"&amp;"!B:B"))</f>
        <v>1.0599000000000001</v>
      </c>
      <c r="E19" s="1759" t="s">
        <v>1292</v>
      </c>
      <c r="F19" s="1760" t="s">
        <v>1291</v>
      </c>
      <c r="G19" s="136">
        <f ca="1">ROUND(C19*$C$18+D19*$D$18,0)</f>
        <v>2</v>
      </c>
      <c r="H19" s="1761" t="s">
        <v>1293</v>
      </c>
      <c r="I19" s="129"/>
      <c r="K19" s="301" t="s">
        <v>1294</v>
      </c>
      <c r="L19" s="301" t="e">
        <f>IF(C1="",'数据-汇总表'!D3,SUMIF(项目类型,C1,'数据-汇总表'!D17:D26)+SUMIF(项目类型,C1,'数据-汇总表'!H17:H27))</f>
        <v>#DIV/0!</v>
      </c>
      <c r="M19" s="301" t="e">
        <f>IF(C1="",'数据-汇总表'!D3,SUMIF(项目类型,C1,'数据-汇总表'!D17:D26))</f>
        <v>#DIV/0!</v>
      </c>
    </row>
    <row r="20" spans="1:36" ht="14.4">
      <c r="A20" s="1762"/>
      <c r="B20" s="1024" t="s">
        <v>1295</v>
      </c>
      <c r="C20" s="137">
        <f ca="1">SUMIF(INDIRECT("'"&amp;C4&amp;"'"&amp;"!A:A"),结果表!B20,INDIRECT("'"&amp;C4&amp;"'"&amp;"!B:B"))</f>
        <v>5562</v>
      </c>
      <c r="D20" s="138">
        <f ca="1">SUMIF(INDIRECT("'"&amp;D4&amp;"'"&amp;"!A:A"),结果表!B20,INDIRECT("'"&amp;D4&amp;"'"&amp;"!B:B"))</f>
        <v>1027</v>
      </c>
      <c r="E20" s="1762"/>
      <c r="F20" s="1024" t="s">
        <v>1295</v>
      </c>
      <c r="G20" s="139">
        <f ca="1">ROUND(C20*$C$18+D20*$D$18,0)</f>
        <v>2388</v>
      </c>
      <c r="H20" s="806" t="s">
        <v>1296</v>
      </c>
      <c r="I20" s="129"/>
    </row>
    <row r="21" spans="1:36" ht="15" customHeight="1" thickBot="1">
      <c r="A21" s="826"/>
      <c r="B21" s="1763" t="s">
        <v>1297</v>
      </c>
      <c r="C21" s="718" t="e">
        <f ca="1">ROUND(C19*10000/L19,0)</f>
        <v>#DIV/0!</v>
      </c>
      <c r="D21" s="719" t="e">
        <f ca="1">ROUND(D19*10000/L19,0)</f>
        <v>#DIV/0!</v>
      </c>
      <c r="E21" s="826"/>
      <c r="F21" s="1763" t="s">
        <v>1297</v>
      </c>
      <c r="G21" s="140" t="e">
        <f ca="1">ROUND(G19*10000/L19,0)</f>
        <v>#DIV/0!</v>
      </c>
      <c r="H21" s="1764" t="s">
        <v>1296</v>
      </c>
      <c r="I21" s="129"/>
    </row>
    <row r="22" spans="1:36" ht="15" thickBot="1">
      <c r="A22" s="1686" t="s">
        <v>1298</v>
      </c>
      <c r="B22" s="1765"/>
      <c r="C22" s="1766"/>
      <c r="D22" s="720">
        <f ca="1">IF(C19&lt;D19,D19/C19-1,C19/D19-1)</f>
        <v>4.4154165487310122</v>
      </c>
      <c r="E22" s="129"/>
      <c r="F22" s="129"/>
      <c r="G22" s="129"/>
      <c r="H22" s="129"/>
      <c r="I22" s="129"/>
    </row>
    <row r="23" spans="1:36" ht="13.8" thickBot="1">
      <c r="A23" s="1745"/>
      <c r="B23" s="1745"/>
      <c r="C23" s="1745"/>
      <c r="D23" s="1745"/>
      <c r="E23" s="129"/>
      <c r="F23" s="129"/>
      <c r="G23" s="129"/>
      <c r="H23" s="129"/>
      <c r="I23" s="129"/>
    </row>
    <row r="24" spans="1:36" ht="14.4">
      <c r="A24" s="3609" t="s">
        <v>1299</v>
      </c>
      <c r="B24" s="1760" t="s">
        <v>1291</v>
      </c>
      <c r="C24" s="136">
        <f>IF(B30=0,0,D30)</f>
        <v>0</v>
      </c>
      <c r="D24" s="1767"/>
      <c r="E24" s="129"/>
      <c r="F24" s="129"/>
      <c r="G24" s="129"/>
      <c r="H24" s="129"/>
      <c r="I24" s="129"/>
    </row>
    <row r="25" spans="1:36" ht="14.4">
      <c r="A25" s="3610"/>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0" t="s">
        <v>2129</v>
      </c>
      <c r="F30" s="129"/>
      <c r="G30" s="129"/>
      <c r="H30" s="129"/>
      <c r="I30" s="129"/>
    </row>
    <row r="31" spans="1:36" s="2306" customFormat="1" ht="26.4"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1" t="s">
        <v>1305</v>
      </c>
      <c r="B32" s="1772"/>
      <c r="C32" s="144">
        <f ca="1">IF(D32="总价",G19-C24,G20-C25)</f>
        <v>2388</v>
      </c>
      <c r="D32" s="1773"/>
      <c r="E32" s="129"/>
      <c r="F32" s="129"/>
      <c r="G32" s="129"/>
      <c r="H32" s="129"/>
      <c r="I32" s="129"/>
    </row>
    <row r="33" spans="1:15" ht="14.4">
      <c r="A33" s="784"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629" t="s">
        <v>1312</v>
      </c>
      <c r="B36" s="1785" t="s">
        <v>1313</v>
      </c>
      <c r="C36" s="145"/>
      <c r="D36" s="1786"/>
      <c r="E36" s="1787"/>
      <c r="F36" s="1788"/>
      <c r="G36" s="129"/>
      <c r="H36" s="129"/>
      <c r="I36" s="129"/>
    </row>
    <row r="37" spans="1:15" ht="15" thickBot="1">
      <c r="A37" s="3630"/>
      <c r="B37" s="1672" t="s">
        <v>1314</v>
      </c>
      <c r="C37" s="147"/>
      <c r="D37" s="1137"/>
      <c r="E37" s="1137"/>
      <c r="F37" s="1788"/>
      <c r="G37" s="129"/>
      <c r="H37" s="129"/>
      <c r="I37" s="129"/>
    </row>
    <row r="38" spans="1:15" ht="15" thickBot="1">
      <c r="A38" s="3631"/>
      <c r="B38" s="1789" t="s">
        <v>1315</v>
      </c>
      <c r="C38" s="673"/>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6" t="s">
        <v>1326</v>
      </c>
      <c r="B45" s="3607"/>
      <c r="C45" s="3608"/>
      <c r="D45" s="155" t="e">
        <f ca="1">ROUND(H101*F45,0)</f>
        <v>#REF!</v>
      </c>
      <c r="E45" s="156" t="s">
        <v>1327</v>
      </c>
      <c r="F45" s="157">
        <v>1</v>
      </c>
      <c r="G45" s="158" t="s">
        <v>1328</v>
      </c>
      <c r="H45" s="129"/>
      <c r="I45" s="129"/>
      <c r="J45" s="3684" t="s">
        <v>1329</v>
      </c>
      <c r="K45" s="3684"/>
      <c r="L45" s="3684"/>
      <c r="M45" s="3684"/>
      <c r="N45" s="3684"/>
      <c r="O45" s="3684"/>
    </row>
    <row r="46" spans="1:15" ht="14.25" customHeight="1">
      <c r="A46" s="3603" t="s">
        <v>1330</v>
      </c>
      <c r="B46" s="3604"/>
      <c r="C46" s="3604"/>
      <c r="D46" s="3604"/>
      <c r="E46" s="3604"/>
      <c r="F46" s="3604"/>
      <c r="G46" s="3605"/>
      <c r="H46" s="1804"/>
      <c r="I46" s="159"/>
      <c r="J46" s="2520">
        <v>1</v>
      </c>
      <c r="K46" s="3665" t="s">
        <v>1331</v>
      </c>
      <c r="L46" s="3665"/>
      <c r="M46" s="3685"/>
      <c r="N46" s="3685"/>
      <c r="O46" s="3685"/>
    </row>
    <row r="47" spans="1:15" ht="12" customHeight="1">
      <c r="A47" s="160" t="s">
        <v>1332</v>
      </c>
      <c r="B47" s="161"/>
      <c r="C47" s="162"/>
      <c r="D47" s="1085" t="s">
        <v>1333</v>
      </c>
      <c r="E47" s="301" t="s">
        <v>1334</v>
      </c>
      <c r="F47" s="163" t="s">
        <v>1335</v>
      </c>
      <c r="G47" s="2543" t="s">
        <v>1336</v>
      </c>
      <c r="H47" s="2544"/>
      <c r="I47" s="159"/>
      <c r="J47" s="2520">
        <v>2</v>
      </c>
      <c r="K47" s="3665" t="s">
        <v>1337</v>
      </c>
      <c r="L47" s="3665"/>
      <c r="M47" s="3686">
        <f>'数据-取费表'!B2</f>
        <v>45882</v>
      </c>
      <c r="N47" s="3686"/>
      <c r="O47" s="3686"/>
    </row>
    <row r="48" spans="1:15" ht="26.4">
      <c r="A48" s="3634" t="s">
        <v>1338</v>
      </c>
      <c r="B48" s="3617"/>
      <c r="C48" s="3617"/>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4"/>
      <c r="J48" s="2520">
        <v>3</v>
      </c>
      <c r="K48" s="3665" t="s">
        <v>1340</v>
      </c>
      <c r="L48" s="3665"/>
      <c r="M48" s="3687" t="e">
        <f ca="1">H101</f>
        <v>#REF!</v>
      </c>
      <c r="N48" s="3687"/>
      <c r="O48" s="3687"/>
    </row>
    <row r="49" spans="1:35" ht="25.5" customHeight="1">
      <c r="A49" s="2330" t="s">
        <v>1341</v>
      </c>
      <c r="B49" s="3601" t="s">
        <v>1342</v>
      </c>
      <c r="C49" s="3601"/>
      <c r="D49" s="1588">
        <v>0</v>
      </c>
      <c r="E49" s="323" t="s">
        <v>1343</v>
      </c>
      <c r="F49" s="2421" t="s">
        <v>28</v>
      </c>
      <c r="G49" s="3671"/>
      <c r="H49" s="2307" t="s">
        <v>2131</v>
      </c>
      <c r="I49" s="2308"/>
      <c r="J49" s="2520">
        <v>4</v>
      </c>
      <c r="K49" s="3665" t="str">
        <f>IF(项目基本情况!E8="房地产抵押价值","房地产抵押价值","抵押担保权已注销时的房地产抵押价值")</f>
        <v>抵押担保权已注销时的房地产抵押价值</v>
      </c>
      <c r="L49" s="3665"/>
      <c r="M49" s="3687" t="str">
        <f>IF(项目基本情况!E8="房地产抵押价值",H107,H109)</f>
        <v>——</v>
      </c>
      <c r="N49" s="3687"/>
      <c r="O49" s="3687"/>
    </row>
    <row r="50" spans="1:35" ht="25.5" customHeight="1">
      <c r="A50" s="2548"/>
      <c r="B50" s="3601" t="s">
        <v>1344</v>
      </c>
      <c r="C50" s="3601"/>
      <c r="D50" s="2549"/>
      <c r="E50" s="331"/>
      <c r="F50" s="2421"/>
      <c r="G50" s="3672"/>
      <c r="H50" s="2309" t="s">
        <v>2132</v>
      </c>
      <c r="I50" s="2308"/>
      <c r="J50" s="3684" t="s">
        <v>1345</v>
      </c>
      <c r="K50" s="3684"/>
      <c r="L50" s="3684"/>
      <c r="M50" s="3684"/>
      <c r="N50" s="3684"/>
      <c r="O50" s="3684"/>
    </row>
    <row r="51" spans="1:35" ht="20.399999999999999" customHeight="1">
      <c r="A51" s="2550"/>
      <c r="B51" s="3601" t="s">
        <v>1346</v>
      </c>
      <c r="C51" s="3601"/>
      <c r="D51" s="1085"/>
      <c r="E51" s="326"/>
      <c r="F51" s="2421"/>
      <c r="G51" s="3673"/>
      <c r="H51" s="2309" t="s">
        <v>2133</v>
      </c>
      <c r="I51" s="2308"/>
      <c r="J51" s="2521" t="s">
        <v>1347</v>
      </c>
      <c r="K51" s="3665" t="s">
        <v>1348</v>
      </c>
      <c r="L51" s="3665"/>
      <c r="M51" s="2521" t="s">
        <v>1349</v>
      </c>
      <c r="N51" s="2521" t="s">
        <v>1350</v>
      </c>
      <c r="O51" s="2521" t="s">
        <v>1351</v>
      </c>
    </row>
    <row r="52" spans="1:35" ht="24" customHeight="1">
      <c r="A52" s="2332" t="s">
        <v>1352</v>
      </c>
      <c r="B52" s="3601" t="s">
        <v>1353</v>
      </c>
      <c r="C52" s="3601"/>
      <c r="D52" s="1085" t="e">
        <f ca="1">ROUND(D45*'数据-取费表'!B41/(1+'数据-取费表'!C42),0)</f>
        <v>#REF!</v>
      </c>
      <c r="E52" s="2331" t="s">
        <v>1354</v>
      </c>
      <c r="F52" s="2551">
        <f>'数据-取费表'!B41</f>
        <v>5.6000000000000001E-2</v>
      </c>
      <c r="G52" s="2552"/>
      <c r="H52" s="2541"/>
      <c r="I52" s="1805"/>
      <c r="J52" s="2520">
        <v>1</v>
      </c>
      <c r="K52" s="3666" t="s">
        <v>1355</v>
      </c>
      <c r="L52" s="3666"/>
      <c r="M52" s="2522" t="b">
        <f>D48</f>
        <v>0</v>
      </c>
      <c r="N52" s="2520" t="str">
        <f>E48</f>
        <v>销售额×税（费）率</v>
      </c>
      <c r="O52" s="2523">
        <f>F48</f>
        <v>5.6000000000000001E-2</v>
      </c>
    </row>
    <row r="53" spans="1:35" ht="12" customHeight="1">
      <c r="A53" s="2332" t="s">
        <v>1356</v>
      </c>
      <c r="B53" s="3627" t="s">
        <v>2288</v>
      </c>
      <c r="C53" s="3628"/>
      <c r="D53" s="1085" t="e">
        <f ca="1">ROUND(D45*'数据-取费表'!B41/(1+'数据-取费表'!C42),0)</f>
        <v>#REF!</v>
      </c>
      <c r="E53" s="2331" t="s">
        <v>1354</v>
      </c>
      <c r="F53" s="2551">
        <f>'数据-取费表'!B41</f>
        <v>5.6000000000000001E-2</v>
      </c>
      <c r="G53" s="2552"/>
      <c r="H53" s="2541"/>
      <c r="I53" s="1805"/>
      <c r="J53" s="2520">
        <v>2</v>
      </c>
      <c r="K53" s="3666" t="s">
        <v>1357</v>
      </c>
      <c r="L53" s="3666"/>
      <c r="M53" s="2522" t="e">
        <f t="shared" ref="M53:O54" ca="1" si="0">D55</f>
        <v>#REF!</v>
      </c>
      <c r="N53" s="2520" t="str">
        <f t="shared" si="0"/>
        <v>销售额×税（费）率</v>
      </c>
      <c r="O53" s="2523" t="str">
        <f t="shared" si="0"/>
        <v>免征</v>
      </c>
    </row>
    <row r="54" spans="1:35" ht="12" customHeight="1">
      <c r="A54" s="2332" t="s">
        <v>1358</v>
      </c>
      <c r="B54" s="3627" t="s">
        <v>2289</v>
      </c>
      <c r="C54" s="3628"/>
      <c r="D54" s="1085" t="e">
        <f ca="1">C68</f>
        <v>#REF!</v>
      </c>
      <c r="E54" s="326" t="s">
        <v>1359</v>
      </c>
      <c r="F54" s="2551">
        <f>'数据-取费表'!B41</f>
        <v>5.6000000000000001E-2</v>
      </c>
      <c r="G54" s="2552"/>
      <c r="H54" s="2553"/>
      <c r="I54" s="1805"/>
      <c r="J54" s="2520">
        <v>3</v>
      </c>
      <c r="K54" s="3666" t="s">
        <v>1360</v>
      </c>
      <c r="L54" s="3666"/>
      <c r="M54" s="2522" t="e">
        <f t="shared" ca="1" si="0"/>
        <v>#REF!</v>
      </c>
      <c r="N54" s="2520" t="str">
        <f t="shared" si="0"/>
        <v>增值额×税（费）率</v>
      </c>
      <c r="O54" s="2524" t="str">
        <f t="shared" si="0"/>
        <v>免征</v>
      </c>
    </row>
    <row r="55" spans="1:35" ht="24" customHeight="1">
      <c r="A55" s="3616" t="s">
        <v>1361</v>
      </c>
      <c r="B55" s="3617"/>
      <c r="C55" s="3617"/>
      <c r="D55" s="2321" t="e">
        <f ca="1">IF(H55="个人住宅",0,ROUND(D45*I55,0))</f>
        <v>#REF!</v>
      </c>
      <c r="E55" s="2331" t="s">
        <v>1362</v>
      </c>
      <c r="F55" s="2551" t="str">
        <f>IF(H55="正常",I55,"免征")</f>
        <v>免征</v>
      </c>
      <c r="G55" s="2552"/>
      <c r="H55" s="2547"/>
      <c r="I55" s="165">
        <f>'数据-取费表'!B49</f>
        <v>5.0000000000000001E-4</v>
      </c>
      <c r="J55" s="2520">
        <f>IF(H59="非个人房产","",4)</f>
        <v>4</v>
      </c>
      <c r="K55" s="3666" t="str">
        <f>IF(H59="非个人房产","——","个人所得税")</f>
        <v>个人所得税</v>
      </c>
      <c r="L55" s="3666"/>
      <c r="M55" s="2525" t="e">
        <f ca="1">D59</f>
        <v>#REF!</v>
      </c>
      <c r="N55" s="2038" t="str">
        <f>E59</f>
        <v>差额计税</v>
      </c>
      <c r="O55" s="2526">
        <f>F59</f>
        <v>0.01</v>
      </c>
    </row>
    <row r="56" spans="1:35" ht="25.2">
      <c r="A56" s="3616" t="s">
        <v>1363</v>
      </c>
      <c r="B56" s="3617"/>
      <c r="C56" s="3617"/>
      <c r="D56" s="2321" t="e">
        <f ca="1">IF(H56="个人住宅",D57,D58)</f>
        <v>#REF!</v>
      </c>
      <c r="E56" s="2331" t="s">
        <v>1364</v>
      </c>
      <c r="F56" s="2551" t="str">
        <f>IF(H56="正常",F58,"免征")</f>
        <v>免征</v>
      </c>
      <c r="G56" s="2554" t="s">
        <v>1365</v>
      </c>
      <c r="H56" s="2555"/>
      <c r="I56" s="1806"/>
      <c r="J56" s="2520" t="str">
        <f>IF(项目基本情况!K6="上海银行",IF(J55="",4,J55+1),"")</f>
        <v/>
      </c>
      <c r="K56" s="3689" t="str">
        <f>IF(项目基本情况!K6="上海银行","其他处置费用","")</f>
        <v/>
      </c>
      <c r="L56" s="3690"/>
      <c r="M56" s="2522" t="str">
        <f>IF(项目基本情况!K6="上海银行",M69,"")</f>
        <v/>
      </c>
      <c r="N56" s="3689" t="str">
        <f>IF(项目基本情况!K6="上海银行","包含处置中涉及的律师、诉讼、拍卖、评估等费用","")</f>
        <v/>
      </c>
      <c r="O56" s="3692"/>
    </row>
    <row r="57" spans="1:35" ht="13.2">
      <c r="A57" s="2332" t="s">
        <v>1341</v>
      </c>
      <c r="B57" s="3627" t="s">
        <v>1366</v>
      </c>
      <c r="C57" s="3628"/>
      <c r="D57" s="1588">
        <v>0</v>
      </c>
      <c r="E57" s="323" t="s">
        <v>1343</v>
      </c>
      <c r="F57" s="301"/>
      <c r="G57" s="2552"/>
      <c r="H57" s="2556"/>
      <c r="I57" s="1806"/>
      <c r="J57" s="3666">
        <f>IF(AND(J55="",J56=""),4,IF(项目基本情况!K6="上海银行",结果表!J56+1,结果表!J55+1))</f>
        <v>5</v>
      </c>
      <c r="K57" s="3666" t="s">
        <v>1367</v>
      </c>
      <c r="L57" s="2527" t="s">
        <v>1368</v>
      </c>
      <c r="M57" s="2528"/>
      <c r="N57" s="2529">
        <f ca="1">SUMIF(M52:M56,"&lt;9e307")</f>
        <v>0</v>
      </c>
      <c r="O57" s="2530"/>
      <c r="P57" s="2687" t="e">
        <f ca="1">N57/M49</f>
        <v>#VALUE!</v>
      </c>
    </row>
    <row r="58" spans="1:35" ht="25.2">
      <c r="A58" s="2332" t="s">
        <v>1352</v>
      </c>
      <c r="B58" s="3627" t="s">
        <v>1369</v>
      </c>
      <c r="C58" s="3601"/>
      <c r="D58" s="2321" t="e">
        <f ca="1">IF(H58="转让取得",C81,C97)</f>
        <v>#REF!</v>
      </c>
      <c r="E58" s="2331" t="s">
        <v>1364</v>
      </c>
      <c r="F58" s="301" t="s">
        <v>28</v>
      </c>
      <c r="G58" s="2552"/>
      <c r="H58" s="2555"/>
      <c r="I58" s="1806"/>
      <c r="J58" s="3666"/>
      <c r="K58" s="3666"/>
      <c r="L58" s="2527" t="s">
        <v>1370</v>
      </c>
      <c r="M58" s="2531"/>
      <c r="N58" s="2532" t="str">
        <f ca="1">NUMBERSTRING(INT(N57*10000),2)&amp;"元整"</f>
        <v>零元整</v>
      </c>
      <c r="O58" s="2533"/>
    </row>
    <row r="59" spans="1:35" ht="24.6" thickBot="1">
      <c r="A59" s="3669" t="s">
        <v>1371</v>
      </c>
      <c r="B59" s="3670"/>
      <c r="C59" s="3670"/>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2134</v>
      </c>
      <c r="J59" s="3667">
        <f>J57+1</f>
        <v>6</v>
      </c>
      <c r="K59" s="3666" t="s">
        <v>1372</v>
      </c>
      <c r="L59" s="2520" t="s">
        <v>1368</v>
      </c>
      <c r="M59" s="2534"/>
      <c r="N59" s="2535" t="e">
        <f ca="1">M49-N57</f>
        <v>#VALUE!</v>
      </c>
      <c r="O59" s="2536"/>
    </row>
    <row r="60" spans="1:35" ht="12" customHeight="1">
      <c r="A60" s="1807"/>
      <c r="B60" s="1745"/>
      <c r="C60" s="1745"/>
      <c r="D60" s="1745"/>
      <c r="E60" s="1576"/>
      <c r="F60" s="1806"/>
      <c r="G60" s="1806"/>
      <c r="H60" s="1808"/>
      <c r="I60" s="129"/>
      <c r="J60" s="3668"/>
      <c r="K60" s="3666"/>
      <c r="L60" s="2527" t="s">
        <v>1370</v>
      </c>
      <c r="M60" s="2531"/>
      <c r="N60" s="2532" t="e">
        <f ca="1">NUMBERSTRING(INT(N59*10000),2)&amp;"元整"</f>
        <v>#VALUE!</v>
      </c>
      <c r="O60" s="2533"/>
    </row>
    <row r="61" spans="1:35" ht="13.8" thickBot="1">
      <c r="A61" s="3614" t="s">
        <v>1373</v>
      </c>
      <c r="B61" s="3614"/>
      <c r="C61" s="3614"/>
      <c r="D61" s="3614"/>
      <c r="E61" s="3614"/>
      <c r="F61" s="1806"/>
      <c r="G61" s="1806"/>
      <c r="H61" s="1808"/>
      <c r="I61" s="129"/>
      <c r="J61" s="2520">
        <f>J59+1</f>
        <v>7</v>
      </c>
      <c r="K61" s="3666" t="s">
        <v>1374</v>
      </c>
      <c r="L61" s="3666"/>
      <c r="M61" s="2537"/>
      <c r="N61" s="2538" t="e">
        <f ca="1">ROUND(N59*10000/'数据-汇总表'!E3,0)</f>
        <v>#VALUE!</v>
      </c>
      <c r="O61" s="2539"/>
    </row>
    <row r="62" spans="1:35" ht="13.2">
      <c r="A62" s="3632" t="s">
        <v>1375</v>
      </c>
      <c r="B62" s="3633"/>
      <c r="C62" s="2019"/>
      <c r="D62" s="2019" t="s">
        <v>1376</v>
      </c>
      <c r="E62" s="166" t="s">
        <v>1377</v>
      </c>
      <c r="F62" s="1806"/>
      <c r="G62" s="1806"/>
      <c r="H62" s="1808"/>
      <c r="I62" s="129"/>
    </row>
    <row r="63" spans="1:35" ht="13.2">
      <c r="A63" s="173" t="s">
        <v>330</v>
      </c>
      <c r="B63" s="167" t="s">
        <v>1378</v>
      </c>
      <c r="C63" s="2561" t="e">
        <f ca="1">ROUND((C64+C65)/(1+'数据-取费表'!C42),0)</f>
        <v>#REF!</v>
      </c>
      <c r="D63" s="167"/>
      <c r="E63" s="168"/>
      <c r="F63" s="1806"/>
      <c r="G63" s="1806"/>
      <c r="H63" s="1808"/>
      <c r="I63" s="129"/>
      <c r="J63" s="3691" t="s">
        <v>1379</v>
      </c>
      <c r="K63" s="1330" t="s">
        <v>1380</v>
      </c>
      <c r="L63" s="1330" t="e">
        <f>IF(M49&gt;10000,M49*0.5%,IF(AND(M49&gt;1000,M49&lt;=10000),M49*1%,IF(AND(M49&gt;100,M49&lt;=1000),M49*3%,IF(AND(M49&gt;10,M49&lt;=100),M49*5%,M49*8%))))</f>
        <v>#VALUE!</v>
      </c>
      <c r="M63" s="301" t="e">
        <f>ROUND(L63,1)</f>
        <v>#VALUE!</v>
      </c>
      <c r="N63" s="2540"/>
      <c r="Z63" s="1750"/>
      <c r="AI63" s="1751"/>
    </row>
    <row r="64" spans="1:35" ht="14.25" customHeight="1">
      <c r="A64" s="169" t="s">
        <v>325</v>
      </c>
      <c r="B64" s="170" t="s">
        <v>1381</v>
      </c>
      <c r="C64" s="2562" t="e">
        <f ca="1">D45</f>
        <v>#REF!</v>
      </c>
      <c r="D64" s="170" t="s">
        <v>26</v>
      </c>
      <c r="E64" s="172"/>
      <c r="F64" s="1806"/>
      <c r="G64" s="1806"/>
      <c r="H64" s="1808"/>
      <c r="I64" s="129"/>
      <c r="J64" s="3691"/>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1" t="s">
        <v>1383</v>
      </c>
      <c r="Z64" s="1750"/>
      <c r="AI64" s="1751"/>
    </row>
    <row r="65" spans="1:35" ht="14.25" customHeight="1">
      <c r="A65" s="169" t="s">
        <v>326</v>
      </c>
      <c r="B65" s="170" t="s">
        <v>1384</v>
      </c>
      <c r="C65" s="2563"/>
      <c r="D65" s="170"/>
      <c r="E65" s="172"/>
      <c r="F65" s="1806"/>
      <c r="G65" s="1806"/>
      <c r="H65" s="1808"/>
      <c r="I65" s="129"/>
      <c r="J65" s="3691"/>
      <c r="K65" s="1330" t="s">
        <v>1385</v>
      </c>
      <c r="L65" s="1330" t="e">
        <f>IF(M49&gt;1000,M49*0.1%,IF(AND(M49&gt;500,M49&lt;=1000),M49*0.5%,IF(AND(M49&gt;50,M49&lt;=500),M49*1%,IF(AND(M49&gt;1,M49&lt;=50),M49*1.5%))))</f>
        <v>#VALUE!</v>
      </c>
      <c r="M65" s="301" t="e">
        <f t="shared" si="1"/>
        <v>#VALUE!</v>
      </c>
      <c r="N65" s="2541" t="s">
        <v>1383</v>
      </c>
      <c r="Z65" s="1750"/>
      <c r="AI65" s="1751"/>
    </row>
    <row r="66" spans="1:35" ht="14.25" customHeight="1">
      <c r="A66" s="173" t="s">
        <v>327</v>
      </c>
      <c r="B66" s="174" t="s">
        <v>1386</v>
      </c>
      <c r="C66" s="2564"/>
      <c r="D66" s="174" t="s">
        <v>26</v>
      </c>
      <c r="E66" s="1336" t="s">
        <v>671</v>
      </c>
      <c r="F66" s="1806"/>
      <c r="G66" s="1806"/>
      <c r="H66" s="1808"/>
      <c r="I66" s="129"/>
      <c r="J66" s="3691"/>
      <c r="K66" s="1330" t="s">
        <v>1387</v>
      </c>
      <c r="L66" s="1330" t="e">
        <f>M49*0.5%</f>
        <v>#VALUE!</v>
      </c>
      <c r="M66" s="301" t="e">
        <f>IF(L66&gt;0.5,0.5,ROUND(L66,0))</f>
        <v>#VALUE!</v>
      </c>
      <c r="N66" s="2541" t="s">
        <v>1388</v>
      </c>
      <c r="Z66" s="1750"/>
      <c r="AI66" s="1751"/>
    </row>
    <row r="67" spans="1:35" ht="14.25" customHeight="1">
      <c r="A67" s="173" t="s">
        <v>328</v>
      </c>
      <c r="B67" s="174" t="s">
        <v>1389</v>
      </c>
      <c r="C67" s="2565" t="e">
        <f ca="1">C63-C66</f>
        <v>#REF!</v>
      </c>
      <c r="D67" s="170" t="s">
        <v>26</v>
      </c>
      <c r="E67" s="172"/>
      <c r="F67" s="1806"/>
      <c r="G67" s="1806"/>
      <c r="H67" s="1808"/>
      <c r="I67" s="129"/>
      <c r="J67" s="3691"/>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0"/>
      <c r="Z67" s="1750"/>
      <c r="AI67" s="1751"/>
    </row>
    <row r="68" spans="1:35" ht="14.25" customHeight="1" thickBot="1">
      <c r="A68" s="176" t="s">
        <v>329</v>
      </c>
      <c r="B68" s="177" t="s">
        <v>1391</v>
      </c>
      <c r="C68" s="2566" t="e">
        <f ca="1">IF(C67&lt;=0,0,ROUND(C67*D68,0))</f>
        <v>#REF!</v>
      </c>
      <c r="D68" s="2567">
        <f>'数据-取费表'!B41</f>
        <v>5.6000000000000001E-2</v>
      </c>
      <c r="E68" s="178"/>
      <c r="F68" s="1806"/>
      <c r="G68" s="1806"/>
      <c r="H68" s="1808"/>
      <c r="I68" s="129"/>
      <c r="J68" s="3691"/>
      <c r="K68" s="1330" t="s">
        <v>1392</v>
      </c>
      <c r="L68" s="1330" t="e">
        <f>IF(M49&gt;10000,M49*0.5%,IF(AND(M49&gt;5000,M49&lt;=10000),M49*1%,IF(AND(M49&gt;1000,M49&lt;=5000),M49*2%,IF(AND(M49&gt;200,M49&lt;=1000),M49*3%,M49*5%))))</f>
        <v>#VALUE!</v>
      </c>
      <c r="M68" s="301" t="e">
        <f>ROUND(L68,1)</f>
        <v>#VALUE!</v>
      </c>
      <c r="N68" s="2540"/>
      <c r="Z68" s="1750"/>
      <c r="AI68" s="1751"/>
    </row>
    <row r="69" spans="1:35" s="1770" customFormat="1" ht="16.5" customHeight="1">
      <c r="A69" s="1809"/>
      <c r="B69" s="1810"/>
      <c r="C69" s="1811"/>
      <c r="D69" s="1812"/>
      <c r="E69" s="1813"/>
      <c r="F69" s="1576"/>
      <c r="G69" s="1576"/>
      <c r="H69" s="1575"/>
      <c r="I69" s="1745"/>
      <c r="J69" s="3691"/>
      <c r="K69" s="1330" t="s">
        <v>1393</v>
      </c>
      <c r="L69" s="1330"/>
      <c r="M69" s="301" t="e">
        <f>ROUND(SUM(M63:M68),0)</f>
        <v>#VALUE!</v>
      </c>
      <c r="N69" s="2542"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53" t="s">
        <v>1394</v>
      </c>
      <c r="B70" s="3654"/>
      <c r="C70" s="3654"/>
      <c r="D70" s="3654"/>
      <c r="E70" s="3654"/>
      <c r="F70" s="3654"/>
      <c r="G70" s="3654"/>
      <c r="H70" s="3654"/>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32" t="s">
        <v>1375</v>
      </c>
      <c r="B71" s="3633"/>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5" t="e">
        <f ca="1">ROUND(D45/(1+'数据-取费表'!C42),0)</f>
        <v>#REF!</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5" t="e">
        <f ca="1">C74+C78</f>
        <v>#REF!</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8"/>
      <c r="D75" s="170"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4" t="s">
        <v>1401</v>
      </c>
      <c r="C76" s="170">
        <f>IF(F75="购房发票",ROUND(C75*H75*D76,0),0)</f>
        <v>0</v>
      </c>
      <c r="D76" s="2571">
        <v>0.05</v>
      </c>
      <c r="E76" s="3627" t="s">
        <v>1402</v>
      </c>
      <c r="F76" s="3601"/>
      <c r="G76" s="3601"/>
      <c r="H76" s="365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5"/>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t="e">
        <f ca="1">ROUND(D45*D78/(1+'数据-取费表'!C42),0)</f>
        <v>#REF!</v>
      </c>
      <c r="D78" s="2574">
        <f>'数据-取费表'!B43</f>
        <v>6.000000000000001E-3</v>
      </c>
      <c r="E78" s="3611" t="s">
        <v>1406</v>
      </c>
      <c r="F78" s="3612"/>
      <c r="G78" s="3612"/>
      <c r="H78" s="362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5" t="e">
        <f ca="1">C72-C73</f>
        <v>#REF!</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6" t="e">
        <f ca="1">ROUND(IF(C79&lt;=0,0,IF(C80&gt;=200%,C79*60%-C73*35%,IF(C80&gt;=100%,C79*50%-C73*15%,IF(C80&gt;=50%,C79*40%-C73*5%,IF(C80&lt;50%,C79*30%,0))))),0)</f>
        <v>#REF!</v>
      </c>
      <c r="D81" s="2577"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53" t="s">
        <v>1410</v>
      </c>
      <c r="B83" s="3654"/>
      <c r="C83" s="3654"/>
      <c r="D83" s="3654"/>
      <c r="E83" s="3654"/>
      <c r="F83" s="3654"/>
      <c r="G83" s="3654"/>
      <c r="H83" s="365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32" t="s">
        <v>1375</v>
      </c>
      <c r="B84" s="3633"/>
      <c r="C84" s="2019"/>
      <c r="D84" s="2019" t="s">
        <v>1376</v>
      </c>
      <c r="E84" s="179" t="s">
        <v>1377</v>
      </c>
      <c r="F84" s="180"/>
      <c r="G84" s="180"/>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5" t="e">
        <f ca="1">ROUND(D45/(1+'数据-取费表'!C42),0)</f>
        <v>#REF!</v>
      </c>
      <c r="D85" s="170" t="s">
        <v>26</v>
      </c>
      <c r="E85" s="2328"/>
      <c r="F85" s="2327"/>
      <c r="G85" s="2327"/>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5" t="e">
        <f ca="1">IF(H88="仅含出让金",C87+C90+C91+C92+C93+C94,C87+C91+C92+C93+C94)</f>
        <v>#REF!</v>
      </c>
      <c r="D86" s="2578"/>
      <c r="E86" s="2328"/>
      <c r="F86" s="2327"/>
      <c r="G86" s="2327"/>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79"/>
      <c r="D88" s="2574"/>
      <c r="E88" s="192" t="s">
        <v>1413</v>
      </c>
      <c r="F88" s="2324"/>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3">
        <f>ROUND(C88*D89,0)</f>
        <v>0</v>
      </c>
      <c r="D89" s="2574">
        <f>'数据-取费表'!B48+'数据-取费表'!B49</f>
        <v>3.0499999999999999E-2</v>
      </c>
      <c r="E89" s="192"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79"/>
      <c r="D90" s="2574"/>
      <c r="E90" s="192" t="str">
        <f>IF(H88="-","土地取得成本中已包含该笔费用"," ")</f>
        <v xml:space="preserve"> </v>
      </c>
      <c r="F90" s="2324"/>
      <c r="G90" s="3693" t="s">
        <v>2126</v>
      </c>
      <c r="H90" s="3694"/>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11" t="s">
        <v>1419</v>
      </c>
      <c r="F91" s="3612"/>
      <c r="G91" s="361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11" t="s">
        <v>1422</v>
      </c>
      <c r="F92" s="3612"/>
      <c r="G92" s="3612"/>
      <c r="H92" s="3621"/>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t="e">
        <f ca="1">ROUND(D45*D93/(1+'数据-取费表'!C42),0)</f>
        <v>#REF!</v>
      </c>
      <c r="D93" s="2574">
        <f>'数据-取费表'!B43</f>
        <v>6.000000000000001E-3</v>
      </c>
      <c r="E93" s="3611" t="s">
        <v>1406</v>
      </c>
      <c r="F93" s="3612"/>
      <c r="G93" s="3612"/>
      <c r="H93" s="362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22" t="s">
        <v>1426</v>
      </c>
      <c r="F94" s="3623"/>
      <c r="G94" s="3623"/>
      <c r="H94" s="362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5" t="e">
        <f ca="1">ROUND(C85-C86,0)</f>
        <v>#REF!</v>
      </c>
      <c r="D95" s="170" t="s">
        <v>26</v>
      </c>
      <c r="E95" s="2328"/>
      <c r="F95" s="2327"/>
      <c r="G95" s="2327"/>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6" t="e">
        <f ca="1">ROUND(IF(C95&lt;=0,0,IF(C96&gt;=200%,C95*60%-C86*35%,IF(C96&gt;=100%,C95*50%-C86*15%,IF(C96&gt;=50%,C95*40%-C86*5%,IF(C96&lt;50%,C95*30%,0))))),0)</f>
        <v>#REF!</v>
      </c>
      <c r="D97" s="2577"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95" t="s">
        <v>1428</v>
      </c>
      <c r="B100" s="3596"/>
      <c r="C100" s="3596"/>
      <c r="D100" s="3613"/>
      <c r="E100" s="3596" t="s">
        <v>1429</v>
      </c>
      <c r="F100" s="3596"/>
      <c r="G100" s="3596"/>
      <c r="H100" s="3613"/>
      <c r="I100" s="129"/>
    </row>
    <row r="101" spans="1:35" ht="18.75" customHeight="1">
      <c r="A101" s="3674" t="s">
        <v>1430</v>
      </c>
      <c r="B101" s="3675"/>
      <c r="C101" s="2582" t="str">
        <f>C4</f>
        <v>成本法 (元)</v>
      </c>
      <c r="D101" s="2583" t="str">
        <f>D4</f>
        <v>比较法-仓储 (1)</v>
      </c>
      <c r="E101" s="3688" t="s">
        <v>1431</v>
      </c>
      <c r="F101" s="3645"/>
      <c r="G101" s="1825" t="s">
        <v>1432</v>
      </c>
      <c r="H101" s="2592" t="e">
        <f ca="1">H118</f>
        <v>#REF!</v>
      </c>
      <c r="I101" s="129"/>
    </row>
    <row r="102" spans="1:35" ht="18.75" customHeight="1">
      <c r="A102" s="3647" t="s">
        <v>1433</v>
      </c>
      <c r="B102" s="2581" t="s">
        <v>1432</v>
      </c>
      <c r="C102" s="2582">
        <f ca="1">IF(D32="楼面单价",ROUND(C19,0),C19)</f>
        <v>5.7397999999999998</v>
      </c>
      <c r="D102" s="2583">
        <f ca="1">IF(D32="楼面单价",ROUND(D19,0),D19)</f>
        <v>1.0599000000000001</v>
      </c>
      <c r="E102" s="3688"/>
      <c r="F102" s="3645"/>
      <c r="G102" s="1825" t="s">
        <v>1434</v>
      </c>
      <c r="H102" s="2552" t="e">
        <f ca="1">I118</f>
        <v>#REF!</v>
      </c>
      <c r="I102" s="129"/>
    </row>
    <row r="103" spans="1:35" ht="42.75" customHeight="1">
      <c r="A103" s="3647"/>
      <c r="B103" s="2581" t="s">
        <v>1434</v>
      </c>
      <c r="C103" s="2584">
        <f ca="1">C20</f>
        <v>5562</v>
      </c>
      <c r="D103" s="2585">
        <f ca="1">D20</f>
        <v>1027</v>
      </c>
      <c r="E103" s="3682" t="s">
        <v>1435</v>
      </c>
      <c r="F103" s="3683"/>
      <c r="G103" s="1826" t="s">
        <v>1436</v>
      </c>
      <c r="H103" s="2592">
        <f>IF(D36="正常操作",H104+H105+H106,H105+H106)</f>
        <v>0</v>
      </c>
      <c r="I103" s="129"/>
    </row>
    <row r="104" spans="1:35" ht="18.75" customHeight="1">
      <c r="A104" s="3647" t="s">
        <v>1437</v>
      </c>
      <c r="B104" s="2586" t="s">
        <v>1432</v>
      </c>
      <c r="C104" s="2587" t="e">
        <f ca="1">H118</f>
        <v>#REF!</v>
      </c>
      <c r="D104" s="2588"/>
      <c r="E104" s="1672" t="s">
        <v>1438</v>
      </c>
      <c r="F104" s="1664"/>
      <c r="G104" s="1826" t="s">
        <v>1436</v>
      </c>
      <c r="H104" s="2593">
        <f>IF(D36="同一抵押权人同一抵押物续贷",C36&amp;"（续贷，未扣减，详见特别提示）",C36)</f>
        <v>0</v>
      </c>
      <c r="I104" s="129"/>
    </row>
    <row r="105" spans="1:35" ht="18.75" customHeight="1" thickBot="1">
      <c r="A105" s="3648"/>
      <c r="B105" s="2589" t="s">
        <v>1434</v>
      </c>
      <c r="C105" s="2590" t="e">
        <f ca="1">I118</f>
        <v>#REF!</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44" t="str">
        <f>IF(项目基本情况!E8="已注销","——","3.房地产抵押价值")</f>
        <v>3.房地产抵押价值</v>
      </c>
      <c r="F107" s="3645"/>
      <c r="G107" s="1825" t="s">
        <v>1432</v>
      </c>
      <c r="H107" s="2592" t="e">
        <f ca="1">IF(E107="——","——",H101-H103)</f>
        <v>#REF!</v>
      </c>
      <c r="I107" s="129"/>
    </row>
    <row r="108" spans="1:35" ht="18.75" customHeight="1">
      <c r="A108" s="129"/>
      <c r="B108" s="129"/>
      <c r="C108" s="129"/>
      <c r="D108" s="129"/>
      <c r="E108" s="3644"/>
      <c r="F108" s="3645"/>
      <c r="G108" s="1825" t="s">
        <v>1434</v>
      </c>
      <c r="H108" s="2552">
        <f ca="1">IF(H107=H101,H102,ROUND(H107*10000/'数据-汇总表'!E3,0))</f>
        <v>0</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45"/>
      <c r="G109" s="1825" t="s">
        <v>1432</v>
      </c>
      <c r="H109" s="2595" t="str">
        <f>IF(E109="——","——",H101-H105-H106)</f>
        <v>——</v>
      </c>
      <c r="I109" s="129"/>
    </row>
    <row r="110" spans="1:35" ht="18.75" customHeight="1">
      <c r="A110" s="129"/>
      <c r="B110" s="129"/>
      <c r="C110" s="129"/>
      <c r="D110" s="129"/>
      <c r="E110" s="3644"/>
      <c r="F110" s="3645"/>
      <c r="G110" s="1825" t="s">
        <v>1434</v>
      </c>
      <c r="H110" s="2552" t="str">
        <f>IF(H109="——","——",ROUND(H109*10000/'数据-汇总表'!E3,0))</f>
        <v>——</v>
      </c>
      <c r="I110" s="129"/>
    </row>
    <row r="111" spans="1:35" ht="18.75" customHeight="1">
      <c r="A111" s="129"/>
      <c r="B111" s="129"/>
      <c r="C111" s="129"/>
      <c r="D111" s="129"/>
      <c r="E111" s="3676" t="str">
        <f>IF(项目基本情况!E9="抵押净值",IF(OR(项目基本情况!E8="已注销",项目基本情况!E8="房地产抵押价值"),"4.抵押净值","5.抵押净值"),"——")</f>
        <v>——</v>
      </c>
      <c r="F111" s="3646"/>
      <c r="G111" s="1825" t="s">
        <v>1432</v>
      </c>
      <c r="H111" s="2592" t="str">
        <f>IF(E111="——","——",N59)</f>
        <v>——</v>
      </c>
      <c r="I111" s="129"/>
    </row>
    <row r="112" spans="1:35" ht="18.75" customHeight="1" thickBot="1">
      <c r="A112" s="129"/>
      <c r="B112" s="129"/>
      <c r="C112" s="129"/>
      <c r="D112" s="129"/>
      <c r="E112" s="3677"/>
      <c r="F112" s="3678"/>
      <c r="G112" s="1828" t="s">
        <v>1434</v>
      </c>
      <c r="H112" s="2596" t="str">
        <f>IF(E111="——","——",N61)</f>
        <v>——</v>
      </c>
      <c r="I112" s="129"/>
    </row>
    <row r="113" spans="1:27" ht="18.75" customHeight="1">
      <c r="A113" s="129"/>
      <c r="B113" s="129"/>
      <c r="C113" s="129"/>
      <c r="D113" s="129"/>
      <c r="E113" s="3649" t="s">
        <v>1440</v>
      </c>
      <c r="F113" s="3649"/>
      <c r="G113" s="3649"/>
      <c r="H113" s="3649"/>
      <c r="I113" s="129"/>
    </row>
    <row r="114" spans="1:27" ht="3.75" customHeight="1">
      <c r="A114" s="1745"/>
      <c r="B114" s="1745"/>
      <c r="C114" s="1745"/>
      <c r="D114" s="1745"/>
      <c r="E114" s="1807"/>
      <c r="F114" s="1807"/>
      <c r="G114" s="1807"/>
      <c r="H114" s="1807"/>
      <c r="I114" s="1745"/>
    </row>
    <row r="115" spans="1:27" ht="18.75" customHeight="1">
      <c r="A115" s="3659" t="s">
        <v>1442</v>
      </c>
      <c r="B115" s="3660"/>
      <c r="C115" s="3660"/>
      <c r="D115" s="3660"/>
      <c r="E115" s="3660"/>
      <c r="F115" s="3660"/>
      <c r="G115" s="3660"/>
      <c r="H115" s="3660"/>
      <c r="I115" s="3661"/>
    </row>
    <row r="116" spans="1:27" ht="27" customHeight="1">
      <c r="A116" s="3615" t="s">
        <v>1443</v>
      </c>
      <c r="B116" s="3650" t="s">
        <v>1444</v>
      </c>
      <c r="C116" s="3650" t="s">
        <v>1445</v>
      </c>
      <c r="D116" s="3663" t="s">
        <v>1446</v>
      </c>
      <c r="E116" s="3664"/>
      <c r="F116" s="3658" t="s">
        <v>1447</v>
      </c>
      <c r="G116" s="3658"/>
      <c r="H116" s="3615" t="s">
        <v>1448</v>
      </c>
      <c r="I116" s="3615"/>
    </row>
    <row r="117" spans="1:27" ht="18.75" customHeight="1">
      <c r="A117" s="3615"/>
      <c r="B117" s="3651"/>
      <c r="C117" s="3651"/>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10.32</v>
      </c>
      <c r="C118" s="2326" t="e">
        <f>M19</f>
        <v>#DIV/0!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15" t="s">
        <v>1452</v>
      </c>
      <c r="B119" s="3615"/>
      <c r="C119" s="3615"/>
      <c r="D119" s="3655" t="e">
        <f ca="1">NUMBERSTRING(INT(D118*10000),2)&amp;"元整"</f>
        <v>#REF!</v>
      </c>
      <c r="E119" s="3657"/>
      <c r="F119" s="3655" t="e">
        <f ca="1">NUMBERSTRING(INT(F118*10000),2)&amp;"元整"</f>
        <v>#REF!</v>
      </c>
      <c r="G119" s="3657"/>
      <c r="H119" s="3655" t="e">
        <f ca="1">NUMBERSTRING(INT(H118*10000),2)&amp;"元整"</f>
        <v>#REF!</v>
      </c>
      <c r="I119" s="3657"/>
    </row>
    <row r="120" spans="1:27" ht="18.75" customHeight="1">
      <c r="A120" s="3679" t="str">
        <f>IF(项目基本情况!B9="房地产市场价值","",MID(E103,3,LEN(E103)-2))</f>
        <v/>
      </c>
      <c r="B120" s="3680"/>
      <c r="C120" s="3681"/>
      <c r="D120" s="3679">
        <f>H103</f>
        <v>0</v>
      </c>
      <c r="E120" s="3680"/>
      <c r="F120" s="3680"/>
      <c r="G120" s="3680"/>
      <c r="H120" s="3680"/>
      <c r="I120" s="3681"/>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55" t="s">
        <v>1452</v>
      </c>
      <c r="B121" s="3656"/>
      <c r="C121" s="3657"/>
      <c r="D121" s="3655" t="str">
        <f>IF(D120=0,"零元整",NUMBERSTRING(INT(D120*10000),2)&amp;"元整")</f>
        <v>零元整</v>
      </c>
      <c r="E121" s="3656"/>
      <c r="F121" s="3656"/>
      <c r="G121" s="3656"/>
      <c r="H121" s="3656"/>
      <c r="I121" s="3657"/>
      <c r="AA121" s="724"/>
    </row>
    <row r="122" spans="1:27" ht="18.75" customHeight="1">
      <c r="A122" s="3646" t="str">
        <f>IF(项目基本情况!B9="房地产市场价值","",MID(E107,3,LEN(E107)-2))</f>
        <v/>
      </c>
      <c r="B122" s="3646"/>
      <c r="C122" s="3646"/>
      <c r="D122" s="3679" t="e">
        <f ca="1">H107</f>
        <v>#REF!</v>
      </c>
      <c r="E122" s="3680"/>
      <c r="F122" s="3680"/>
      <c r="G122" s="3680"/>
      <c r="H122" s="3680"/>
      <c r="I122" s="3681"/>
      <c r="AA122" s="724"/>
    </row>
    <row r="123" spans="1:27" ht="18.75" customHeight="1">
      <c r="A123" s="3615" t="s">
        <v>1452</v>
      </c>
      <c r="B123" s="3615"/>
      <c r="C123" s="3615"/>
      <c r="D123" s="3655" t="e">
        <f ca="1">NUMBERSTRING(INT(D122*10000),2)&amp;"元整"</f>
        <v>#REF!</v>
      </c>
      <c r="E123" s="3656"/>
      <c r="F123" s="3656"/>
      <c r="G123" s="3656"/>
      <c r="H123" s="3656"/>
      <c r="I123" s="3657"/>
      <c r="AA123" s="724"/>
    </row>
    <row r="124" spans="1:27" ht="18.75" customHeight="1">
      <c r="A124" s="3646" t="str">
        <f>IF(项目基本情况!B9="房地产市场价值","",MID(E109,3,LEN(E109)-2))</f>
        <v/>
      </c>
      <c r="B124" s="3646"/>
      <c r="C124" s="3646"/>
      <c r="D124" s="3679" t="str">
        <f>H109</f>
        <v>——</v>
      </c>
      <c r="E124" s="3680"/>
      <c r="F124" s="3680"/>
      <c r="G124" s="3680"/>
      <c r="H124" s="3680"/>
      <c r="I124" s="3681"/>
      <c r="AA124" s="724"/>
    </row>
    <row r="125" spans="1:27" ht="18.75" customHeight="1">
      <c r="A125" s="3615" t="s">
        <v>1452</v>
      </c>
      <c r="B125" s="3615"/>
      <c r="C125" s="3615"/>
      <c r="D125" s="3655" t="e">
        <f>NUMBERSTRING(INT(D124*10000),2)&amp;"元整"</f>
        <v>#VALUE!</v>
      </c>
      <c r="E125" s="3656"/>
      <c r="F125" s="3656"/>
      <c r="G125" s="3656"/>
      <c r="H125" s="3656"/>
      <c r="I125" s="3657"/>
      <c r="AA125" s="724"/>
    </row>
    <row r="126" spans="1:27" ht="18.75" customHeight="1">
      <c r="A126" s="3646" t="str">
        <f>IF(项目基本情况!B9="房地产市场价值","",MID(E111,3,LEN(E111)-2))</f>
        <v/>
      </c>
      <c r="B126" s="3646"/>
      <c r="C126" s="3646"/>
      <c r="D126" s="3679" t="str">
        <f>H111</f>
        <v>——</v>
      </c>
      <c r="E126" s="3680"/>
      <c r="F126" s="3680"/>
      <c r="G126" s="3680"/>
      <c r="H126" s="3680"/>
      <c r="I126" s="3681"/>
      <c r="AA126" s="724"/>
    </row>
    <row r="127" spans="1:27" ht="18.75" customHeight="1">
      <c r="A127" s="3615" t="s">
        <v>1452</v>
      </c>
      <c r="B127" s="3615"/>
      <c r="C127" s="3615"/>
      <c r="D127" s="3655" t="e">
        <f>NUMBERSTRING(INT(D126*10000),2)&amp;"元整"</f>
        <v>#VALUE!</v>
      </c>
      <c r="E127" s="3656"/>
      <c r="F127" s="3656"/>
      <c r="G127" s="3656"/>
      <c r="H127" s="3656"/>
      <c r="I127" s="3657"/>
      <c r="AA127" s="724"/>
    </row>
    <row r="128" spans="1:27" ht="21.75" customHeight="1">
      <c r="A128" s="3662" t="s">
        <v>1453</v>
      </c>
      <c r="B128" s="3662"/>
      <c r="C128" s="3662"/>
      <c r="D128" s="3662"/>
      <c r="E128" s="3662"/>
      <c r="F128" s="3662"/>
      <c r="G128" s="3662"/>
      <c r="H128" s="3662"/>
      <c r="I128" s="3662"/>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8"/>
      <c r="C1" s="197"/>
      <c r="D1" s="197"/>
      <c r="E1" s="197"/>
      <c r="F1" s="197"/>
      <c r="G1" s="1124">
        <f>MATCH(B1,'数据-取费表'!A6:A16,0)+5</f>
        <v>7</v>
      </c>
    </row>
    <row r="2" spans="1:9" s="199" customFormat="1" ht="18" customHeight="1">
      <c r="A2" s="200" t="s">
        <v>1462</v>
      </c>
      <c r="B2" s="201">
        <f ca="1">IF(D2="——",C52,C52-E2)</f>
        <v>3</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2907</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0</v>
      </c>
      <c r="D8" s="221"/>
      <c r="E8" s="219"/>
      <c r="F8" s="220"/>
      <c r="G8" s="1854"/>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5"/>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10.32</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0</v>
      </c>
      <c r="D19" s="847">
        <f ca="1">D9+D10</f>
        <v>10.32</v>
      </c>
      <c r="E19" s="210">
        <f>'数据-取费表'!B31</f>
        <v>200</v>
      </c>
      <c r="F19" s="230"/>
      <c r="G19" s="1854"/>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2">
        <f ca="1">ROUND(SUM(C23:C25),0)</f>
        <v>0</v>
      </c>
      <c r="D22" s="234">
        <f ca="1">C26</f>
        <v>8.9999999999999998E-4</v>
      </c>
      <c r="E22" s="235" t="s">
        <v>1498</v>
      </c>
      <c r="F22" s="236">
        <f ca="1">'数据-取费表'!B40</f>
        <v>0.03</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0</v>
      </c>
      <c r="D25" s="237"/>
      <c r="E25" s="240"/>
      <c r="F25" s="238"/>
      <c r="G25" s="241" t="s">
        <v>1510</v>
      </c>
    </row>
    <row r="26" spans="1:7" s="213" customFormat="1">
      <c r="A26" s="778" t="s">
        <v>350</v>
      </c>
      <c r="B26" s="214" t="s">
        <v>1511</v>
      </c>
      <c r="C26" s="237">
        <f ca="1">ROUND(IF('数据-取费表'!B22&lt;=1,F21*F22*'数据-取费表'!B23/2,F21*(POWER((1+F22),'数据-取费表'!B23/2)-1)),4)</f>
        <v>8.9999999999999998E-4</v>
      </c>
      <c r="D26" s="237"/>
      <c r="E26" s="240"/>
      <c r="F26" s="238"/>
      <c r="G26" s="242"/>
    </row>
    <row r="27" spans="1:7" s="213" customFormat="1" ht="26.4">
      <c r="A27" s="254" t="s">
        <v>1512</v>
      </c>
      <c r="B27" s="243" t="s">
        <v>1513</v>
      </c>
      <c r="C27" s="244">
        <f ca="1">C28</f>
        <v>0</v>
      </c>
      <c r="D27" s="234">
        <f ca="1">C29</f>
        <v>2.3999999999999998E-3</v>
      </c>
      <c r="E27" s="235" t="s">
        <v>1514</v>
      </c>
      <c r="F27" s="245">
        <f ca="1">IF(B1="",'数据-取费表'!Q16,INDIRECT("'数据-取费表'!q"&amp;$G$1))</f>
        <v>0.08</v>
      </c>
      <c r="G27" s="246" t="s">
        <v>1515</v>
      </c>
    </row>
    <row r="28" spans="1:7" s="213" customFormat="1" ht="13.5" customHeight="1">
      <c r="A28" s="778" t="s">
        <v>346</v>
      </c>
      <c r="B28" s="247" t="s">
        <v>1516</v>
      </c>
      <c r="C28" s="248">
        <f ca="1">ROUND((C5+C19+C20)*F27*'数据-取费表'!B21/'数据-取费表'!B20,0)</f>
        <v>0</v>
      </c>
      <c r="D28" s="234"/>
      <c r="E28" s="235"/>
      <c r="F28" s="245"/>
      <c r="G28" s="246"/>
    </row>
    <row r="29" spans="1:7" s="213" customFormat="1" ht="13.5" customHeight="1">
      <c r="A29" s="778" t="s">
        <v>347</v>
      </c>
      <c r="B29" s="247" t="s">
        <v>1517</v>
      </c>
      <c r="C29" s="237">
        <f ca="1">ROUND(C21*F27*'数据-取费表'!B21/'数据-取费表'!B20,4)</f>
        <v>2.3999999999999998E-3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0</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v>
      </c>
      <c r="D34" s="216"/>
      <c r="E34" s="219"/>
      <c r="F34" s="256">
        <f ca="1">IF('数据-取费表'!B24=0,1,IF(B1="",'数据-取费表'!N16,INDIRECT("'数据-取费表'!n"&amp;$G$1)))</f>
        <v>1</v>
      </c>
      <c r="G34" s="218" t="s">
        <v>1526</v>
      </c>
    </row>
    <row r="35" spans="1:7" ht="13.5" customHeight="1">
      <c r="A35" s="778" t="s">
        <v>351</v>
      </c>
      <c r="B35" s="214" t="s">
        <v>1527</v>
      </c>
      <c r="C35" s="219">
        <f ca="1">ROUND(C34*F35,0)</f>
        <v>0</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0.05</v>
      </c>
      <c r="G36" s="259" t="s">
        <v>1530</v>
      </c>
    </row>
    <row r="37" spans="1:7" s="257" customFormat="1" ht="13.5" customHeight="1">
      <c r="A37" s="778" t="s">
        <v>353</v>
      </c>
      <c r="B37" s="214" t="s">
        <v>1531</v>
      </c>
      <c r="C37" s="248">
        <f ca="1">ROUND(E37*D37*F34/10000,0)</f>
        <v>0</v>
      </c>
      <c r="D37" s="216">
        <f ca="1">D19</f>
        <v>10.32</v>
      </c>
      <c r="E37" s="248">
        <f>'数据-取费表'!B35</f>
        <v>200</v>
      </c>
      <c r="F37" s="258"/>
      <c r="G37" s="260" t="s">
        <v>1532</v>
      </c>
    </row>
    <row r="38" spans="1:7" ht="13.5" customHeight="1">
      <c r="A38" s="778" t="s">
        <v>354</v>
      </c>
      <c r="B38" s="214" t="s">
        <v>1533</v>
      </c>
      <c r="C38" s="219">
        <f ca="1">ROUND(C34*F38,0)</f>
        <v>0</v>
      </c>
      <c r="D38" s="219"/>
      <c r="E38" s="219"/>
      <c r="F38" s="258">
        <f>'数据-取费表'!B36</f>
        <v>0.02</v>
      </c>
      <c r="G38" s="218" t="s">
        <v>1528</v>
      </c>
    </row>
    <row r="39" spans="1:7" s="213" customFormat="1" ht="13.5" customHeight="1">
      <c r="A39" s="254" t="s">
        <v>1534</v>
      </c>
      <c r="B39" s="209" t="s">
        <v>1535</v>
      </c>
      <c r="C39" s="231">
        <f ca="1">ROUND(C33*F20,0)</f>
        <v>0</v>
      </c>
      <c r="D39" s="231"/>
      <c r="E39" s="231"/>
      <c r="F39" s="232">
        <f>F20</f>
        <v>0.02</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0</v>
      </c>
      <c r="D41" s="234">
        <f ca="1">C44</f>
        <v>8.9999999999999998E-4</v>
      </c>
      <c r="E41" s="235" t="s">
        <v>1539</v>
      </c>
      <c r="F41" s="236">
        <f ca="1">F22</f>
        <v>0.03</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0</v>
      </c>
      <c r="D42" s="237"/>
      <c r="E42" s="237"/>
      <c r="F42" s="238"/>
      <c r="G42" s="3695" t="s">
        <v>1544</v>
      </c>
    </row>
    <row r="43" spans="1:7" ht="13.5" customHeight="1">
      <c r="A43" s="778" t="s">
        <v>347</v>
      </c>
      <c r="B43" s="214" t="s">
        <v>1545</v>
      </c>
      <c r="C43" s="237">
        <f ca="1">ROUND(IF('数据-取费表'!B22&lt;=1,C39*F22*'数据-取费表'!B21/2,C39*(POWER((1+F22),'数据-取费表'!B21/2)-1)),0)</f>
        <v>0</v>
      </c>
      <c r="D43" s="237"/>
      <c r="E43" s="237"/>
      <c r="F43" s="238"/>
      <c r="G43" s="3696"/>
    </row>
    <row r="44" spans="1:7" ht="13.5" customHeight="1">
      <c r="A44" s="778" t="s">
        <v>348</v>
      </c>
      <c r="B44" s="214" t="s">
        <v>1546</v>
      </c>
      <c r="C44" s="237">
        <f ca="1">ROUND(IF('数据-取费表'!B22&lt;=1,C40*F22*'数据-取费表'!B21/2,C40*(POWER((1+F22),'数据-取费表'!B21/2)-1)),4)</f>
        <v>8.9999999999999998E-4</v>
      </c>
      <c r="D44" s="237"/>
      <c r="E44" s="237"/>
      <c r="F44" s="238"/>
      <c r="G44" s="3697"/>
    </row>
    <row r="45" spans="1:7" s="213" customFormat="1" ht="13.5" customHeight="1">
      <c r="A45" s="254" t="s">
        <v>1547</v>
      </c>
      <c r="B45" s="243" t="s">
        <v>1513</v>
      </c>
      <c r="C45" s="244">
        <f ca="1">C46</f>
        <v>0</v>
      </c>
      <c r="D45" s="234">
        <f ca="1">C47</f>
        <v>2.3999999999999998E-3</v>
      </c>
      <c r="E45" s="235" t="s">
        <v>1539</v>
      </c>
      <c r="F45" s="245">
        <f ca="1">F27</f>
        <v>0.08</v>
      </c>
      <c r="G45" s="246" t="s">
        <v>1548</v>
      </c>
    </row>
    <row r="46" spans="1:7" s="213" customFormat="1" ht="13.5" customHeight="1">
      <c r="A46" s="778" t="s">
        <v>346</v>
      </c>
      <c r="B46" s="247" t="s">
        <v>1549</v>
      </c>
      <c r="C46" s="248">
        <f ca="1">ROUND((C33+C39)*F27,0)</f>
        <v>0</v>
      </c>
      <c r="D46" s="262"/>
      <c r="E46" s="235"/>
      <c r="F46" s="245"/>
      <c r="G46" s="246"/>
    </row>
    <row r="47" spans="1:7" s="213" customFormat="1" ht="13.5" customHeight="1">
      <c r="A47" s="778" t="s">
        <v>347</v>
      </c>
      <c r="B47" s="247" t="s">
        <v>1550</v>
      </c>
      <c r="C47" s="237">
        <f ca="1">ROUND(C40*F27,4)</f>
        <v>2.3999999999999998E-3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3</v>
      </c>
      <c r="D51" s="231"/>
      <c r="E51" s="231"/>
      <c r="F51" s="263"/>
      <c r="G51" s="233" t="s">
        <v>1560</v>
      </c>
    </row>
    <row r="52" spans="1:7" s="207" customFormat="1" ht="16.8" thickBot="1">
      <c r="A52" s="264" t="s">
        <v>1561</v>
      </c>
      <c r="B52" s="265"/>
      <c r="C52" s="266">
        <f ca="1">C31+C51</f>
        <v>3</v>
      </c>
      <c r="D52" s="265"/>
      <c r="E52" s="265"/>
      <c r="F52" s="265"/>
      <c r="G52" s="267"/>
    </row>
    <row r="55" spans="1:7" ht="15">
      <c r="B55" s="269" t="s">
        <v>1562</v>
      </c>
      <c r="C55" s="270"/>
    </row>
    <row r="56" spans="1:7">
      <c r="B56" s="272" t="s">
        <v>802</v>
      </c>
      <c r="C56" s="274">
        <f ca="1">1-C57</f>
        <v>0</v>
      </c>
    </row>
    <row r="57" spans="1:7">
      <c r="B57" s="272" t="s">
        <v>803</v>
      </c>
      <c r="C57" s="27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512" t="str">
        <f>项目基本情况!B1</f>
        <v>北京市房地产市场价值预评估</v>
      </c>
      <c r="C37" s="3512"/>
      <c r="D37" s="3512"/>
      <c r="E37" s="3512"/>
      <c r="F37" s="3512"/>
      <c r="G37" s="3512"/>
      <c r="H37" s="3512"/>
      <c r="I37" s="3512"/>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B76" sqref="B76"/>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5" t="s">
        <v>1926</v>
      </c>
      <c r="B1" s="196"/>
      <c r="C1" s="200" t="s">
        <v>1927</v>
      </c>
      <c r="D1" s="341">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0" t="s">
        <v>1934</v>
      </c>
      <c r="B2" s="203">
        <f>C30</f>
        <v>1</v>
      </c>
      <c r="C2" s="1997" t="s">
        <v>1935</v>
      </c>
      <c r="D2" s="1998" t="s">
        <v>1936</v>
      </c>
      <c r="E2" s="3413" t="s">
        <v>3402</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Ⅹ-平1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2">
        <f>ROUND(SUMPRODUCT((B106:B110=R2)*(C105:N105=G2)*(C106:N110)),4)</f>
        <v>1.5418000000000001</v>
      </c>
      <c r="T2" s="3352">
        <f t="shared" ref="T2:T16" si="0">ROUND($C$5*$C$22*$C$23*$C$24*S2*$C$28,0)</f>
        <v>6106</v>
      </c>
      <c r="U2" s="1211"/>
      <c r="V2" s="3352">
        <f>ROUND(T2*U2/10000,0)</f>
        <v>0</v>
      </c>
      <c r="W2" s="1214"/>
      <c r="X2" s="1214"/>
      <c r="Y2" s="1214"/>
      <c r="Z2" s="1214"/>
      <c r="AA2" s="1214"/>
      <c r="AB2" s="1214"/>
      <c r="AC2" s="1215"/>
      <c r="AD2" s="1216"/>
      <c r="AE2" s="1216"/>
      <c r="AF2" s="1216"/>
      <c r="AG2" s="1216"/>
      <c r="AH2" s="1216"/>
      <c r="AI2" s="1216"/>
      <c r="AJ2" s="1217"/>
    </row>
    <row r="3" spans="1:36" ht="15.6">
      <c r="A3" s="202" t="s">
        <v>1940</v>
      </c>
      <c r="B3" s="203" t="e">
        <f>ROUND(B2*10000/D1,0)</f>
        <v>#DIV/0!</v>
      </c>
      <c r="C3" s="1997" t="s">
        <v>1941</v>
      </c>
      <c r="D3" s="1998" t="s">
        <v>1942</v>
      </c>
      <c r="E3" s="3411" t="s">
        <v>3409</v>
      </c>
      <c r="F3" s="2002" t="s">
        <v>3410</v>
      </c>
      <c r="G3" s="751">
        <f>IF(F3="宗地容积率",'数据-汇总表'!I4,IF(F3="估价对象容积率",'数据-汇总表'!I6,'数据-汇总表'!I7))</f>
        <v>1.5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2">
        <f>ROUND(SUMPRODUCT((B106:B110=R3)*(C105:N105=G2)*(C106:N110)),4)</f>
        <v>1.1883999999999999</v>
      </c>
      <c r="T3" s="3352">
        <f t="shared" si="0"/>
        <v>4707</v>
      </c>
      <c r="U3" s="1211"/>
      <c r="V3" s="3352">
        <f t="shared" ref="V3:V16" si="1">ROUND(T3*U3/10000,0)</f>
        <v>0</v>
      </c>
      <c r="W3" s="1214"/>
      <c r="X3" s="1214"/>
      <c r="Y3" s="1214"/>
      <c r="Z3" s="1214"/>
      <c r="AA3" s="1214"/>
      <c r="AB3" s="1214"/>
      <c r="AC3" s="1215"/>
      <c r="AD3" s="1216"/>
      <c r="AE3" s="1216"/>
      <c r="AF3" s="1216"/>
      <c r="AG3" s="1216"/>
      <c r="AH3" s="1216"/>
      <c r="AI3" s="1216"/>
      <c r="AJ3" s="1217"/>
    </row>
    <row r="4" spans="1:36" ht="15.6">
      <c r="A4" s="3705"/>
      <c r="B4" s="3706"/>
      <c r="C4" s="3706"/>
      <c r="D4" s="3707"/>
      <c r="E4" s="3707"/>
      <c r="F4" s="3707"/>
      <c r="G4" s="3707"/>
      <c r="H4" s="3707"/>
      <c r="I4" s="3707"/>
      <c r="J4" s="370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2">
        <f>ROUND(SUMPRODUCT((B106:B110=R4)*(C105:N105=G2)*(C106:N110)),4)</f>
        <v>0.96940000000000004</v>
      </c>
      <c r="T4" s="3352">
        <f t="shared" si="0"/>
        <v>3839</v>
      </c>
      <c r="U4" s="1211"/>
      <c r="V4" s="3352">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2">
        <f>ROUND(IF(E2="商业",C6*C7*C17+C20,(IF(E2="住宅",C6*C13*C17+C20,IF(E2="办公",C6*C12*C17+C20,C6+C20)))),0)</f>
        <v>3987</v>
      </c>
      <c r="D5" s="1337">
        <f>ROUND(C6*C17+C20,0)</f>
        <v>3987</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2">
        <f>ROUND(SUMPRODUCT((B106:B110=R5)*(C105:N105=G2)*(C106:N110)),4)</f>
        <v>0.82299999999999995</v>
      </c>
      <c r="T5" s="3352">
        <f t="shared" si="0"/>
        <v>3259</v>
      </c>
      <c r="U5" s="1211"/>
      <c r="V5" s="3352">
        <f t="shared" si="1"/>
        <v>0</v>
      </c>
      <c r="W5" s="1214"/>
      <c r="X5" s="1214"/>
      <c r="Y5" s="1214"/>
      <c r="Z5" s="1214"/>
      <c r="AA5" s="1214"/>
      <c r="AB5" s="1214"/>
      <c r="AC5" s="2009"/>
      <c r="AD5" s="2010"/>
      <c r="AE5" s="2010"/>
      <c r="AF5" s="2010"/>
      <c r="AG5" s="2010"/>
      <c r="AH5" s="2010"/>
      <c r="AI5" s="2010"/>
      <c r="AJ5" s="2011"/>
    </row>
    <row r="6" spans="1:36" ht="15.6" thickBot="1">
      <c r="A6" s="2013" t="s">
        <v>1949</v>
      </c>
      <c r="B6" s="2014" t="s">
        <v>1950</v>
      </c>
      <c r="C6" s="753">
        <f>SUMIF(L1:L12,G2,M1:M12)</f>
        <v>3940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2">
        <f>ROUND(SUMPRODUCT((B106:B110=R6)*(C105:N105=G2)*(C106:N110)),4)</f>
        <v>0.74980000000000002</v>
      </c>
      <c r="T6" s="3352">
        <f t="shared" si="0"/>
        <v>2970</v>
      </c>
      <c r="U6" s="1211"/>
      <c r="V6" s="3352">
        <f t="shared" si="1"/>
        <v>0</v>
      </c>
      <c r="W6" s="1214"/>
      <c r="X6" s="1214"/>
      <c r="Y6" s="1214"/>
      <c r="Z6" s="1214"/>
      <c r="AA6" s="1214"/>
      <c r="AB6" s="1214"/>
      <c r="AC6" s="2009"/>
      <c r="AD6" s="2010"/>
      <c r="AE6" s="2010"/>
      <c r="AF6" s="2010"/>
      <c r="AG6" s="2010"/>
      <c r="AH6" s="2010"/>
      <c r="AI6" s="2010"/>
      <c r="AJ6" s="2011"/>
    </row>
    <row r="7" spans="1:36" ht="24.6" thickBot="1">
      <c r="A7" s="3295" t="s">
        <v>3234</v>
      </c>
      <c r="B7" s="2019" t="s">
        <v>1952</v>
      </c>
      <c r="C7" s="754">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0"/>
      <c r="T7" s="3352">
        <f t="shared" si="0"/>
        <v>0</v>
      </c>
      <c r="U7" s="1211"/>
      <c r="V7" s="3352">
        <f t="shared" si="1"/>
        <v>0</v>
      </c>
      <c r="W7" s="1356" t="s">
        <v>1955</v>
      </c>
      <c r="X7" s="1212" t="str">
        <f>G2</f>
        <v>十级</v>
      </c>
      <c r="Y7" s="1212" t="s">
        <v>1956</v>
      </c>
      <c r="Z7" s="1213">
        <f>G3</f>
        <v>1.5</v>
      </c>
      <c r="AA7" s="1214"/>
      <c r="AB7" s="1214"/>
      <c r="AC7" s="1215"/>
      <c r="AD7" s="1216"/>
      <c r="AE7" s="1216"/>
      <c r="AF7" s="1216"/>
      <c r="AG7" s="1216"/>
      <c r="AH7" s="1216"/>
      <c r="AI7" s="1216"/>
      <c r="AJ7" s="1217"/>
    </row>
    <row r="8" spans="1:36" ht="26.4">
      <c r="A8" s="3290"/>
      <c r="B8" s="170" t="s">
        <v>1957</v>
      </c>
      <c r="C8" s="2024" t="s">
        <v>3419</v>
      </c>
      <c r="D8" s="755" t="s">
        <v>112</v>
      </c>
      <c r="E8" s="756"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2">
        <f t="shared" si="0"/>
        <v>0</v>
      </c>
      <c r="U8" s="1211"/>
      <c r="V8" s="3352">
        <f t="shared" si="1"/>
        <v>0</v>
      </c>
      <c r="W8" s="3702" t="s">
        <v>1960</v>
      </c>
      <c r="X8" s="370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0"/>
      <c r="B9" s="170" t="s">
        <v>1973</v>
      </c>
      <c r="C9" s="757">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2">
        <f t="shared" si="0"/>
        <v>0</v>
      </c>
      <c r="U9" s="1211"/>
      <c r="V9" s="3352">
        <f t="shared" si="1"/>
        <v>0</v>
      </c>
      <c r="W9" s="3704"/>
      <c r="X9" s="3353" t="s">
        <v>3264</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3940</v>
      </c>
      <c r="N10" s="864">
        <f>SUMPRODUCT((因素修正幅度!B327:B357=I2)*(因素修正幅度!C3:G3=E2)*(因素修正幅度!C327:G357))</f>
        <v>0.15</v>
      </c>
      <c r="O10" s="1117"/>
      <c r="P10" s="1117"/>
      <c r="Q10" s="1117"/>
      <c r="R10" s="1210">
        <v>9</v>
      </c>
      <c r="S10" s="1211"/>
      <c r="T10" s="3352">
        <f t="shared" si="0"/>
        <v>0</v>
      </c>
      <c r="U10" s="1211"/>
      <c r="V10" s="3352">
        <f t="shared" si="1"/>
        <v>0</v>
      </c>
      <c r="W10" s="3704"/>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6" thickBot="1">
      <c r="A11" s="3294"/>
      <c r="B11" s="2028" t="s">
        <v>1979</v>
      </c>
      <c r="C11" s="758">
        <f>C10/4</f>
        <v>0</v>
      </c>
      <c r="D11" s="758" t="s">
        <v>115</v>
      </c>
      <c r="E11" s="758"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2">
        <f t="shared" si="0"/>
        <v>0</v>
      </c>
      <c r="U11" s="1211"/>
      <c r="V11" s="3352">
        <f t="shared" si="1"/>
        <v>0</v>
      </c>
      <c r="W11" s="1214"/>
      <c r="X11" s="1214"/>
      <c r="Y11" s="1214"/>
      <c r="Z11" s="1214"/>
      <c r="AA11" s="1214"/>
      <c r="AB11" s="1214"/>
      <c r="AC11" s="1215"/>
      <c r="AD11" s="2786"/>
      <c r="AE11" s="2786"/>
      <c r="AF11" s="2786"/>
      <c r="AG11" s="2786"/>
      <c r="AH11" s="2786"/>
      <c r="AI11" s="2786"/>
      <c r="AJ11" s="2787"/>
    </row>
    <row r="12" spans="1:36" ht="25.8" thickBot="1">
      <c r="A12" s="3295" t="s">
        <v>3235</v>
      </c>
      <c r="B12" s="3296" t="s">
        <v>3236</v>
      </c>
      <c r="C12" s="3297">
        <v>1</v>
      </c>
      <c r="D12" s="3298" t="s">
        <v>3237</v>
      </c>
      <c r="E12" s="3299" t="s">
        <v>3238</v>
      </c>
      <c r="F12" s="3300"/>
      <c r="G12" s="3301"/>
      <c r="H12" s="3301"/>
      <c r="I12" s="3301"/>
      <c r="J12" s="3302"/>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2">
        <f t="shared" si="0"/>
        <v>0</v>
      </c>
      <c r="U12" s="1211"/>
      <c r="V12" s="3352">
        <f t="shared" si="1"/>
        <v>0</v>
      </c>
      <c r="W12" s="1214"/>
      <c r="X12" s="1214"/>
      <c r="Y12" s="1214"/>
      <c r="Z12" s="1214"/>
      <c r="AA12" s="1214"/>
      <c r="AB12" s="1214"/>
      <c r="AC12" s="1215"/>
      <c r="AD12" s="2786"/>
      <c r="AE12" s="2786"/>
      <c r="AF12" s="2786"/>
      <c r="AG12" s="2786"/>
      <c r="AH12" s="2786"/>
      <c r="AI12" s="2786"/>
      <c r="AJ12" s="2787"/>
    </row>
    <row r="13" spans="1:36" ht="24.6" thickBot="1">
      <c r="A13" s="3295" t="s">
        <v>3239</v>
      </c>
      <c r="B13" s="2032" t="s">
        <v>1982</v>
      </c>
      <c r="C13" s="754">
        <f>ROUND(C16*D16*E16*F16*G16*H16*I16*J16,4)</f>
        <v>1</v>
      </c>
      <c r="D13" s="2033" t="s">
        <v>1983</v>
      </c>
      <c r="E13" s="2034"/>
      <c r="F13" s="2034"/>
      <c r="G13" s="2035"/>
      <c r="H13" s="2035"/>
      <c r="I13" s="2035"/>
      <c r="J13" s="2036"/>
      <c r="K13" s="1117"/>
      <c r="L13" s="3291"/>
      <c r="M13" s="3292"/>
      <c r="N13" s="3293"/>
      <c r="O13" s="1117"/>
      <c r="P13" s="1117"/>
      <c r="Q13" s="1117"/>
      <c r="R13" s="1210">
        <v>12</v>
      </c>
      <c r="S13" s="1211"/>
      <c r="T13" s="3352">
        <f t="shared" si="0"/>
        <v>0</v>
      </c>
      <c r="U13" s="1211"/>
      <c r="V13" s="3352">
        <f t="shared" si="1"/>
        <v>0</v>
      </c>
      <c r="W13" s="1214"/>
      <c r="X13" s="1214"/>
      <c r="Y13" s="1214"/>
      <c r="Z13" s="1214"/>
      <c r="AA13" s="1214"/>
      <c r="AB13" s="1214"/>
      <c r="AC13" s="1215"/>
      <c r="AD13" s="2786"/>
      <c r="AE13" s="2786"/>
      <c r="AF13" s="2786"/>
      <c r="AG13" s="2786"/>
      <c r="AH13" s="2786"/>
      <c r="AI13" s="2786"/>
      <c r="AJ13" s="2787"/>
    </row>
    <row r="14" spans="1:36" ht="24">
      <c r="A14" s="3289"/>
      <c r="B14" s="2038" t="s">
        <v>1985</v>
      </c>
      <c r="C14" s="2039" t="s">
        <v>1986</v>
      </c>
      <c r="D14" s="1348" t="s">
        <v>1987</v>
      </c>
      <c r="E14" s="27" t="s">
        <v>1988</v>
      </c>
      <c r="F14" s="3303" t="s">
        <v>3240</v>
      </c>
      <c r="G14" s="3303" t="s">
        <v>3240</v>
      </c>
      <c r="H14" s="3303" t="s">
        <v>3240</v>
      </c>
      <c r="I14" s="3303" t="s">
        <v>3240</v>
      </c>
      <c r="J14" s="3303" t="s">
        <v>3240</v>
      </c>
      <c r="K14" s="1117"/>
      <c r="L14" s="1117"/>
      <c r="M14" s="1117"/>
      <c r="N14" s="1117"/>
      <c r="O14" s="1117"/>
      <c r="P14" s="1117"/>
      <c r="Q14" s="1117"/>
      <c r="R14" s="1210">
        <v>13</v>
      </c>
      <c r="S14" s="1211"/>
      <c r="T14" s="3352">
        <f t="shared" si="0"/>
        <v>0</v>
      </c>
      <c r="U14" s="1211"/>
      <c r="V14" s="3352">
        <f t="shared" si="1"/>
        <v>0</v>
      </c>
      <c r="W14" s="1214"/>
      <c r="X14" s="1214"/>
      <c r="Y14" s="1214"/>
      <c r="Z14" s="1214"/>
      <c r="AA14" s="1214"/>
      <c r="AB14" s="1214"/>
      <c r="AC14" s="1215"/>
      <c r="AD14" s="2786"/>
      <c r="AE14" s="2786"/>
      <c r="AF14" s="2786"/>
      <c r="AG14" s="2786"/>
      <c r="AH14" s="2786"/>
      <c r="AI14" s="2786"/>
      <c r="AJ14" s="2787"/>
    </row>
    <row r="15" spans="1:36" ht="15">
      <c r="A15" s="3289"/>
      <c r="B15" s="2040"/>
      <c r="C15" s="2041" t="s">
        <v>3420</v>
      </c>
      <c r="D15" s="2042" t="s">
        <v>3420</v>
      </c>
      <c r="E15" s="2043" t="s">
        <v>3421</v>
      </c>
      <c r="F15" s="3304" t="s">
        <v>3241</v>
      </c>
      <c r="G15" s="3305"/>
      <c r="H15" s="3306"/>
      <c r="I15" s="3307"/>
      <c r="J15" s="3308"/>
      <c r="K15" s="1117"/>
      <c r="L15" s="1117"/>
      <c r="M15" s="1117"/>
      <c r="N15" s="1117"/>
      <c r="O15" s="1117"/>
      <c r="P15" s="1117"/>
      <c r="Q15" s="1117"/>
      <c r="R15" s="1210">
        <v>14</v>
      </c>
      <c r="S15" s="1211"/>
      <c r="T15" s="3352">
        <f t="shared" si="0"/>
        <v>0</v>
      </c>
      <c r="U15" s="1211"/>
      <c r="V15" s="3352">
        <f t="shared" si="1"/>
        <v>0</v>
      </c>
      <c r="W15" s="1214"/>
      <c r="X15" s="1214"/>
      <c r="Y15" s="1214"/>
      <c r="Z15" s="1214"/>
      <c r="AA15" s="1214"/>
      <c r="AB15" s="1214"/>
      <c r="AC15" s="1215"/>
      <c r="AD15" s="2786"/>
      <c r="AE15" s="2786"/>
      <c r="AF15" s="2786"/>
      <c r="AG15" s="2786"/>
      <c r="AH15" s="2786"/>
      <c r="AI15" s="2786"/>
      <c r="AJ15" s="2787"/>
    </row>
    <row r="16" spans="1:36" ht="15.6" thickBot="1">
      <c r="A16" s="3289"/>
      <c r="B16" s="3311" t="s">
        <v>1989</v>
      </c>
      <c r="C16" s="3309">
        <v>1</v>
      </c>
      <c r="D16" s="3309">
        <v>1</v>
      </c>
      <c r="E16" s="3309">
        <v>1</v>
      </c>
      <c r="F16" s="3309">
        <v>1</v>
      </c>
      <c r="G16" s="3309">
        <v>1</v>
      </c>
      <c r="H16" s="3309">
        <v>1</v>
      </c>
      <c r="I16" s="3309">
        <v>1</v>
      </c>
      <c r="J16" s="3310">
        <v>1</v>
      </c>
      <c r="K16" s="1117"/>
      <c r="L16" s="1995"/>
      <c r="M16" s="1995"/>
      <c r="N16" s="1995"/>
      <c r="O16" s="1995"/>
      <c r="P16" s="1995"/>
      <c r="Q16" s="1117"/>
      <c r="R16" s="1210">
        <v>15</v>
      </c>
      <c r="S16" s="1211"/>
      <c r="T16" s="3352">
        <f t="shared" si="0"/>
        <v>0</v>
      </c>
      <c r="U16" s="1211"/>
      <c r="V16" s="3352">
        <f t="shared" si="1"/>
        <v>0</v>
      </c>
      <c r="W16" s="1214"/>
      <c r="X16" s="1214"/>
      <c r="Y16" s="1214"/>
      <c r="Z16" s="1214"/>
      <c r="AA16" s="1214"/>
      <c r="AB16" s="1214"/>
      <c r="AC16" s="1215"/>
      <c r="AD16" s="2786"/>
      <c r="AE16" s="2786"/>
      <c r="AF16" s="2786"/>
      <c r="AG16" s="2786"/>
      <c r="AH16" s="2786"/>
      <c r="AI16" s="2786"/>
      <c r="AJ16" s="2787"/>
    </row>
    <row r="17" spans="1:37" ht="24">
      <c r="A17" s="3321" t="s">
        <v>3242</v>
      </c>
      <c r="B17" s="3312" t="s">
        <v>3243</v>
      </c>
      <c r="C17" s="3322">
        <f>ROUND(IF(OR(E2="工业",E2="公共服务"),1,IF(AND(E18=0,E19=0),1,IF(AND(E18=J24,E19=G19),0.8,IF(E19=0,1+E17*(-0.2),1+E17*G17*(-0.2))))),4)</f>
        <v>1</v>
      </c>
      <c r="D17" s="3313" t="s">
        <v>3244</v>
      </c>
      <c r="E17" s="3322">
        <f>ROUND(G18/I18,2)</f>
        <v>0</v>
      </c>
      <c r="F17" s="3313" t="s">
        <v>3247</v>
      </c>
      <c r="G17" s="3322" t="e">
        <f>ROUND(E19/G19,2)</f>
        <v>#DIV/0!</v>
      </c>
      <c r="H17" s="3322"/>
      <c r="I17" s="3322"/>
      <c r="J17" s="3323"/>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24"/>
      <c r="B18" s="3007"/>
      <c r="C18" s="3319"/>
      <c r="D18" s="3314" t="s">
        <v>3245</v>
      </c>
      <c r="E18" s="3320"/>
      <c r="F18" s="3315" t="s">
        <v>3248</v>
      </c>
      <c r="G18" s="3319">
        <f>ROUND(1-(1/(POWER(1+G24,E18))),4)</f>
        <v>0</v>
      </c>
      <c r="H18" s="3315" t="s">
        <v>3250</v>
      </c>
      <c r="I18" s="3319">
        <f>ROUND(1-(1/(POWER(1+G24,J24))),4)</f>
        <v>0.96709999999999996</v>
      </c>
      <c r="J18" s="3325"/>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4.4" thickBot="1">
      <c r="A19" s="3326"/>
      <c r="B19" s="3327"/>
      <c r="C19" s="3328"/>
      <c r="D19" s="3328" t="s">
        <v>3246</v>
      </c>
      <c r="E19" s="3329"/>
      <c r="F19" s="3330" t="s">
        <v>3249</v>
      </c>
      <c r="G19" s="3329"/>
      <c r="H19" s="3328"/>
      <c r="I19" s="3328"/>
      <c r="J19" s="3331"/>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3.8">
      <c r="A20" s="3709" t="s">
        <v>3251</v>
      </c>
      <c r="B20" s="167" t="s">
        <v>1994</v>
      </c>
      <c r="C20" s="3316">
        <f>ROUND(IF(F21="与级别开发程度一致",0,(G21-E21)/C21),0)</f>
        <v>47</v>
      </c>
      <c r="D20" s="3332" t="s">
        <v>1998</v>
      </c>
      <c r="E20" s="3333"/>
      <c r="F20" s="3715" t="s">
        <v>1995</v>
      </c>
      <c r="G20" s="3716"/>
      <c r="H20" s="3317" t="s">
        <v>3411</v>
      </c>
      <c r="I20" s="3317" t="s">
        <v>3412</v>
      </c>
      <c r="J20" s="3318" t="s">
        <v>3413</v>
      </c>
      <c r="K20" s="2045" t="s">
        <v>3414</v>
      </c>
      <c r="L20" s="2045" t="s">
        <v>3415</v>
      </c>
      <c r="M20" s="2045" t="s">
        <v>3416</v>
      </c>
      <c r="N20" s="2045" t="s">
        <v>3417</v>
      </c>
      <c r="O20" s="2046" t="s">
        <v>3418</v>
      </c>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7" thickBot="1">
      <c r="A21" s="3710"/>
      <c r="B21" s="2161" t="s">
        <v>1997</v>
      </c>
      <c r="C21" s="2162">
        <f>IF(E3="M4科研用地",SUMPRODUCT((修正!A2:A7=E3)*(修正!B1:M1=G2)*(修正!B2:M7)),SUMPRODUCT((修正!A2:A7=E2)*(修正!B1:M1=G2)*(修正!B2:M7)))</f>
        <v>1.5</v>
      </c>
      <c r="D21" s="186" t="str">
        <f>IF(OR(G2="八级",G2="九级",G2="十级",G2="十一级",G2="十二级"),"五通一平","七通一平")</f>
        <v>五通一平</v>
      </c>
      <c r="E21" s="2153">
        <f>SUMPRODUCT((修正!B1:M1=G2)*(修正!B17:M17))</f>
        <v>185</v>
      </c>
      <c r="F21" s="2154" t="s">
        <v>4380</v>
      </c>
      <c r="G21" s="2155">
        <f>SUM(H21:O21)</f>
        <v>255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40</v>
      </c>
      <c r="N21" s="2162">
        <f>SUMPRODUCT((七通一平=N20)*(修正!B1:M1=G2)*(修正!B8:M16))</f>
        <v>30</v>
      </c>
      <c r="O21" s="2164">
        <f>SUMPRODUCT((七通一平=O20)*(修正!B1:M1=G2)*(修正!B8:M16))</f>
        <v>10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 thickBot="1">
      <c r="A22" s="2156" t="s">
        <v>363</v>
      </c>
      <c r="B22" s="2157" t="s">
        <v>2000</v>
      </c>
      <c r="C22" s="3884">
        <f>SUMIF(修正!C20:C51,E3,修正!E20:E51)</f>
        <v>1</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7" thickBot="1">
      <c r="A23" s="2048" t="s">
        <v>364</v>
      </c>
      <c r="B23" s="2049" t="s">
        <v>2001</v>
      </c>
      <c r="C23" s="388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1.0338000000000001</v>
      </c>
      <c r="D23" s="2052" t="s">
        <v>2002</v>
      </c>
      <c r="E23" s="759">
        <v>44197</v>
      </c>
      <c r="F23" s="2052" t="s">
        <v>2003</v>
      </c>
      <c r="G23" s="760">
        <f>'数据-取费表'!B2</f>
        <v>45882</v>
      </c>
      <c r="H23" s="3334" t="s">
        <v>3252</v>
      </c>
      <c r="I23" s="3335" t="str">
        <f>IF(H23="季度增幅（自定义）",SUMIF(N25:N28,E2,O25:O28),"")</f>
        <v/>
      </c>
      <c r="J23" s="3437" t="s">
        <v>4551</v>
      </c>
      <c r="K23" s="1123"/>
      <c r="L23" s="2053" t="s">
        <v>2004</v>
      </c>
      <c r="M23" s="1326">
        <f>ROUND(SUMIF(地价!B2:G2,E2,地价!B16:G16),0)</f>
        <v>687</v>
      </c>
      <c r="N23" s="2054" t="s">
        <v>2005</v>
      </c>
      <c r="O23" s="761">
        <f>ROUNDDOWN(DATEDIF(E23,G23,"M")/3,0)</f>
        <v>18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2006</v>
      </c>
      <c r="C24" s="762">
        <f>ROUND(POWER(1+G24,J24-I24)*(POWER(1+G24,I24)-1)/(POWER(1+G24,J24)-1),4)</f>
        <v>0.98529999999999995</v>
      </c>
      <c r="D24" s="2058" t="s">
        <v>2007</v>
      </c>
      <c r="E24" s="1333">
        <f>存贷款利率!E28/100</f>
        <v>4.3499999999999997E-2</v>
      </c>
      <c r="F24" s="2058" t="s">
        <v>1999</v>
      </c>
      <c r="G24" s="766">
        <f>SUMIF(M30:Q30,E2,M33:Q33)</f>
        <v>0.05</v>
      </c>
      <c r="H24" s="2058" t="s">
        <v>2008</v>
      </c>
      <c r="I24" s="767">
        <f>SUMIF('数据-取费表'!C6:C15,E2,'数据-取费表'!F6:F15)/COUNTIF('数据-取费表'!C6:C15,E2)</f>
        <v>62.64</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4.4">
      <c r="A25" s="2063" t="s">
        <v>366</v>
      </c>
      <c r="B25" s="2064" t="s">
        <v>3331</v>
      </c>
      <c r="C25" s="769">
        <f>IF(B25="容积率修正",IF(G3&lt;10,D26,J26),C27)</f>
        <v>1</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2014</v>
      </c>
      <c r="B26" s="2068" t="s">
        <v>2015</v>
      </c>
      <c r="C26" s="3336" t="s">
        <v>3253</v>
      </c>
      <c r="D26" s="1350">
        <f>IF(E26=G26,F26,IF(G3&lt;10,ROUND(F26+(H26-F26)*(G3-E26)/(G26-E26),4),"——"))</f>
        <v>1</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6" t="s">
        <v>3254</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2020</v>
      </c>
      <c r="C28" s="3885">
        <f>SUMIF(A47:A101,E2,B47:B101)</f>
        <v>0.97519999999999996</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2024</v>
      </c>
      <c r="C30" s="2318">
        <f>IF(B25="容积率修正",E33+SUM(E37:E42),SUM(V2:V16)+SUM(E37:E42))</f>
        <v>1</v>
      </c>
      <c r="D30" s="2081"/>
      <c r="E30" s="2044"/>
      <c r="F30" s="2082"/>
      <c r="G30" s="2044"/>
      <c r="H30" s="2044"/>
      <c r="I30" s="2044"/>
      <c r="J30" s="2083"/>
      <c r="K30" s="1117"/>
      <c r="L30" s="3342" t="s">
        <v>1936</v>
      </c>
      <c r="M30" s="3343" t="s">
        <v>1990</v>
      </c>
      <c r="N30" s="3343" t="s">
        <v>1991</v>
      </c>
      <c r="O30" s="3343" t="s">
        <v>1992</v>
      </c>
      <c r="P30" s="3343" t="s">
        <v>1993</v>
      </c>
      <c r="Q30" s="3346"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2025</v>
      </c>
      <c r="C31" s="764">
        <f>E34+SUM(I37:I42)</f>
        <v>0</v>
      </c>
      <c r="D31" s="2085"/>
      <c r="E31" s="2086"/>
      <c r="F31" s="2087"/>
      <c r="G31" s="2086"/>
      <c r="H31" s="2086"/>
      <c r="I31" s="2086"/>
      <c r="J31" s="2088"/>
      <c r="K31" s="1117"/>
      <c r="L31" s="3344" t="s">
        <v>1996</v>
      </c>
      <c r="M31" s="1998">
        <v>0.25</v>
      </c>
      <c r="N31" s="1998">
        <v>0.2</v>
      </c>
      <c r="O31" s="1998">
        <v>0.15</v>
      </c>
      <c r="P31" s="1998">
        <v>0.1</v>
      </c>
      <c r="Q31" s="3339">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7"/>
      <c r="L32" s="3345" t="s">
        <v>1999</v>
      </c>
      <c r="M32" s="2567">
        <f>ROUND($E$24*(1+M31),3)</f>
        <v>5.3999999999999999E-2</v>
      </c>
      <c r="N32" s="2567">
        <f>ROUND($E$24*(1+N31),3)</f>
        <v>5.1999999999999998E-2</v>
      </c>
      <c r="O32" s="2567">
        <f>ROUND($E$24*(1+O31),3)</f>
        <v>0.05</v>
      </c>
      <c r="P32" s="2567">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2030</v>
      </c>
      <c r="C33" s="175">
        <f>ROUND(C5*C22*C23*C24*C25*C28,0)</f>
        <v>3960</v>
      </c>
      <c r="D33" s="2096"/>
      <c r="E33" s="771">
        <f>ROUND(C33*D33/10000,0)</f>
        <v>0</v>
      </c>
      <c r="F33" s="3337" t="s">
        <v>3256</v>
      </c>
      <c r="G33" s="2097"/>
      <c r="H33" s="2097"/>
      <c r="I33" s="2097"/>
      <c r="J33" s="2098"/>
      <c r="K33" s="1117"/>
      <c r="L33" s="3340" t="s">
        <v>3259</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2031</v>
      </c>
      <c r="C34" s="186">
        <f>ROUND(IF(E2="工业",C33*M42,IF(B25="楼层修正",SUM(V2:V16)*M41*10000/D34,C33*M41)),0)</f>
        <v>990</v>
      </c>
      <c r="D34" s="2101"/>
      <c r="E34" s="771">
        <f>ROUND(IF(B25="楼层修正",SUM(V2:V16)*M40,C34*D34/10000),0)</f>
        <v>0</v>
      </c>
      <c r="F34" s="2102" t="s">
        <v>2032</v>
      </c>
      <c r="G34" s="2103"/>
      <c r="H34" s="2103"/>
      <c r="I34" s="2103"/>
      <c r="J34" s="2104"/>
      <c r="K34" s="1117"/>
      <c r="L34" s="3340" t="s">
        <v>3260</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8"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49" t="s">
        <v>2027</v>
      </c>
      <c r="D36" s="446" t="s">
        <v>2028</v>
      </c>
      <c r="E36" s="446" t="s">
        <v>2029</v>
      </c>
      <c r="F36" s="341" t="s">
        <v>2035</v>
      </c>
      <c r="G36" s="2110" t="s">
        <v>2027</v>
      </c>
      <c r="H36" s="2110" t="s">
        <v>2028</v>
      </c>
      <c r="I36" s="2110" t="s">
        <v>2029</v>
      </c>
      <c r="J36" s="242"/>
      <c r="K36" s="3348" t="s">
        <v>3261</v>
      </c>
      <c r="L36" s="3438">
        <f ca="1">'数据-取费表'!B40</f>
        <v>0.03</v>
      </c>
      <c r="M36" s="3349">
        <f ca="1">ROUND($L$36*(1+M31),3)</f>
        <v>3.7999999999999999E-2</v>
      </c>
      <c r="N36" s="3349">
        <f ca="1">ROUND($L$36*(1+N31),3)</f>
        <v>3.5999999999999997E-2</v>
      </c>
      <c r="O36" s="3349">
        <f ca="1">ROUND($L$36*(1+O31),3)</f>
        <v>3.5000000000000003E-2</v>
      </c>
      <c r="P36" s="3349">
        <f ca="1">ROUND($L$36*(1+P31),3)</f>
        <v>3.3000000000000002E-2</v>
      </c>
      <c r="Q36" s="3349">
        <f ca="1">ROUND($L$36*(1+Q31),3)</f>
        <v>3.5000000000000003E-2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713"/>
      <c r="B37" s="2111" t="s">
        <v>2036</v>
      </c>
      <c r="C37" s="175">
        <f>ROUND(D5*C22*C23*C24*C28*F37,0)</f>
        <v>1980</v>
      </c>
      <c r="D37" s="2096"/>
      <c r="E37" s="171">
        <f>ROUND(C37*D37/10000,0)</f>
        <v>0</v>
      </c>
      <c r="F37" s="171">
        <f>SUMIF(修正!A57:A68,G2,修正!B57:B68)</f>
        <v>0.5</v>
      </c>
      <c r="G37" s="171">
        <f>ROUND(IF(E2="工业",C37*$M$42,C37*$M$41),0)</f>
        <v>495</v>
      </c>
      <c r="H37" s="171">
        <f>D37</f>
        <v>0</v>
      </c>
      <c r="I37" s="171">
        <f>ROUND(G37*H37/10000,0)</f>
        <v>0</v>
      </c>
      <c r="J37" s="3009"/>
      <c r="K37" s="3350" t="s">
        <v>3262</v>
      </c>
      <c r="L37" s="3348">
        <f ca="1">L36+K38</f>
        <v>3.4999999999999996E-2</v>
      </c>
      <c r="M37" s="3349">
        <f ca="1">ROUND($L$37*(1+M31),3)</f>
        <v>4.3999999999999997E-2</v>
      </c>
      <c r="N37" s="3349">
        <f t="shared" ref="N37:Q37" ca="1" si="3">ROUND($L$37*(1+N31),3)</f>
        <v>4.2000000000000003E-2</v>
      </c>
      <c r="O37" s="3349">
        <f t="shared" ca="1" si="3"/>
        <v>0.04</v>
      </c>
      <c r="P37" s="3349">
        <f t="shared" ca="1" si="3"/>
        <v>3.9E-2</v>
      </c>
      <c r="Q37" s="3349">
        <f t="shared" ca="1" si="3"/>
        <v>0.04</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14"/>
      <c r="B38" s="2039" t="s">
        <v>2037</v>
      </c>
      <c r="C38" s="175">
        <f>ROUND(D5*C22*C23*C24*C28*F38,0)</f>
        <v>792</v>
      </c>
      <c r="D38" s="2096"/>
      <c r="E38" s="171">
        <f t="shared" ref="E38:E42" si="4">ROUND(C38*D38/10000,0)</f>
        <v>0</v>
      </c>
      <c r="F38" s="171">
        <f>SUMIF(修正!A57:A68,G2,修正!C57:C68)</f>
        <v>0.2</v>
      </c>
      <c r="G38" s="171">
        <f>ROUND(IF(E2="工业",C38*$M$42,C38*$M$41),0)</f>
        <v>198</v>
      </c>
      <c r="H38" s="171">
        <f t="shared" ref="H38:H42" si="5">D38</f>
        <v>0</v>
      </c>
      <c r="I38" s="171">
        <f t="shared" ref="I38:I42" si="6">ROUND(G38*H38/10000,0)</f>
        <v>0</v>
      </c>
      <c r="J38" s="3008"/>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8" thickBot="1">
      <c r="A39" s="3714"/>
      <c r="B39" s="2039" t="s">
        <v>3255</v>
      </c>
      <c r="C39" s="175">
        <f>ROUND(D5*C22*C23*C24*C28*F39,0)</f>
        <v>792</v>
      </c>
      <c r="D39" s="2096"/>
      <c r="E39" s="171">
        <f t="shared" si="4"/>
        <v>0</v>
      </c>
      <c r="F39" s="171">
        <f>SUMIF(修正!A57:A68,G2,修正!D57:D68)</f>
        <v>0.2</v>
      </c>
      <c r="G39" s="171">
        <f>ROUND(IF(E2="工业",C39*$M$42,C39*$M$41),0)</f>
        <v>198</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792</v>
      </c>
      <c r="D40" s="2096"/>
      <c r="E40" s="171">
        <f t="shared" si="4"/>
        <v>0</v>
      </c>
      <c r="F40" s="175">
        <f>SUMIF(修正!A57:A68,G2,修正!E57:E68)</f>
        <v>0.2</v>
      </c>
      <c r="G40" s="171">
        <f>ROUND(IF(E2="工业",C40*$M$42,C40*$M$41),0)</f>
        <v>198</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771</v>
      </c>
      <c r="D41" s="2096" t="str">
        <f>'数据-基础表'!I13</f>
        <v>10.32</v>
      </c>
      <c r="E41" s="171">
        <f t="shared" si="4"/>
        <v>1</v>
      </c>
      <c r="F41" s="175">
        <f>SUMIF(修正!A57:A68,G2,修正!F57:F68)</f>
        <v>0.2</v>
      </c>
      <c r="G41" s="171">
        <f>ROUND(IF(E2="工业",C41*$M$42,C41*$M$41),0)</f>
        <v>193</v>
      </c>
      <c r="H41" s="171" t="str">
        <f t="shared" si="5"/>
        <v>10.32</v>
      </c>
      <c r="I41" s="171">
        <f t="shared" si="6"/>
        <v>0</v>
      </c>
      <c r="J41" s="2112"/>
      <c r="L41" s="3351" t="s">
        <v>3263</v>
      </c>
      <c r="M41" s="2116">
        <v>0.25</v>
      </c>
      <c r="Z41" s="1118"/>
      <c r="AA41" s="1118"/>
      <c r="AB41" s="1118"/>
      <c r="AC41" s="1118"/>
      <c r="AD41" s="1118"/>
      <c r="AE41" s="1118"/>
      <c r="AF41" s="1118"/>
      <c r="AG41" s="1118"/>
      <c r="AH41" s="1118"/>
      <c r="AI41" s="1118"/>
      <c r="AJ41" s="1118"/>
    </row>
    <row r="42" spans="1:37" s="1117" customFormat="1" ht="13.8" thickBot="1">
      <c r="A42" s="2099"/>
      <c r="B42" s="2117" t="s">
        <v>2041</v>
      </c>
      <c r="C42" s="186">
        <f>ROUND(D5*C22*C23*C44*C28*F42,0)</f>
        <v>385</v>
      </c>
      <c r="D42" s="2101"/>
      <c r="E42" s="186">
        <f t="shared" si="4"/>
        <v>0</v>
      </c>
      <c r="F42" s="765">
        <f>SUMIF(修正!A57:A68,G2,修正!G57:G68)</f>
        <v>0.1</v>
      </c>
      <c r="G42" s="186">
        <f>ROUND(IF(E2="工业",C42*$M$42,C42*$M$41),0)</f>
        <v>96</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2119</v>
      </c>
      <c r="C44" s="341">
        <f>ROUND(POWER(1+E44,H44-G44)*(POWER(1+E44,G44)-1)/(POWER(1+E44,H44)-1),4)</f>
        <v>0.9587</v>
      </c>
      <c r="D44" s="171" t="s">
        <v>1999</v>
      </c>
      <c r="E44" s="2151">
        <f>G24</f>
        <v>0.05</v>
      </c>
      <c r="F44" s="171" t="s">
        <v>2008</v>
      </c>
      <c r="G44" s="3886">
        <f>项目基本情况!G15</f>
        <v>42.63</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hidden="1">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hidden="1">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9.6" hidden="1">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hidden="1">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hidden="1">
      <c r="A52" s="3360" t="s">
        <v>3265</v>
      </c>
      <c r="B52" s="2132">
        <f>估价对象房地状况!C19</f>
        <v>0</v>
      </c>
      <c r="C52" s="2042"/>
      <c r="D52" s="1063">
        <f t="shared" si="7"/>
        <v>0</v>
      </c>
      <c r="E52" s="744"/>
      <c r="F52" s="1812"/>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hidden="1">
      <c r="A53" s="2128" t="s">
        <v>2054</v>
      </c>
      <c r="B53" s="2133" t="s">
        <v>2055</v>
      </c>
      <c r="C53" s="2042"/>
      <c r="D53" s="1063">
        <f t="shared" si="7"/>
        <v>0</v>
      </c>
      <c r="E53" s="744"/>
      <c r="F53" s="1812"/>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4"/>
      <c r="F54" s="1812"/>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hidden="1">
      <c r="A55" s="2128" t="s">
        <v>2057</v>
      </c>
      <c r="B55" s="2134" t="s">
        <v>2058</v>
      </c>
      <c r="C55" s="2042"/>
      <c r="D55" s="1063">
        <f t="shared" si="7"/>
        <v>0</v>
      </c>
      <c r="E55" s="744"/>
      <c r="F55" s="1812"/>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hidden="1">
      <c r="A56" s="2135" t="s">
        <v>2059</v>
      </c>
      <c r="B56" s="1324" t="str">
        <f>估价对象房地状况!C21</f>
        <v>估价对象所在区域公共配套设施齐备情况</v>
      </c>
      <c r="C56" s="2042"/>
      <c r="D56" s="1063">
        <f t="shared" si="7"/>
        <v>0</v>
      </c>
      <c r="E56" s="744"/>
      <c r="F56" s="1812"/>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hidden="1">
      <c r="A57" s="2135" t="s">
        <v>2060</v>
      </c>
      <c r="B57" s="2132" t="str">
        <f>估价对象房地状况!C22</f>
        <v>估价对象所在区域基础设施水平</v>
      </c>
      <c r="C57" s="2042"/>
      <c r="D57" s="1063">
        <f t="shared" si="7"/>
        <v>0</v>
      </c>
      <c r="E57" s="744"/>
      <c r="F57" s="1812"/>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hidden="1"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hidden="1">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hidden="1">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9.6" hidden="1">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2.8" hidden="1">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48" hidden="1">
      <c r="A63" s="3360" t="s">
        <v>3265</v>
      </c>
      <c r="B63" s="2132">
        <f>估价对象房地状况!C19</f>
        <v>0</v>
      </c>
      <c r="C63" s="2042"/>
      <c r="D63" s="1063">
        <f t="shared" si="12"/>
        <v>0</v>
      </c>
      <c r="E63" s="744"/>
      <c r="F63" s="1812"/>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7.200000000000003" hidden="1">
      <c r="A64" s="2128" t="s">
        <v>2054</v>
      </c>
      <c r="B64" s="2133" t="s">
        <v>2055</v>
      </c>
      <c r="C64" s="2042"/>
      <c r="D64" s="1063">
        <f t="shared" si="12"/>
        <v>0</v>
      </c>
      <c r="E64" s="744"/>
      <c r="F64" s="1812"/>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4"/>
      <c r="F65" s="1812"/>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36" hidden="1">
      <c r="A66" s="2128" t="s">
        <v>2057</v>
      </c>
      <c r="B66" s="2134" t="s">
        <v>2058</v>
      </c>
      <c r="C66" s="2042"/>
      <c r="D66" s="1063">
        <f t="shared" si="12"/>
        <v>0</v>
      </c>
      <c r="E66" s="744"/>
      <c r="F66" s="1812"/>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6.4" hidden="1">
      <c r="A67" s="2128" t="s">
        <v>2059</v>
      </c>
      <c r="B67" s="1324" t="str">
        <f>估价对象房地状况!C21</f>
        <v>估价对象所在区域公共配套设施齐备情况</v>
      </c>
      <c r="C67" s="2042"/>
      <c r="D67" s="1063">
        <f t="shared" si="12"/>
        <v>0</v>
      </c>
      <c r="E67" s="744"/>
      <c r="F67" s="1812"/>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6.4" hidden="1">
      <c r="A68" s="2128" t="s">
        <v>2060</v>
      </c>
      <c r="B68" s="1324" t="str">
        <f>估价对象房地状况!C22</f>
        <v>估价对象所在区域基础设施水平</v>
      </c>
      <c r="C68" s="2042"/>
      <c r="D68" s="1063">
        <f t="shared" si="12"/>
        <v>0</v>
      </c>
      <c r="E68" s="744"/>
      <c r="F68" s="1812"/>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40.200000000000003" hidden="1"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4.4">
      <c r="A70" s="2124" t="s">
        <v>2065</v>
      </c>
      <c r="B70" s="2125">
        <f>1+E72</f>
        <v>0.97519999999999996</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2.8">
      <c r="A72" s="2128" t="s">
        <v>2066</v>
      </c>
      <c r="B72" s="2131" t="str">
        <f>估价对象房地状况!C15</f>
        <v>估价对象周边居住用地比例、居住小区规模和社区发展完善程度，综合评价居住社区成熟度一般</v>
      </c>
      <c r="C72" s="2042" t="s">
        <v>4389</v>
      </c>
      <c r="D72" s="1063">
        <f t="shared" ref="D72:D80" si="17">SUMIF($J$71:$N$71,C72,J72:N72)</f>
        <v>-1.4999999999999999E-2</v>
      </c>
      <c r="E72" s="743">
        <f>ROUND(SUM(D72:D80),4)</f>
        <v>-2.4799999999999999E-2</v>
      </c>
      <c r="F72" s="1812">
        <f>IF(E2="住宅",SUMIF(L1:L12,G2,N1:N12),"——")</f>
        <v>0.15</v>
      </c>
      <c r="G72" s="3474">
        <v>1.4999999999999999E-2</v>
      </c>
      <c r="H72" s="1064">
        <f t="shared" ref="H72:H80" si="18">IFERROR(ROUNDDOWN($F$72*I72/2,4),"——")</f>
        <v>1.4999999999999999E-2</v>
      </c>
      <c r="I72" s="3358">
        <v>0.2</v>
      </c>
      <c r="J72" s="1062">
        <f t="shared" ref="J72:J80" si="19">K72+$G72</f>
        <v>0.03</v>
      </c>
      <c r="K72" s="1062">
        <f t="shared" ref="K72:K80" si="20">$L72+$G72</f>
        <v>1.4999999999999999E-2</v>
      </c>
      <c r="L72" s="1062">
        <v>0</v>
      </c>
      <c r="M72" s="1062">
        <f t="shared" ref="M72:N80" si="21">L72-$G72</f>
        <v>-1.4999999999999999E-2</v>
      </c>
      <c r="N72" s="1062">
        <f t="shared" si="21"/>
        <v>-0.03</v>
      </c>
      <c r="AA72" s="1118"/>
      <c r="AB72" s="1118"/>
      <c r="AC72" s="1118"/>
      <c r="AD72" s="1118"/>
      <c r="AE72" s="1118"/>
      <c r="AF72" s="1118"/>
      <c r="AG72" s="1118"/>
      <c r="AH72" s="1118"/>
      <c r="AI72" s="1118"/>
      <c r="AJ72" s="1118"/>
      <c r="AK72" s="1118"/>
    </row>
    <row r="73" spans="1:37" s="1117" customFormat="1" ht="52.8">
      <c r="A73" s="2128" t="s">
        <v>2053</v>
      </c>
      <c r="B73" s="2132" t="str">
        <f>估价对象房地状况!C18</f>
        <v>估价对象周边道路状况、公共交通通达情况、停车便捷程度，综合评价交通便捷度较好</v>
      </c>
      <c r="C73" s="2042" t="s">
        <v>4389</v>
      </c>
      <c r="D73" s="1063">
        <f t="shared" si="17"/>
        <v>-1.95E-2</v>
      </c>
      <c r="E73" s="746"/>
      <c r="F73" s="1812"/>
      <c r="G73" s="3474">
        <v>1.95E-2</v>
      </c>
      <c r="H73" s="1064">
        <f t="shared" si="18"/>
        <v>1.95E-2</v>
      </c>
      <c r="I73" s="3358">
        <v>0.26</v>
      </c>
      <c r="J73" s="1062">
        <f t="shared" si="19"/>
        <v>3.9E-2</v>
      </c>
      <c r="K73" s="1062">
        <f t="shared" si="20"/>
        <v>1.95E-2</v>
      </c>
      <c r="L73" s="1062">
        <v>0</v>
      </c>
      <c r="M73" s="1062">
        <f t="shared" si="21"/>
        <v>-1.95E-2</v>
      </c>
      <c r="N73" s="1062">
        <f t="shared" si="21"/>
        <v>-3.9E-2</v>
      </c>
      <c r="AA73" s="1118"/>
      <c r="AB73" s="1118"/>
      <c r="AC73" s="1118"/>
      <c r="AD73" s="1118"/>
      <c r="AE73" s="1118"/>
      <c r="AF73" s="1118"/>
      <c r="AG73" s="1118"/>
      <c r="AH73" s="1118"/>
      <c r="AI73" s="1118"/>
      <c r="AJ73" s="1118"/>
      <c r="AK73" s="1118"/>
    </row>
    <row r="74" spans="1:37" s="1995" customFormat="1" ht="48">
      <c r="A74" s="3360" t="s">
        <v>3265</v>
      </c>
      <c r="B74" s="2132">
        <f>估价对象房地状况!C19</f>
        <v>0</v>
      </c>
      <c r="C74" s="2042" t="s">
        <v>4387</v>
      </c>
      <c r="D74" s="1063">
        <f t="shared" si="17"/>
        <v>0</v>
      </c>
      <c r="E74" s="746"/>
      <c r="F74" s="1812"/>
      <c r="G74" s="3474">
        <v>7.4999999999999997E-3</v>
      </c>
      <c r="H74" s="1064">
        <f t="shared" si="18"/>
        <v>7.4999999999999997E-3</v>
      </c>
      <c r="I74" s="3358">
        <v>0.1</v>
      </c>
      <c r="J74" s="1062">
        <f t="shared" si="19"/>
        <v>1.4999999999999999E-2</v>
      </c>
      <c r="K74" s="1062">
        <f t="shared" si="20"/>
        <v>7.4999999999999997E-3</v>
      </c>
      <c r="L74" s="1062">
        <v>0</v>
      </c>
      <c r="M74" s="1062">
        <f t="shared" si="21"/>
        <v>-7.4999999999999997E-3</v>
      </c>
      <c r="N74" s="1062">
        <f t="shared" si="21"/>
        <v>-1.4999999999999999E-2</v>
      </c>
      <c r="O74" s="1117"/>
      <c r="P74" s="1117"/>
      <c r="Q74" s="1117"/>
      <c r="AA74" s="2139"/>
      <c r="AB74" s="1118"/>
      <c r="AC74" s="1118"/>
      <c r="AD74" s="1118"/>
      <c r="AE74" s="1118"/>
      <c r="AF74" s="1118"/>
      <c r="AG74" s="1118"/>
      <c r="AH74" s="2139"/>
      <c r="AI74" s="2139"/>
      <c r="AJ74" s="2139"/>
      <c r="AK74" s="2139"/>
    </row>
    <row r="75" spans="1:37" ht="13.8">
      <c r="A75" s="2128" t="s">
        <v>2067</v>
      </c>
      <c r="B75" s="2132">
        <f>估价对象房地状况!C24</f>
        <v>0</v>
      </c>
      <c r="C75" s="2042" t="s">
        <v>4389</v>
      </c>
      <c r="D75" s="1063">
        <f t="shared" si="17"/>
        <v>-3.7000000000000002E-3</v>
      </c>
      <c r="E75" s="746"/>
      <c r="F75" s="1812"/>
      <c r="G75" s="3474">
        <v>3.7000000000000002E-3</v>
      </c>
      <c r="H75" s="1064">
        <f t="shared" si="18"/>
        <v>3.7000000000000002E-3</v>
      </c>
      <c r="I75" s="3358">
        <v>0.05</v>
      </c>
      <c r="J75" s="1062">
        <f t="shared" si="19"/>
        <v>7.4000000000000003E-3</v>
      </c>
      <c r="K75" s="1062">
        <f t="shared" si="20"/>
        <v>3.7000000000000002E-3</v>
      </c>
      <c r="L75" s="1062">
        <v>0</v>
      </c>
      <c r="M75" s="1062">
        <f t="shared" si="21"/>
        <v>-3.7000000000000002E-3</v>
      </c>
      <c r="N75" s="1062">
        <f t="shared" si="21"/>
        <v>-7.4000000000000003E-3</v>
      </c>
      <c r="O75" s="1117"/>
      <c r="P75" s="1117"/>
      <c r="Q75" s="1995"/>
      <c r="Z75" s="1996"/>
      <c r="AA75" s="2051"/>
      <c r="AG75" s="1119"/>
      <c r="AK75" s="2051"/>
    </row>
    <row r="76" spans="1:37" ht="26.4">
      <c r="A76" s="2128" t="s">
        <v>2059</v>
      </c>
      <c r="B76" s="1324" t="str">
        <f>估价对象房地状况!C21</f>
        <v>估价对象所在区域公共配套设施齐备情况</v>
      </c>
      <c r="C76" s="2042" t="s">
        <v>4387</v>
      </c>
      <c r="D76" s="1063">
        <f t="shared" si="17"/>
        <v>0</v>
      </c>
      <c r="E76" s="746"/>
      <c r="F76" s="1812"/>
      <c r="G76" s="3474">
        <v>6.0000000000000001E-3</v>
      </c>
      <c r="H76" s="1064">
        <f t="shared" si="18"/>
        <v>6.0000000000000001E-3</v>
      </c>
      <c r="I76" s="3358">
        <v>0.08</v>
      </c>
      <c r="J76" s="1062">
        <f t="shared" si="19"/>
        <v>1.2E-2</v>
      </c>
      <c r="K76" s="1062">
        <f t="shared" si="20"/>
        <v>6.0000000000000001E-3</v>
      </c>
      <c r="L76" s="1062">
        <v>0</v>
      </c>
      <c r="M76" s="1062">
        <f t="shared" si="21"/>
        <v>-6.0000000000000001E-3</v>
      </c>
      <c r="N76" s="1062">
        <f t="shared" si="21"/>
        <v>-1.2E-2</v>
      </c>
      <c r="O76" s="1117"/>
      <c r="P76" s="1117"/>
      <c r="Z76" s="1996"/>
      <c r="AA76" s="2051"/>
      <c r="AG76" s="1119"/>
      <c r="AK76" s="2051"/>
    </row>
    <row r="77" spans="1:37" ht="26.4">
      <c r="A77" s="2128" t="s">
        <v>2060</v>
      </c>
      <c r="B77" s="1324" t="str">
        <f>估价对象房地状况!C22</f>
        <v>估价对象所在区域基础设施水平</v>
      </c>
      <c r="C77" s="2042" t="s">
        <v>4398</v>
      </c>
      <c r="D77" s="1063">
        <f t="shared" si="17"/>
        <v>1.34E-2</v>
      </c>
      <c r="E77" s="746"/>
      <c r="F77" s="1812"/>
      <c r="G77" s="3474">
        <v>6.7000000000000002E-3</v>
      </c>
      <c r="H77" s="1064">
        <f t="shared" si="18"/>
        <v>6.7000000000000002E-3</v>
      </c>
      <c r="I77" s="3358">
        <v>0.09</v>
      </c>
      <c r="J77" s="1062">
        <f t="shared" si="19"/>
        <v>1.34E-2</v>
      </c>
      <c r="K77" s="1062">
        <f t="shared" si="20"/>
        <v>6.7000000000000002E-3</v>
      </c>
      <c r="L77" s="1062">
        <v>0</v>
      </c>
      <c r="M77" s="1062">
        <f t="shared" si="21"/>
        <v>-6.7000000000000002E-3</v>
      </c>
      <c r="N77" s="1062">
        <f t="shared" si="21"/>
        <v>-1.34E-2</v>
      </c>
      <c r="O77" s="1117"/>
      <c r="P77" s="1117"/>
      <c r="Z77" s="1996"/>
      <c r="AA77" s="2051"/>
      <c r="AG77" s="1119"/>
      <c r="AK77" s="2051"/>
    </row>
    <row r="78" spans="1:37" ht="36">
      <c r="A78" s="2128" t="s">
        <v>2057</v>
      </c>
      <c r="B78" s="2134" t="s">
        <v>2058</v>
      </c>
      <c r="C78" s="2042" t="s">
        <v>4388</v>
      </c>
      <c r="D78" s="1063">
        <f t="shared" si="17"/>
        <v>3.7000000000000002E-3</v>
      </c>
      <c r="E78" s="746"/>
      <c r="F78" s="1812"/>
      <c r="G78" s="3474">
        <v>3.7000000000000002E-3</v>
      </c>
      <c r="H78" s="1064">
        <f t="shared" si="18"/>
        <v>3.7000000000000002E-3</v>
      </c>
      <c r="I78" s="3358">
        <v>0.05</v>
      </c>
      <c r="J78" s="1062">
        <f t="shared" si="19"/>
        <v>7.4000000000000003E-3</v>
      </c>
      <c r="K78" s="1062">
        <f t="shared" si="20"/>
        <v>3.7000000000000002E-3</v>
      </c>
      <c r="L78" s="1062">
        <v>0</v>
      </c>
      <c r="M78" s="1062">
        <f t="shared" si="21"/>
        <v>-3.7000000000000002E-3</v>
      </c>
      <c r="N78" s="1062">
        <f t="shared" si="21"/>
        <v>-7.4000000000000003E-3</v>
      </c>
      <c r="O78" s="1995"/>
      <c r="P78" s="1995"/>
      <c r="Z78" s="1996"/>
      <c r="AA78" s="2051"/>
      <c r="AG78" s="1119"/>
      <c r="AK78" s="2051"/>
    </row>
    <row r="79" spans="1:37" ht="39.6">
      <c r="A79" s="2128" t="s">
        <v>2061</v>
      </c>
      <c r="B79" s="2131" t="str">
        <f>估价对象房地状况!C20</f>
        <v>区域自然环境：；人文环境；综合评价环境状况一般</v>
      </c>
      <c r="C79" s="2042" t="s">
        <v>4387</v>
      </c>
      <c r="D79" s="1063">
        <f t="shared" si="17"/>
        <v>0</v>
      </c>
      <c r="E79" s="746"/>
      <c r="F79" s="1812"/>
      <c r="G79" s="3474">
        <v>8.9999999999999993E-3</v>
      </c>
      <c r="H79" s="1064">
        <f t="shared" si="18"/>
        <v>8.9999999999999993E-3</v>
      </c>
      <c r="I79" s="3358">
        <v>0.12</v>
      </c>
      <c r="J79" s="1062">
        <f t="shared" si="19"/>
        <v>1.7999999999999999E-2</v>
      </c>
      <c r="K79" s="1062">
        <f t="shared" si="20"/>
        <v>8.9999999999999993E-3</v>
      </c>
      <c r="L79" s="1062">
        <v>0</v>
      </c>
      <c r="M79" s="1062">
        <f t="shared" si="21"/>
        <v>-8.9999999999999993E-3</v>
      </c>
      <c r="N79" s="1062">
        <f t="shared" si="21"/>
        <v>-1.7999999999999999E-2</v>
      </c>
      <c r="Z79" s="1996"/>
      <c r="AA79" s="2051"/>
      <c r="AG79" s="1119"/>
      <c r="AK79" s="2051"/>
    </row>
    <row r="80" spans="1:37" ht="36.6" thickBot="1">
      <c r="A80" s="2136" t="s">
        <v>2068</v>
      </c>
      <c r="B80" s="2140"/>
      <c r="C80" s="2042" t="s">
        <v>4389</v>
      </c>
      <c r="D80" s="1063">
        <f t="shared" si="17"/>
        <v>-3.7000000000000002E-3</v>
      </c>
      <c r="E80" s="747"/>
      <c r="F80" s="1812"/>
      <c r="G80" s="3474">
        <v>3.7000000000000002E-3</v>
      </c>
      <c r="H80" s="1064">
        <f t="shared" si="18"/>
        <v>3.7000000000000002E-3</v>
      </c>
      <c r="I80" s="3359">
        <v>0.05</v>
      </c>
      <c r="J80" s="1062">
        <f t="shared" si="19"/>
        <v>7.4000000000000003E-3</v>
      </c>
      <c r="K80" s="1062">
        <f t="shared" si="20"/>
        <v>3.7000000000000002E-3</v>
      </c>
      <c r="L80" s="1062">
        <v>0</v>
      </c>
      <c r="M80" s="1062">
        <f t="shared" si="21"/>
        <v>-3.7000000000000002E-3</v>
      </c>
      <c r="N80" s="1062">
        <f t="shared" si="21"/>
        <v>-7.4000000000000003E-3</v>
      </c>
      <c r="Z80" s="1996"/>
      <c r="AA80" s="2051"/>
      <c r="AG80" s="1119"/>
      <c r="AK80" s="2051"/>
    </row>
    <row r="81" spans="1:37" ht="14.4">
      <c r="A81" s="2124" t="s">
        <v>2069</v>
      </c>
      <c r="B81" s="2125">
        <f>1+E83</f>
        <v>1</v>
      </c>
      <c r="C81" s="740"/>
      <c r="D81" s="740"/>
      <c r="E81" s="741"/>
      <c r="F81" s="2127"/>
      <c r="G81" s="3"/>
      <c r="H81" s="3"/>
      <c r="I81" s="3"/>
      <c r="J81" s="4"/>
      <c r="K81" s="4"/>
      <c r="L81" s="4"/>
      <c r="M81" s="4"/>
      <c r="N81" s="4"/>
      <c r="Z81" s="1996"/>
      <c r="AA81" s="2051"/>
      <c r="AG81" s="1119"/>
      <c r="AK81" s="2051"/>
    </row>
    <row r="82" spans="1:37" ht="25.2">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9.6">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52.8">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58">
        <v>0.3</v>
      </c>
      <c r="J84" s="1062">
        <f t="shared" si="24"/>
        <v>0</v>
      </c>
      <c r="K84" s="1062">
        <f t="shared" si="25"/>
        <v>0</v>
      </c>
      <c r="L84" s="1062">
        <v>0</v>
      </c>
      <c r="M84" s="1062">
        <f t="shared" si="26"/>
        <v>0</v>
      </c>
      <c r="N84" s="1062">
        <f t="shared" si="26"/>
        <v>0</v>
      </c>
      <c r="Z84" s="1996"/>
      <c r="AA84" s="2051"/>
      <c r="AG84" s="1119"/>
      <c r="AK84" s="2051"/>
    </row>
    <row r="85" spans="1:37" ht="48">
      <c r="A85" s="3360" t="s">
        <v>3266</v>
      </c>
      <c r="B85" s="2132">
        <f>估价对象房地状况!G17</f>
        <v>0</v>
      </c>
      <c r="C85" s="2042"/>
      <c r="D85" s="1063">
        <f t="shared" si="22"/>
        <v>0</v>
      </c>
      <c r="E85" s="746"/>
      <c r="F85" s="1812"/>
      <c r="G85" s="1061"/>
      <c r="H85" s="1064" t="str">
        <f t="shared" si="23"/>
        <v>——</v>
      </c>
      <c r="I85" s="3358">
        <v>0.1</v>
      </c>
      <c r="J85" s="1062">
        <f t="shared" si="24"/>
        <v>0</v>
      </c>
      <c r="K85" s="1062">
        <f t="shared" si="25"/>
        <v>0</v>
      </c>
      <c r="L85" s="1062">
        <v>0</v>
      </c>
      <c r="M85" s="1062">
        <f t="shared" si="26"/>
        <v>0</v>
      </c>
      <c r="N85" s="1062">
        <f t="shared" si="26"/>
        <v>0</v>
      </c>
      <c r="Z85" s="1996"/>
      <c r="AA85" s="2051"/>
      <c r="AG85" s="1119"/>
      <c r="AK85" s="2051"/>
    </row>
    <row r="86" spans="1:37" ht="13.8">
      <c r="A86" s="2128" t="s">
        <v>2067</v>
      </c>
      <c r="B86" s="2132">
        <f>估价对象房地状况!G22</f>
        <v>0</v>
      </c>
      <c r="C86" s="2042"/>
      <c r="D86" s="1063">
        <f t="shared" si="22"/>
        <v>0</v>
      </c>
      <c r="E86" s="746"/>
      <c r="F86" s="1812"/>
      <c r="G86" s="1061"/>
      <c r="H86" s="1064" t="str">
        <f t="shared" si="23"/>
        <v>——</v>
      </c>
      <c r="I86" s="3358">
        <v>0.05</v>
      </c>
      <c r="J86" s="1062">
        <f t="shared" si="24"/>
        <v>0</v>
      </c>
      <c r="K86" s="1062">
        <f t="shared" si="25"/>
        <v>0</v>
      </c>
      <c r="L86" s="1062">
        <v>0</v>
      </c>
      <c r="M86" s="1062">
        <f t="shared" si="26"/>
        <v>0</v>
      </c>
      <c r="N86" s="1062">
        <f t="shared" si="26"/>
        <v>0</v>
      </c>
      <c r="Z86" s="1996"/>
      <c r="AA86" s="2051"/>
      <c r="AG86" s="1119"/>
      <c r="AK86" s="2051"/>
    </row>
    <row r="87" spans="1:37" ht="26.4">
      <c r="A87" s="2128" t="s">
        <v>2059</v>
      </c>
      <c r="B87" s="1324" t="str">
        <f>估价对象房地状况!G19</f>
        <v>估价对象所在区域公共配套设施齐备情况</v>
      </c>
      <c r="C87" s="2042"/>
      <c r="D87" s="1063">
        <f t="shared" si="22"/>
        <v>0</v>
      </c>
      <c r="E87" s="746"/>
      <c r="F87" s="1812"/>
      <c r="G87" s="1061"/>
      <c r="H87" s="1064" t="str">
        <f t="shared" si="23"/>
        <v>——</v>
      </c>
      <c r="I87" s="3358">
        <v>0.06</v>
      </c>
      <c r="J87" s="1062">
        <f t="shared" si="24"/>
        <v>0</v>
      </c>
      <c r="K87" s="1062">
        <f t="shared" si="25"/>
        <v>0</v>
      </c>
      <c r="L87" s="1062">
        <v>0</v>
      </c>
      <c r="M87" s="1062">
        <f t="shared" si="26"/>
        <v>0</v>
      </c>
      <c r="N87" s="1062">
        <f t="shared" si="26"/>
        <v>0</v>
      </c>
    </row>
    <row r="88" spans="1:37" ht="26.4">
      <c r="A88" s="2128" t="s">
        <v>2060</v>
      </c>
      <c r="B88" s="1324" t="str">
        <f>估价对象房地状况!G20</f>
        <v>估价对象所在区域基础设施水平</v>
      </c>
      <c r="C88" s="2042"/>
      <c r="D88" s="1063">
        <f t="shared" si="22"/>
        <v>0</v>
      </c>
      <c r="E88" s="746"/>
      <c r="F88" s="1812"/>
      <c r="G88" s="1061"/>
      <c r="H88" s="1064" t="str">
        <f t="shared" si="23"/>
        <v>——</v>
      </c>
      <c r="I88" s="3358">
        <v>0.12</v>
      </c>
      <c r="J88" s="1062">
        <f t="shared" si="24"/>
        <v>0</v>
      </c>
      <c r="K88" s="1062">
        <f t="shared" si="25"/>
        <v>0</v>
      </c>
      <c r="L88" s="1062">
        <v>0</v>
      </c>
      <c r="M88" s="1062">
        <f t="shared" si="26"/>
        <v>0</v>
      </c>
      <c r="N88" s="1062">
        <f t="shared" si="26"/>
        <v>0</v>
      </c>
    </row>
    <row r="89" spans="1:37" ht="36">
      <c r="A89" s="2128" t="s">
        <v>2057</v>
      </c>
      <c r="B89" s="2134" t="s">
        <v>2071</v>
      </c>
      <c r="C89" s="2042"/>
      <c r="D89" s="1063">
        <f t="shared" si="22"/>
        <v>0</v>
      </c>
      <c r="E89" s="746"/>
      <c r="F89" s="1812"/>
      <c r="G89" s="1061"/>
      <c r="H89" s="1064" t="str">
        <f t="shared" si="23"/>
        <v>——</v>
      </c>
      <c r="I89" s="3358">
        <v>0.06</v>
      </c>
      <c r="J89" s="1062">
        <f t="shared" si="24"/>
        <v>0</v>
      </c>
      <c r="K89" s="1062">
        <f t="shared" si="25"/>
        <v>0</v>
      </c>
      <c r="L89" s="1062">
        <v>0</v>
      </c>
      <c r="M89" s="1062">
        <f t="shared" si="26"/>
        <v>0</v>
      </c>
      <c r="N89" s="1062">
        <f t="shared" si="26"/>
        <v>0</v>
      </c>
    </row>
    <row r="90" spans="1:37" ht="40.200000000000003"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59">
        <v>0.05</v>
      </c>
      <c r="J90" s="1062">
        <f t="shared" si="24"/>
        <v>0</v>
      </c>
      <c r="K90" s="1062">
        <f t="shared" si="25"/>
        <v>0</v>
      </c>
      <c r="L90" s="1062">
        <v>0</v>
      </c>
      <c r="M90" s="1062">
        <f t="shared" si="26"/>
        <v>0</v>
      </c>
      <c r="N90" s="1062">
        <f t="shared" si="26"/>
        <v>0</v>
      </c>
    </row>
    <row r="91" spans="1:37" ht="13.8">
      <c r="A91" s="3368" t="s">
        <v>2609</v>
      </c>
      <c r="B91" s="3369">
        <f>1+E93</f>
        <v>1</v>
      </c>
      <c r="C91" s="3362"/>
      <c r="D91" s="3363"/>
      <c r="E91" s="1812"/>
      <c r="F91" s="1812"/>
      <c r="G91" s="3364"/>
      <c r="H91" s="3365"/>
      <c r="I91" s="3366"/>
      <c r="J91" s="3367"/>
      <c r="K91" s="3367"/>
      <c r="L91" s="3367"/>
      <c r="M91" s="3367"/>
      <c r="N91" s="3367"/>
    </row>
    <row r="92" spans="1:37" ht="25.2">
      <c r="A92" s="3370" t="s">
        <v>3267</v>
      </c>
      <c r="B92" s="3357"/>
      <c r="C92" s="3357" t="s">
        <v>3276</v>
      </c>
      <c r="D92" s="3357" t="s">
        <v>3277</v>
      </c>
      <c r="E92" s="3339" t="s">
        <v>3278</v>
      </c>
      <c r="F92" s="3372" t="s">
        <v>3279</v>
      </c>
      <c r="G92" s="3357" t="s">
        <v>3280</v>
      </c>
      <c r="H92" s="3379" t="s">
        <v>3283</v>
      </c>
      <c r="I92" s="3357" t="s">
        <v>3284</v>
      </c>
      <c r="J92" s="3380" t="s">
        <v>3285</v>
      </c>
      <c r="K92" s="3380" t="s">
        <v>3286</v>
      </c>
      <c r="L92" s="3380" t="s">
        <v>3287</v>
      </c>
      <c r="M92" s="3380" t="s">
        <v>3288</v>
      </c>
      <c r="N92" s="3380" t="s">
        <v>3289</v>
      </c>
    </row>
    <row r="93" spans="1:37" ht="24">
      <c r="A93" s="3360" t="s">
        <v>3268</v>
      </c>
      <c r="B93" s="1304"/>
      <c r="C93" s="2042"/>
      <c r="D93" s="3357">
        <f>SUMIF($J$92:$N$92,C93,J93:N93)</f>
        <v>0</v>
      </c>
      <c r="E93" s="3373">
        <f>ROUND(SUM(D93:D101),4)</f>
        <v>0</v>
      </c>
      <c r="F93" s="1812"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52.8">
      <c r="A94" s="3370" t="s">
        <v>3269</v>
      </c>
      <c r="B94" s="3361" t="str">
        <f>估价对象房地状况!C18</f>
        <v>估价对象周边道路状况、公共交通通达情况、停车便捷程度，综合评价交通便捷度较好</v>
      </c>
      <c r="C94" s="2042"/>
      <c r="D94" s="3357">
        <f t="shared" ref="D94:D101" si="30">SUMIF($J$60:$N$60,C94,J94:N94)</f>
        <v>0</v>
      </c>
      <c r="E94" s="3374"/>
      <c r="F94" s="1812"/>
      <c r="G94" s="3364"/>
      <c r="H94" s="3412" t="str">
        <f>IFERROR(ROUNDDOWN($F$93*I94/2,4),"——")</f>
        <v>——</v>
      </c>
      <c r="I94" s="3358">
        <v>0.26</v>
      </c>
      <c r="J94" s="3336">
        <f t="shared" si="27"/>
        <v>0</v>
      </c>
      <c r="K94" s="3336">
        <f t="shared" si="28"/>
        <v>0</v>
      </c>
      <c r="L94" s="3336">
        <v>0</v>
      </c>
      <c r="M94" s="3336">
        <f t="shared" si="29"/>
        <v>0</v>
      </c>
      <c r="N94" s="3336">
        <f t="shared" si="29"/>
        <v>0</v>
      </c>
    </row>
    <row r="95" spans="1:37" ht="48">
      <c r="A95" s="3360" t="s">
        <v>3265</v>
      </c>
      <c r="B95" s="3361">
        <f>估价对象房地状况!C19</f>
        <v>0</v>
      </c>
      <c r="C95" s="2042"/>
      <c r="D95" s="3357">
        <f t="shared" si="30"/>
        <v>0</v>
      </c>
      <c r="E95" s="3374"/>
      <c r="F95" s="1812"/>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7.200000000000003">
      <c r="A96" s="3370" t="s">
        <v>3270</v>
      </c>
      <c r="B96" s="3376" t="s">
        <v>3281</v>
      </c>
      <c r="C96" s="2042"/>
      <c r="D96" s="3357">
        <f t="shared" si="30"/>
        <v>0</v>
      </c>
      <c r="E96" s="3374"/>
      <c r="F96" s="1812"/>
      <c r="G96" s="3364"/>
      <c r="H96" s="3412" t="str">
        <f t="shared" si="31"/>
        <v>——</v>
      </c>
      <c r="I96" s="3358">
        <v>0.05</v>
      </c>
      <c r="J96" s="3336">
        <f t="shared" si="27"/>
        <v>0</v>
      </c>
      <c r="K96" s="3336">
        <f t="shared" si="28"/>
        <v>0</v>
      </c>
      <c r="L96" s="3336">
        <v>0</v>
      </c>
      <c r="M96" s="3336">
        <f t="shared" si="29"/>
        <v>0</v>
      </c>
      <c r="N96" s="3336">
        <f t="shared" si="29"/>
        <v>0</v>
      </c>
    </row>
    <row r="97" spans="1:14" ht="24">
      <c r="A97" s="3370" t="s">
        <v>3271</v>
      </c>
      <c r="B97" s="3361">
        <f>估价对象房地状况!C24</f>
        <v>0</v>
      </c>
      <c r="C97" s="2042"/>
      <c r="D97" s="3357">
        <f t="shared" si="30"/>
        <v>0</v>
      </c>
      <c r="E97" s="3374"/>
      <c r="F97" s="1812"/>
      <c r="G97" s="3364"/>
      <c r="H97" s="3412" t="str">
        <f t="shared" si="31"/>
        <v>——</v>
      </c>
      <c r="I97" s="3358">
        <v>0.05</v>
      </c>
      <c r="J97" s="3336">
        <f t="shared" si="27"/>
        <v>0</v>
      </c>
      <c r="K97" s="3336">
        <f t="shared" si="28"/>
        <v>0</v>
      </c>
      <c r="L97" s="3336">
        <v>0</v>
      </c>
      <c r="M97" s="3336">
        <f t="shared" si="29"/>
        <v>0</v>
      </c>
      <c r="N97" s="3336">
        <f t="shared" si="29"/>
        <v>0</v>
      </c>
    </row>
    <row r="98" spans="1:14" ht="36">
      <c r="A98" s="3370" t="s">
        <v>3272</v>
      </c>
      <c r="B98" s="3377" t="s">
        <v>3282</v>
      </c>
      <c r="C98" s="2042"/>
      <c r="D98" s="3357">
        <f t="shared" si="30"/>
        <v>0</v>
      </c>
      <c r="E98" s="3374"/>
      <c r="F98" s="1812"/>
      <c r="G98" s="3364"/>
      <c r="H98" s="3412" t="str">
        <f t="shared" si="31"/>
        <v>——</v>
      </c>
      <c r="I98" s="3358">
        <v>0.06</v>
      </c>
      <c r="J98" s="3336">
        <f t="shared" si="27"/>
        <v>0</v>
      </c>
      <c r="K98" s="3336">
        <f t="shared" si="28"/>
        <v>0</v>
      </c>
      <c r="L98" s="3336">
        <v>0</v>
      </c>
      <c r="M98" s="3336">
        <f t="shared" si="29"/>
        <v>0</v>
      </c>
      <c r="N98" s="3336">
        <f t="shared" si="29"/>
        <v>0</v>
      </c>
    </row>
    <row r="99" spans="1:14" ht="26.4">
      <c r="A99" s="3370" t="s">
        <v>3273</v>
      </c>
      <c r="B99" s="3361" t="str">
        <f>估价对象房地状况!C21</f>
        <v>估价对象所在区域公共配套设施齐备情况</v>
      </c>
      <c r="C99" s="2042"/>
      <c r="D99" s="3357">
        <f t="shared" si="30"/>
        <v>0</v>
      </c>
      <c r="E99" s="3374"/>
      <c r="F99" s="1812"/>
      <c r="G99" s="3364"/>
      <c r="H99" s="3412" t="str">
        <f t="shared" si="31"/>
        <v>——</v>
      </c>
      <c r="I99" s="3358">
        <v>0.06</v>
      </c>
      <c r="J99" s="3336">
        <f t="shared" si="27"/>
        <v>0</v>
      </c>
      <c r="K99" s="3336">
        <f t="shared" si="28"/>
        <v>0</v>
      </c>
      <c r="L99" s="3336">
        <v>0</v>
      </c>
      <c r="M99" s="3336">
        <f t="shared" si="29"/>
        <v>0</v>
      </c>
      <c r="N99" s="3336">
        <f t="shared" si="29"/>
        <v>0</v>
      </c>
    </row>
    <row r="100" spans="1:14" ht="26.4">
      <c r="A100" s="3370" t="s">
        <v>3274</v>
      </c>
      <c r="B100" s="3361" t="str">
        <f>估价对象房地状况!C22</f>
        <v>估价对象所在区域基础设施水平</v>
      </c>
      <c r="C100" s="2042"/>
      <c r="D100" s="3357">
        <f t="shared" si="30"/>
        <v>0</v>
      </c>
      <c r="E100" s="3374"/>
      <c r="F100" s="1812"/>
      <c r="G100" s="3364"/>
      <c r="H100" s="3412" t="str">
        <f t="shared" si="31"/>
        <v>——</v>
      </c>
      <c r="I100" s="3358">
        <v>0.09</v>
      </c>
      <c r="J100" s="3336">
        <f t="shared" si="27"/>
        <v>0</v>
      </c>
      <c r="K100" s="3336">
        <f t="shared" si="28"/>
        <v>0</v>
      </c>
      <c r="L100" s="3336">
        <v>0</v>
      </c>
      <c r="M100" s="3336">
        <f t="shared" si="29"/>
        <v>0</v>
      </c>
      <c r="N100" s="3336">
        <f t="shared" si="29"/>
        <v>0</v>
      </c>
    </row>
    <row r="101" spans="1:14" ht="40.200000000000003" thickBot="1">
      <c r="A101" s="3371" t="s">
        <v>3275</v>
      </c>
      <c r="B101" s="3378" t="str">
        <f>估价对象房地状况!C20</f>
        <v>区域自然环境：；人文环境；综合评价环境状况一般</v>
      </c>
      <c r="C101" s="2042"/>
      <c r="D101" s="3357">
        <f t="shared" si="30"/>
        <v>0</v>
      </c>
      <c r="E101" s="3375"/>
      <c r="F101" s="1812"/>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11" t="s">
        <v>3290</v>
      </c>
      <c r="B103" s="3711"/>
      <c r="C103" s="3711"/>
      <c r="D103" s="3711"/>
      <c r="E103" s="3711"/>
      <c r="F103" s="3711"/>
      <c r="G103" s="3711"/>
      <c r="H103" s="3711"/>
      <c r="I103" s="3711"/>
      <c r="J103" s="3711"/>
      <c r="K103" s="3381"/>
      <c r="L103" s="3381"/>
      <c r="M103" s="3381"/>
      <c r="N103" s="3381"/>
    </row>
    <row r="104" spans="1:14">
      <c r="A104" s="3712" t="s">
        <v>3291</v>
      </c>
      <c r="B104" s="3712" t="s">
        <v>3292</v>
      </c>
      <c r="C104" s="3382" t="s">
        <v>3293</v>
      </c>
      <c r="D104" s="3383"/>
      <c r="E104" s="3383"/>
      <c r="F104" s="3383"/>
      <c r="G104" s="3383"/>
      <c r="H104" s="3383"/>
      <c r="I104" s="3383"/>
      <c r="J104" s="3384"/>
      <c r="K104" s="3385"/>
      <c r="L104" s="3385"/>
      <c r="M104" s="3385"/>
      <c r="N104" s="3385"/>
    </row>
    <row r="105" spans="1:14">
      <c r="A105" s="3712"/>
      <c r="B105" s="3712"/>
      <c r="C105" s="3386" t="s">
        <v>3294</v>
      </c>
      <c r="D105" s="3386" t="s">
        <v>3295</v>
      </c>
      <c r="E105" s="3386" t="s">
        <v>3296</v>
      </c>
      <c r="F105" s="3386" t="s">
        <v>3297</v>
      </c>
      <c r="G105" s="3386" t="s">
        <v>3298</v>
      </c>
      <c r="H105" s="3386" t="s">
        <v>3299</v>
      </c>
      <c r="I105" s="3386" t="s">
        <v>3300</v>
      </c>
      <c r="J105" s="3386" t="s">
        <v>3301</v>
      </c>
      <c r="K105" s="3386" t="s">
        <v>3302</v>
      </c>
      <c r="L105" s="3386" t="s">
        <v>3303</v>
      </c>
      <c r="M105" s="3386" t="s">
        <v>3304</v>
      </c>
      <c r="N105" s="3386" t="s">
        <v>3305</v>
      </c>
    </row>
    <row r="106" spans="1:14">
      <c r="A106" s="3698" t="s">
        <v>3306</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699"/>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699"/>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699"/>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699"/>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699"/>
      <c r="B111" s="3386" t="s">
        <v>3264</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00"/>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01" t="s">
        <v>3307</v>
      </c>
      <c r="B113" s="3701"/>
      <c r="C113" s="3701"/>
      <c r="D113" s="3701"/>
      <c r="E113" s="3701"/>
      <c r="F113" s="3701"/>
      <c r="G113" s="3701"/>
      <c r="H113" s="3701"/>
      <c r="I113" s="3701"/>
      <c r="J113" s="3701"/>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8" thickBot="1">
      <c r="A115" s="3389"/>
      <c r="B115" s="3389"/>
      <c r="C115" s="3389"/>
      <c r="D115" s="3389"/>
      <c r="E115" s="3389"/>
      <c r="F115" s="3389"/>
      <c r="G115" s="3389"/>
      <c r="H115" s="3389"/>
      <c r="I115" s="3389"/>
      <c r="J115" s="3389"/>
      <c r="K115" s="3348"/>
      <c r="L115" s="3389"/>
      <c r="M115" s="3389"/>
      <c r="N115" s="3389"/>
    </row>
    <row r="116" spans="1:14" ht="25.8" thickBot="1">
      <c r="A116" s="3390" t="s">
        <v>3308</v>
      </c>
      <c r="B116" s="3407">
        <f>G3</f>
        <v>1.5</v>
      </c>
      <c r="C116" s="3391" t="s">
        <v>3309</v>
      </c>
      <c r="D116" s="3392">
        <f>SUMPRODUCT((A118:A122=F116)*(B117:M117=H116)*B118:M122)</f>
        <v>0.76880000000000004</v>
      </c>
      <c r="E116" s="1998" t="s">
        <v>3310</v>
      </c>
      <c r="F116" s="3393" t="str">
        <f>E2</f>
        <v>住宅</v>
      </c>
      <c r="G116" s="1998" t="s">
        <v>3311</v>
      </c>
      <c r="H116" s="3393" t="str">
        <f>G2</f>
        <v>十级</v>
      </c>
      <c r="I116" s="1998"/>
      <c r="J116" s="3394"/>
      <c r="K116" s="3394"/>
      <c r="L116" s="3394"/>
      <c r="M116" s="3394"/>
      <c r="N116" s="3389"/>
    </row>
    <row r="117" spans="1:14">
      <c r="A117" s="3395"/>
      <c r="B117" s="3396" t="s">
        <v>3312</v>
      </c>
      <c r="C117" s="3396" t="s">
        <v>3313</v>
      </c>
      <c r="D117" s="3396" t="s">
        <v>3314</v>
      </c>
      <c r="E117" s="3397" t="s">
        <v>3315</v>
      </c>
      <c r="F117" s="3397" t="s">
        <v>3316</v>
      </c>
      <c r="G117" s="3397" t="s">
        <v>3317</v>
      </c>
      <c r="H117" s="3398" t="s">
        <v>3318</v>
      </c>
      <c r="I117" s="3398" t="s">
        <v>3319</v>
      </c>
      <c r="J117" s="3399" t="s">
        <v>3320</v>
      </c>
      <c r="K117" s="3399" t="s">
        <v>3321</v>
      </c>
      <c r="L117" s="3399" t="s">
        <v>3322</v>
      </c>
      <c r="M117" s="3400" t="s">
        <v>3323</v>
      </c>
      <c r="N117" s="3389"/>
    </row>
    <row r="118" spans="1:14">
      <c r="A118" s="3401" t="s">
        <v>3324</v>
      </c>
      <c r="B118" s="3379">
        <f>ROUND(0.9968-0.011*B116,4)</f>
        <v>0.98029999999999995</v>
      </c>
      <c r="C118" s="3379">
        <f>B118</f>
        <v>0.98029999999999995</v>
      </c>
      <c r="D118" s="3379">
        <f>ROUND(0.949-0.014*B116,4)</f>
        <v>0.92800000000000005</v>
      </c>
      <c r="E118" s="3379">
        <f>D118</f>
        <v>0.92800000000000005</v>
      </c>
      <c r="F118" s="3379">
        <f>E118</f>
        <v>0.92800000000000005</v>
      </c>
      <c r="G118" s="3379">
        <f>F118</f>
        <v>0.92800000000000005</v>
      </c>
      <c r="H118" s="3379">
        <f>G118</f>
        <v>0.92800000000000005</v>
      </c>
      <c r="I118" s="3379">
        <f>ROUND(0.8486-0.018*B116,4)</f>
        <v>0.8216</v>
      </c>
      <c r="J118" s="3379">
        <f t="shared" ref="J118:M122" si="35">I118</f>
        <v>0.8216</v>
      </c>
      <c r="K118" s="3379">
        <f t="shared" si="35"/>
        <v>0.8216</v>
      </c>
      <c r="L118" s="3379">
        <f t="shared" si="35"/>
        <v>0.8216</v>
      </c>
      <c r="M118" s="3402">
        <f t="shared" si="35"/>
        <v>0.8216</v>
      </c>
      <c r="N118" s="3389"/>
    </row>
    <row r="119" spans="1:14">
      <c r="A119" s="3401" t="s">
        <v>3325</v>
      </c>
      <c r="B119" s="3379">
        <f>ROUND(0.993-0.0112*B116,4)</f>
        <v>0.97619999999999996</v>
      </c>
      <c r="C119" s="3379">
        <f>B119</f>
        <v>0.97619999999999996</v>
      </c>
      <c r="D119" s="3379">
        <f>ROUND(0.9415-0.0142*B116,4)</f>
        <v>0.92020000000000002</v>
      </c>
      <c r="E119" s="3379">
        <f t="shared" ref="E119:H120" si="36">D119</f>
        <v>0.92020000000000002</v>
      </c>
      <c r="F119" s="3379">
        <f t="shared" si="36"/>
        <v>0.92020000000000002</v>
      </c>
      <c r="G119" s="3379">
        <f t="shared" si="36"/>
        <v>0.92020000000000002</v>
      </c>
      <c r="H119" s="3379">
        <f t="shared" si="36"/>
        <v>0.92020000000000002</v>
      </c>
      <c r="I119" s="3379">
        <f>ROUND(0.838-0.0182*B116,4)</f>
        <v>0.81069999999999998</v>
      </c>
      <c r="J119" s="3379">
        <f t="shared" si="35"/>
        <v>0.81069999999999998</v>
      </c>
      <c r="K119" s="3379">
        <f t="shared" si="35"/>
        <v>0.81069999999999998</v>
      </c>
      <c r="L119" s="3379">
        <f t="shared" si="35"/>
        <v>0.81069999999999998</v>
      </c>
      <c r="M119" s="3402">
        <f t="shared" si="35"/>
        <v>0.81069999999999998</v>
      </c>
      <c r="N119" s="3389"/>
    </row>
    <row r="120" spans="1:14">
      <c r="A120" s="3401" t="s">
        <v>3326</v>
      </c>
      <c r="B120" s="3379">
        <f>ROUND(0.9448-0.0115*B116,4)</f>
        <v>0.92759999999999998</v>
      </c>
      <c r="C120" s="3379">
        <f>B120</f>
        <v>0.92759999999999998</v>
      </c>
      <c r="D120" s="3379">
        <f>ROUND(0.937-0.0145*B116,4)</f>
        <v>0.9153</v>
      </c>
      <c r="E120" s="3379">
        <f t="shared" si="36"/>
        <v>0.9153</v>
      </c>
      <c r="F120" s="3379">
        <f t="shared" si="36"/>
        <v>0.9153</v>
      </c>
      <c r="G120" s="3379">
        <f t="shared" si="36"/>
        <v>0.9153</v>
      </c>
      <c r="H120" s="3379">
        <f t="shared" si="36"/>
        <v>0.9153</v>
      </c>
      <c r="I120" s="3379">
        <f>ROUND(0.7965-0.0185*B116,4)</f>
        <v>0.76880000000000004</v>
      </c>
      <c r="J120" s="3379">
        <f t="shared" si="35"/>
        <v>0.76880000000000004</v>
      </c>
      <c r="K120" s="3379">
        <f t="shared" si="35"/>
        <v>0.76880000000000004</v>
      </c>
      <c r="L120" s="3379">
        <f t="shared" si="35"/>
        <v>0.76880000000000004</v>
      </c>
      <c r="M120" s="3402">
        <f t="shared" si="35"/>
        <v>0.76880000000000004</v>
      </c>
      <c r="N120" s="3389"/>
    </row>
    <row r="121" spans="1:14" ht="13.8" thickBot="1">
      <c r="A121" s="3403" t="s">
        <v>3327</v>
      </c>
      <c r="B121" s="3404">
        <f>ROUND(0.7836-0.012*B116,4)</f>
        <v>0.76559999999999995</v>
      </c>
      <c r="C121" s="3404">
        <f>B121</f>
        <v>0.76559999999999995</v>
      </c>
      <c r="D121" s="3404">
        <f>ROUND(0.753-0.015*B116,4)</f>
        <v>0.73050000000000004</v>
      </c>
      <c r="E121" s="3404">
        <f>D121</f>
        <v>0.73050000000000004</v>
      </c>
      <c r="F121" s="3404">
        <f>E121</f>
        <v>0.73050000000000004</v>
      </c>
      <c r="G121" s="3404">
        <f>ROUND(0.6612-0.018*B116,4)</f>
        <v>0.63419999999999999</v>
      </c>
      <c r="H121" s="3404">
        <f>G121</f>
        <v>0.63419999999999999</v>
      </c>
      <c r="I121" s="3404">
        <f>ROUND(0.5905-0.019*B116,4)</f>
        <v>0.56200000000000006</v>
      </c>
      <c r="J121" s="3404">
        <f t="shared" si="35"/>
        <v>0.56200000000000006</v>
      </c>
      <c r="K121" s="3404">
        <f t="shared" si="35"/>
        <v>0.56200000000000006</v>
      </c>
      <c r="L121" s="3404">
        <f t="shared" si="35"/>
        <v>0.56200000000000006</v>
      </c>
      <c r="M121" s="3405">
        <f t="shared" si="35"/>
        <v>0.56200000000000006</v>
      </c>
      <c r="N121" s="3389"/>
    </row>
    <row r="122" spans="1:14">
      <c r="A122" s="3406" t="s">
        <v>2609</v>
      </c>
      <c r="B122" s="3379">
        <f>ROUND(0.9404-0.0106*B116,4)</f>
        <v>0.92449999999999999</v>
      </c>
      <c r="C122" s="3379">
        <f>B122</f>
        <v>0.92449999999999999</v>
      </c>
      <c r="D122" s="3379">
        <f>ROUND(0.8955-0.0135*B116,4)</f>
        <v>0.87529999999999997</v>
      </c>
      <c r="E122" s="3379">
        <f t="shared" ref="E122:H122" si="37">D122</f>
        <v>0.87529999999999997</v>
      </c>
      <c r="F122" s="3379">
        <f t="shared" si="37"/>
        <v>0.87529999999999997</v>
      </c>
      <c r="G122" s="3379">
        <f t="shared" si="37"/>
        <v>0.87529999999999997</v>
      </c>
      <c r="H122" s="3379">
        <f t="shared" si="37"/>
        <v>0.87529999999999997</v>
      </c>
      <c r="I122" s="3379">
        <f>ROUND(0.7632-0.0166*B116,4)</f>
        <v>0.73829999999999996</v>
      </c>
      <c r="J122" s="3379">
        <f t="shared" si="35"/>
        <v>0.73829999999999996</v>
      </c>
      <c r="K122" s="3379">
        <f t="shared" si="35"/>
        <v>0.73829999999999996</v>
      </c>
      <c r="L122" s="3379">
        <f t="shared" si="35"/>
        <v>0.73829999999999996</v>
      </c>
      <c r="M122" s="3402">
        <f t="shared" si="35"/>
        <v>0.73829999999999996</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61:H69 H72:H80 H83:H91">
    <cfRule type="cellIs" dxfId="181" priority="3" operator="notEqual">
      <formula>"——"</formula>
    </cfRule>
  </conditionalFormatting>
  <conditionalFormatting sqref="H93:H101">
    <cfRule type="cellIs" dxfId="180" priority="2" operator="notEqual">
      <formula>"——"</formula>
    </cfRule>
  </conditionalFormatting>
  <conditionalFormatting sqref="G72:G80">
    <cfRule type="cellIs" dxfId="17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52" sqref="C52"/>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8" t="s">
        <v>3330</v>
      </c>
      <c r="C1" s="1857" t="s">
        <v>1563</v>
      </c>
      <c r="D1" s="197"/>
      <c r="E1" s="197"/>
      <c r="F1" s="197"/>
      <c r="G1" s="1124">
        <f>MATCH(B1,'数据-取费表'!A6:A16,0)+5</f>
        <v>6</v>
      </c>
      <c r="H1" s="1059" t="str">
        <f>IF(ISERROR(FIND("住宅",B1)),"非住宅","住宅")</f>
        <v>非住宅</v>
      </c>
    </row>
    <row r="2" spans="1:8" s="199" customFormat="1" ht="18" customHeight="1">
      <c r="A2" s="200" t="s">
        <v>1462</v>
      </c>
      <c r="B2" s="3415">
        <f ca="1">ROUND(IF(D2="——",C52/10000,C52/10000-E2),4)</f>
        <v>5.7397999999999998</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5562</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9850.7200000000012</v>
      </c>
      <c r="D5" s="210" t="s">
        <v>1469</v>
      </c>
      <c r="E5" s="211" t="s">
        <v>1470</v>
      </c>
      <c r="F5" s="211" t="s">
        <v>1471</v>
      </c>
      <c r="G5" s="212"/>
    </row>
    <row r="6" spans="1:8" s="213" customFormat="1" ht="13.5" customHeight="1">
      <c r="A6" s="776" t="s">
        <v>1472</v>
      </c>
      <c r="B6" s="214" t="s">
        <v>1473</v>
      </c>
      <c r="C6" s="215">
        <f>基准地价修正!C41*基准地价修正!D41</f>
        <v>7956.72</v>
      </c>
      <c r="D6" s="216"/>
      <c r="E6" s="217"/>
      <c r="F6" s="217"/>
      <c r="G6" s="218"/>
    </row>
    <row r="7" spans="1:8" s="213" customFormat="1" ht="13.5" customHeight="1">
      <c r="A7" s="776" t="s">
        <v>1474</v>
      </c>
      <c r="B7" s="214" t="s">
        <v>1475</v>
      </c>
      <c r="C7" s="219">
        <f>ROUND(C6*F7,0)</f>
        <v>243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1651</v>
      </c>
      <c r="D8" s="221"/>
      <c r="E8" s="219"/>
      <c r="F8" s="220"/>
      <c r="G8" s="1854" t="s">
        <v>3427</v>
      </c>
    </row>
    <row r="9" spans="1:8" s="213" customFormat="1" ht="13.5" customHeight="1">
      <c r="A9" s="777" t="s">
        <v>355</v>
      </c>
      <c r="B9" s="223" t="s">
        <v>1478</v>
      </c>
      <c r="C9" s="224">
        <f ca="1">ROUND(D9*E9,0)</f>
        <v>1651</v>
      </c>
      <c r="D9" s="843">
        <f ca="1">IF(B1="",'数据-汇总表'!E5,IF(INDIRECT("'数据-取费表'!c"&amp;$G$1)="住宅",INDIRECT("'数据-取费表'!k"&amp;$G$1),0))</f>
        <v>10.32</v>
      </c>
      <c r="E9" s="224">
        <f>'数据-取费表'!B27</f>
        <v>160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0</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10.32</v>
      </c>
      <c r="E19" s="210">
        <f>'数据-取费表'!B31</f>
        <v>200</v>
      </c>
      <c r="F19" s="230"/>
      <c r="G19" s="1854" t="s">
        <v>3428</v>
      </c>
    </row>
    <row r="20" spans="1:7" s="213" customFormat="1" ht="13.5" customHeight="1">
      <c r="A20" s="254" t="s">
        <v>1574</v>
      </c>
      <c r="B20" s="209" t="s">
        <v>1575</v>
      </c>
      <c r="C20" s="231">
        <f ca="1">ROUND((C5+C19)*F20,0)</f>
        <v>197</v>
      </c>
      <c r="D20" s="231"/>
      <c r="E20" s="231"/>
      <c r="F20" s="232">
        <f>'数据-取费表'!B37</f>
        <v>0.02</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5">
        <f ca="1">ROUND(SUM(C23:C25),0)</f>
        <v>606</v>
      </c>
      <c r="D22" s="234">
        <f ca="1">C26</f>
        <v>8.9999999999999998E-4</v>
      </c>
      <c r="E22" s="235" t="s">
        <v>1579</v>
      </c>
      <c r="F22" s="236">
        <f ca="1">'数据-取费表'!B40</f>
        <v>0.03</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600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6</v>
      </c>
      <c r="D25" s="237"/>
      <c r="E25" s="240"/>
      <c r="F25" s="238"/>
      <c r="G25" s="241" t="s">
        <v>1588</v>
      </c>
    </row>
    <row r="26" spans="1:7" s="213" customFormat="1">
      <c r="A26" s="778" t="s">
        <v>350</v>
      </c>
      <c r="B26" s="214" t="s">
        <v>1511</v>
      </c>
      <c r="C26" s="237">
        <f ca="1">ROUND(IF('数据-取费表'!B22&lt;=1,F21*F22*'数据-取费表'!B22/2,F21*(POWER((1+F22),'数据-取费表'!B22/2)-1)),4)</f>
        <v>8.9999999999999998E-4</v>
      </c>
      <c r="D26" s="237"/>
      <c r="E26" s="240"/>
      <c r="F26" s="238"/>
      <c r="G26" s="242"/>
    </row>
    <row r="27" spans="1:7" s="213" customFormat="1" ht="26.4">
      <c r="A27" s="254" t="s">
        <v>1512</v>
      </c>
      <c r="B27" s="243" t="s">
        <v>1513</v>
      </c>
      <c r="C27" s="244">
        <f ca="1">C28</f>
        <v>804</v>
      </c>
      <c r="D27" s="234">
        <f ca="1">C29</f>
        <v>2.3999999999999998E-3</v>
      </c>
      <c r="E27" s="235" t="s">
        <v>1514</v>
      </c>
      <c r="F27" s="245">
        <f ca="1">IF(B1="",'数据-取费表'!Q16,INDIRECT("'数据-取费表'!q"&amp;$G$1))</f>
        <v>0.08</v>
      </c>
      <c r="G27" s="246" t="s">
        <v>1515</v>
      </c>
    </row>
    <row r="28" spans="1:7" s="213" customFormat="1" ht="13.5" customHeight="1">
      <c r="A28" s="778" t="s">
        <v>346</v>
      </c>
      <c r="B28" s="247" t="s">
        <v>1516</v>
      </c>
      <c r="C28" s="248">
        <f ca="1">ROUND((C5+C19+C20)*F27,0)</f>
        <v>804</v>
      </c>
      <c r="D28" s="234"/>
      <c r="E28" s="235"/>
      <c r="F28" s="245"/>
      <c r="G28" s="246"/>
    </row>
    <row r="29" spans="1:7" s="213" customFormat="1" ht="13.5" customHeight="1">
      <c r="A29" s="778" t="s">
        <v>347</v>
      </c>
      <c r="B29" s="247" t="s">
        <v>1517</v>
      </c>
      <c r="C29" s="237">
        <f ca="1">ROUND(C21*F27,4)</f>
        <v>2.3999999999999998E-3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12544</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40207</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34056</v>
      </c>
      <c r="D34" s="216"/>
      <c r="E34" s="219"/>
      <c r="F34" s="256"/>
      <c r="G34" s="218"/>
    </row>
    <row r="35" spans="1:7" ht="13.5" customHeight="1">
      <c r="A35" s="778" t="s">
        <v>351</v>
      </c>
      <c r="B35" s="214" t="s">
        <v>1527</v>
      </c>
      <c r="C35" s="219">
        <f ca="1">ROUND(C34*F35,0)</f>
        <v>1703</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1703</v>
      </c>
      <c r="D36" s="219"/>
      <c r="E36" s="219"/>
      <c r="F36" s="258">
        <f>'数据-取费表'!B34</f>
        <v>0.05</v>
      </c>
      <c r="G36" s="259" t="s">
        <v>1530</v>
      </c>
    </row>
    <row r="37" spans="1:7" s="257" customFormat="1" ht="13.5" customHeight="1">
      <c r="A37" s="778" t="s">
        <v>353</v>
      </c>
      <c r="B37" s="214" t="s">
        <v>1531</v>
      </c>
      <c r="C37" s="248">
        <f ca="1">ROUND(E37*D37,0)</f>
        <v>2064</v>
      </c>
      <c r="D37" s="216">
        <f ca="1">D19</f>
        <v>10.32</v>
      </c>
      <c r="E37" s="248">
        <f>'数据-取费表'!B35</f>
        <v>200</v>
      </c>
      <c r="F37" s="258"/>
      <c r="G37" s="260"/>
    </row>
    <row r="38" spans="1:7" ht="13.5" customHeight="1">
      <c r="A38" s="778" t="s">
        <v>354</v>
      </c>
      <c r="B38" s="214" t="s">
        <v>1533</v>
      </c>
      <c r="C38" s="219">
        <f ca="1">ROUND(C34*F38,0)</f>
        <v>681</v>
      </c>
      <c r="D38" s="219"/>
      <c r="E38" s="219"/>
      <c r="F38" s="258">
        <f>'数据-取费表'!B36</f>
        <v>0.02</v>
      </c>
      <c r="G38" s="218" t="s">
        <v>1528</v>
      </c>
    </row>
    <row r="39" spans="1:7" s="213" customFormat="1" ht="13.5" customHeight="1">
      <c r="A39" s="254" t="s">
        <v>1534</v>
      </c>
      <c r="B39" s="209" t="s">
        <v>1535</v>
      </c>
      <c r="C39" s="231">
        <f ca="1">ROUND(C33*F20,0)</f>
        <v>804</v>
      </c>
      <c r="D39" s="231"/>
      <c r="E39" s="231"/>
      <c r="F39" s="232">
        <f>F20</f>
        <v>0.02</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1230</v>
      </c>
      <c r="D41" s="234">
        <f ca="1">C44</f>
        <v>8.9999999999999998E-4</v>
      </c>
      <c r="E41" s="235" t="s">
        <v>1539</v>
      </c>
      <c r="F41" s="236">
        <f ca="1">F22</f>
        <v>0.03</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1206</v>
      </c>
      <c r="D42" s="237"/>
      <c r="E42" s="237"/>
      <c r="F42" s="238"/>
      <c r="G42" s="3695" t="s">
        <v>1591</v>
      </c>
    </row>
    <row r="43" spans="1:7" ht="13.5" customHeight="1">
      <c r="A43" s="778" t="s">
        <v>347</v>
      </c>
      <c r="B43" s="214" t="s">
        <v>1545</v>
      </c>
      <c r="C43" s="237">
        <f ca="1">ROUND(IF('数据-取费表'!B22&lt;=1,C39*F22*'数据-取费表'!B20/2,C39*(POWER((1+F22),'数据-取费表'!B20/2)-1)),0)</f>
        <v>24</v>
      </c>
      <c r="D43" s="237"/>
      <c r="E43" s="237"/>
      <c r="F43" s="238"/>
      <c r="G43" s="3696"/>
    </row>
    <row r="44" spans="1:7" ht="13.5" customHeight="1">
      <c r="A44" s="778" t="s">
        <v>348</v>
      </c>
      <c r="B44" s="214" t="s">
        <v>1546</v>
      </c>
      <c r="C44" s="237">
        <f ca="1">ROUND(IF('数据-取费表'!B22&lt;=1,C40*F22*'数据-取费表'!B20/2,C40*(POWER((1+F22),'数据-取费表'!B20/2)-1)),4)</f>
        <v>8.9999999999999998E-4</v>
      </c>
      <c r="D44" s="237"/>
      <c r="E44" s="237"/>
      <c r="F44" s="238"/>
      <c r="G44" s="3697"/>
    </row>
    <row r="45" spans="1:7" s="213" customFormat="1" ht="13.5" customHeight="1">
      <c r="A45" s="254" t="s">
        <v>1547</v>
      </c>
      <c r="B45" s="243" t="s">
        <v>1513</v>
      </c>
      <c r="C45" s="244">
        <f ca="1">C46</f>
        <v>3281</v>
      </c>
      <c r="D45" s="234">
        <f ca="1">C47</f>
        <v>2.3999999999999998E-3</v>
      </c>
      <c r="E45" s="235" t="s">
        <v>1539</v>
      </c>
      <c r="F45" s="245">
        <f ca="1">F27</f>
        <v>0.08</v>
      </c>
      <c r="G45" s="246" t="s">
        <v>1548</v>
      </c>
    </row>
    <row r="46" spans="1:7" s="213" customFormat="1" ht="13.5" customHeight="1">
      <c r="A46" s="778" t="s">
        <v>346</v>
      </c>
      <c r="B46" s="247" t="s">
        <v>1549</v>
      </c>
      <c r="C46" s="248">
        <f ca="1">ROUND((C33+C39)*F27,0)</f>
        <v>3281</v>
      </c>
      <c r="D46" s="262"/>
      <c r="E46" s="235"/>
      <c r="F46" s="245"/>
      <c r="G46" s="246"/>
    </row>
    <row r="47" spans="1:7" s="213" customFormat="1" ht="13.5" customHeight="1">
      <c r="A47" s="778" t="s">
        <v>347</v>
      </c>
      <c r="B47" s="247" t="s">
        <v>1550</v>
      </c>
      <c r="C47" s="237">
        <f ca="1">ROUND(C40*F27,4)</f>
        <v>2.3999999999999998E-3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49838</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44854</v>
      </c>
      <c r="D51" s="231"/>
      <c r="E51" s="231"/>
      <c r="F51" s="263"/>
      <c r="G51" s="233" t="s">
        <v>1560</v>
      </c>
    </row>
    <row r="52" spans="1:7" s="207" customFormat="1" ht="16.8" thickBot="1">
      <c r="A52" s="264" t="s">
        <v>1561</v>
      </c>
      <c r="B52" s="265"/>
      <c r="C52" s="266">
        <f ca="1">C31+C51</f>
        <v>57398</v>
      </c>
      <c r="D52" s="265"/>
      <c r="E52" s="265"/>
      <c r="F52" s="265"/>
      <c r="G52" s="267"/>
    </row>
    <row r="55" spans="1:7" ht="15">
      <c r="B55" s="269" t="s">
        <v>1562</v>
      </c>
      <c r="C55" s="270"/>
    </row>
    <row r="56" spans="1:7">
      <c r="B56" s="272" t="s">
        <v>802</v>
      </c>
      <c r="C56" s="274">
        <f ca="1">1-C57</f>
        <v>0.21899999999999997</v>
      </c>
    </row>
    <row r="57" spans="1:7">
      <c r="B57" s="272" t="s">
        <v>803</v>
      </c>
      <c r="C57" s="273">
        <f ca="1">ROUND(C51/C52,3)</f>
        <v>0.78100000000000003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79" customWidth="1"/>
    <col min="3" max="3" width="10.33203125" style="821" customWidth="1"/>
    <col min="4" max="4" width="9.88671875" style="779" customWidth="1"/>
    <col min="5" max="5" width="9.44140625" style="727"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5" t="s">
        <v>1594</v>
      </c>
      <c r="B1" s="1189"/>
      <c r="C1" s="1190"/>
      <c r="D1" s="1188"/>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10.32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10.32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10.32</v>
      </c>
      <c r="E20" s="21">
        <f>'数据-取费表'!B28</f>
        <v>200</v>
      </c>
      <c r="F20" s="802"/>
      <c r="G20" s="12"/>
      <c r="H20" s="807"/>
      <c r="I20" s="807"/>
      <c r="J20" s="807"/>
      <c r="K20" s="808"/>
    </row>
    <row r="21" spans="1:33" s="801" customFormat="1" ht="13.5" customHeight="1">
      <c r="A21" s="788" t="s">
        <v>357</v>
      </c>
      <c r="B21" s="811" t="s">
        <v>1628</v>
      </c>
      <c r="C21" s="812">
        <f ca="1">C16+C17+C18</f>
        <v>0</v>
      </c>
      <c r="D21" s="813"/>
      <c r="E21" s="280"/>
      <c r="F21" s="280"/>
      <c r="G21" s="131"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0.03</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0.03</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0.08</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1" t="s">
        <v>1644</v>
      </c>
      <c r="H29" s="805"/>
      <c r="I29" s="805"/>
      <c r="J29" s="805"/>
      <c r="K29" s="806"/>
    </row>
    <row r="30" spans="1:33" s="290" customFormat="1" ht="13.5" customHeight="1">
      <c r="A30" s="798" t="s">
        <v>359</v>
      </c>
      <c r="B30" s="820" t="s">
        <v>1645</v>
      </c>
      <c r="C30" s="291">
        <f ca="1">ROUND((C21+C22+C23)*F28,0)</f>
        <v>0</v>
      </c>
      <c r="D30" s="283"/>
      <c r="E30" s="284"/>
      <c r="F30" s="289"/>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0">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0</v>
      </c>
      <c r="D5" s="1362" t="s">
        <v>693</v>
      </c>
      <c r="E5" s="1069"/>
      <c r="F5" s="1070"/>
      <c r="G5" s="1382"/>
      <c r="H5" s="298">
        <v>1</v>
      </c>
      <c r="I5" s="299" t="s">
        <v>692</v>
      </c>
      <c r="J5" s="1068">
        <f ca="1">J6+J10+J12</f>
        <v>0</v>
      </c>
      <c r="K5" s="1362" t="s">
        <v>693</v>
      </c>
      <c r="L5" s="1069"/>
      <c r="M5" s="1070"/>
    </row>
    <row r="6" spans="1:37" ht="18" customHeight="1">
      <c r="A6" s="1067" t="s">
        <v>398</v>
      </c>
      <c r="B6" s="3719" t="s">
        <v>694</v>
      </c>
      <c r="C6" s="1072">
        <f ca="1">ROUND(F6*F8*F7*(1-F9)/10000,0)</f>
        <v>0</v>
      </c>
      <c r="D6" s="155" t="s">
        <v>2106</v>
      </c>
      <c r="E6" s="301" t="s">
        <v>696</v>
      </c>
      <c r="F6" s="302">
        <f ca="1">INDIRECT("'数据-取费表'!u"&amp;$G$1)</f>
        <v>0</v>
      </c>
      <c r="G6" s="1382"/>
      <c r="H6" s="1067" t="s">
        <v>398</v>
      </c>
      <c r="I6" s="3719" t="s">
        <v>694</v>
      </c>
      <c r="J6" s="300">
        <f ca="1">ROUND(M6*M8*M7*(1-M9)/10000,0)</f>
        <v>0</v>
      </c>
      <c r="K6" s="155" t="s">
        <v>2105</v>
      </c>
      <c r="L6" s="301" t="s">
        <v>696</v>
      </c>
      <c r="M6" s="302">
        <f ca="1">INDIRECT("'数据-取费表'!z"&amp;$G$1)</f>
        <v>0</v>
      </c>
    </row>
    <row r="7" spans="1:37" ht="18" customHeight="1">
      <c r="A7" s="1071"/>
      <c r="B7" s="3720"/>
      <c r="C7" s="1073"/>
      <c r="D7" s="306"/>
      <c r="E7" s="1074" t="s">
        <v>697</v>
      </c>
      <c r="F7" s="302">
        <f ca="1">IF(INDIRECT("'数据-取费表'!ah"&amp;$G$1)="",INDIRECT("'数据-取费表'!k"&amp;$G$1),INDIRECT("'数据-取费表'!ah"&amp;$G$1))</f>
        <v>0</v>
      </c>
      <c r="G7" s="1382"/>
      <c r="H7" s="303"/>
      <c r="I7" s="3720"/>
      <c r="J7" s="305"/>
      <c r="K7" s="306"/>
      <c r="L7" s="301" t="s">
        <v>697</v>
      </c>
      <c r="M7" s="302">
        <f ca="1">F7</f>
        <v>0</v>
      </c>
    </row>
    <row r="8" spans="1:37" ht="18" customHeight="1">
      <c r="A8" s="303"/>
      <c r="B8" s="3720"/>
      <c r="C8" s="305"/>
      <c r="D8" s="306"/>
      <c r="E8" s="301" t="s">
        <v>698</v>
      </c>
      <c r="F8" s="302">
        <f ca="1">INDIRECT("'数据-取费表'!ai"&amp;$G$1)</f>
        <v>0</v>
      </c>
      <c r="G8" s="1382"/>
      <c r="H8" s="303"/>
      <c r="I8" s="3720"/>
      <c r="J8" s="305"/>
      <c r="K8" s="306"/>
      <c r="L8" s="301" t="s">
        <v>698</v>
      </c>
      <c r="M8" s="302">
        <f ca="1">INDIRECT("'数据-取费表'!ai"&amp;$G$1)</f>
        <v>0</v>
      </c>
    </row>
    <row r="9" spans="1:37" ht="18" customHeight="1">
      <c r="A9" s="303"/>
      <c r="B9" s="3721"/>
      <c r="C9" s="305"/>
      <c r="D9" s="306"/>
      <c r="E9" s="301" t="s">
        <v>699</v>
      </c>
      <c r="F9" s="311">
        <f ca="1">INDIRECT("'数据-取费表'!w"&amp;$G$1)</f>
        <v>0</v>
      </c>
      <c r="G9" s="1382"/>
      <c r="H9" s="303"/>
      <c r="I9" s="3721"/>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3"/>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0</v>
      </c>
      <c r="D17" s="301" t="s">
        <v>717</v>
      </c>
      <c r="E17" s="301" t="s">
        <v>718</v>
      </c>
      <c r="F17" s="23">
        <f>'数据-取费表'!B35</f>
        <v>200</v>
      </c>
      <c r="G17" s="1394"/>
      <c r="H17" s="980" t="s">
        <v>398</v>
      </c>
      <c r="I17" s="301"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1" t="s">
        <v>726</v>
      </c>
      <c r="E19" s="1358"/>
      <c r="F19" s="23"/>
      <c r="G19" s="1382"/>
      <c r="H19" s="980" t="s">
        <v>399</v>
      </c>
      <c r="I19" s="301" t="s">
        <v>727</v>
      </c>
      <c r="J19" s="21">
        <f ca="1">IF(K19="按租金收入计税",ROUND(J6*M19/(1+'数据-取费表'!C42),2),ROUND(C29*M19*0.7,2))</f>
        <v>0</v>
      </c>
      <c r="K19" s="1368" t="s">
        <v>3332</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0.02</v>
      </c>
      <c r="G20" s="1394"/>
      <c r="H20" s="980" t="s">
        <v>680</v>
      </c>
      <c r="I20" s="155" t="s">
        <v>730</v>
      </c>
      <c r="J20" s="22">
        <f ca="1">ROUND(M20*M21/10000,2)</f>
        <v>0</v>
      </c>
      <c r="K20" s="323" t="s">
        <v>731</v>
      </c>
      <c r="L20" s="301" t="s">
        <v>732</v>
      </c>
      <c r="M20" s="324">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58"/>
      <c r="F22" s="23"/>
      <c r="G22" s="1382"/>
      <c r="H22" s="980" t="s">
        <v>402</v>
      </c>
      <c r="I22" s="301" t="s">
        <v>738</v>
      </c>
      <c r="J22" s="21">
        <f ca="1">ROUND(J14*M22,2)</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0.03</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1" t="s">
        <v>751</v>
      </c>
      <c r="E25" s="1358"/>
      <c r="F25" s="23"/>
      <c r="G25" s="1382"/>
      <c r="H25" s="1077" t="s">
        <v>394</v>
      </c>
      <c r="I25" s="1092" t="s">
        <v>752</v>
      </c>
      <c r="J25" s="309">
        <f ca="1">J5-J16</f>
        <v>0</v>
      </c>
      <c r="K25" s="1093" t="s">
        <v>753</v>
      </c>
      <c r="L25" s="1094"/>
      <c r="M25" s="1095"/>
    </row>
    <row r="26" spans="1:37">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4"/>
      <c r="I30" s="1396"/>
      <c r="J30" s="1397"/>
      <c r="K30" s="2472"/>
      <c r="L30" s="2695"/>
      <c r="M30" s="2696"/>
    </row>
    <row r="31" spans="1:37" ht="18" customHeight="1">
      <c r="A31" s="980" t="s">
        <v>398</v>
      </c>
      <c r="B31" s="301"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5" t="s">
        <v>2303</v>
      </c>
      <c r="I31" s="1396"/>
      <c r="J31" s="1397"/>
      <c r="K31" s="2472"/>
      <c r="L31" s="2695"/>
      <c r="M31" s="2696"/>
    </row>
    <row r="32" spans="1:37" ht="18" customHeight="1">
      <c r="A32" s="980" t="s">
        <v>397</v>
      </c>
      <c r="B32" s="301" t="s">
        <v>723</v>
      </c>
      <c r="C32" s="21">
        <f ca="1">IF(项目基本情况!B11="自然人","——",ROUND(C6*F32/(1+'数据-取费表'!C42),2))</f>
        <v>0</v>
      </c>
      <c r="D32" s="1342" t="s">
        <v>724</v>
      </c>
      <c r="E32" s="301" t="s">
        <v>712</v>
      </c>
      <c r="F32" s="330">
        <f>'数据-取费表'!B41</f>
        <v>5.6000000000000001E-2</v>
      </c>
      <c r="G32" s="1382"/>
      <c r="H32" s="2694"/>
      <c r="I32" s="1396"/>
      <c r="J32" s="1397"/>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8" t="s">
        <v>3332</v>
      </c>
      <c r="E33" s="301" t="s">
        <v>712</v>
      </c>
      <c r="F33" s="321">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3" t="s">
        <v>731</v>
      </c>
      <c r="E34" s="301" t="s">
        <v>732</v>
      </c>
      <c r="F34" s="324">
        <f>'数据-取费表'!B52</f>
        <v>0</v>
      </c>
      <c r="G34" s="1382"/>
      <c r="H34" s="2694"/>
      <c r="I34" s="1396"/>
      <c r="J34" s="1397"/>
      <c r="K34" s="2699"/>
      <c r="L34" s="2700"/>
      <c r="M34" s="2700"/>
    </row>
    <row r="35" spans="1:18" ht="18" customHeight="1">
      <c r="A35" s="1101"/>
      <c r="B35" s="1099"/>
      <c r="C35" s="26"/>
      <c r="D35" s="326"/>
      <c r="E35" s="301" t="s">
        <v>736</v>
      </c>
      <c r="F35" s="302">
        <f ca="1">INDIRECT("'数据-取费表'!r"&amp;$G$1)</f>
        <v>0</v>
      </c>
      <c r="G35" s="1382"/>
      <c r="H35" s="2694"/>
      <c r="I35" s="1396"/>
      <c r="J35" s="1397"/>
      <c r="K35" s="2698"/>
      <c r="L35" s="2697"/>
      <c r="M35" s="2697"/>
    </row>
    <row r="36" spans="1:18" ht="18" customHeight="1">
      <c r="A36" s="1100" t="s">
        <v>402</v>
      </c>
      <c r="B36" s="301" t="s">
        <v>738</v>
      </c>
      <c r="C36" s="21">
        <f ca="1">ROUND(C29*F36,2)</f>
        <v>0</v>
      </c>
      <c r="D36" s="1342" t="s">
        <v>771</v>
      </c>
      <c r="E36" s="301" t="s">
        <v>712</v>
      </c>
      <c r="F36" s="327">
        <f ca="1">INDIRECT("'数据-取费表'!Ak"&amp;$G$1)</f>
        <v>0</v>
      </c>
      <c r="G36" s="1382"/>
      <c r="H36" s="2697"/>
      <c r="I36" s="1396"/>
      <c r="J36" s="1397"/>
      <c r="K36" s="2541"/>
      <c r="L36" s="2697"/>
      <c r="M36" s="2697"/>
    </row>
    <row r="37" spans="1:18" ht="18" customHeight="1">
      <c r="A37" s="980" t="s">
        <v>437</v>
      </c>
      <c r="B37" s="301" t="s">
        <v>742</v>
      </c>
      <c r="C37" s="21">
        <f ca="1">ROUND(C13*F37,2)</f>
        <v>0</v>
      </c>
      <c r="D37" s="1342" t="s">
        <v>743</v>
      </c>
      <c r="E37" s="301" t="s">
        <v>744</v>
      </c>
      <c r="F37" s="329">
        <f ca="1">INDIRECT("'数据-取费表'!Al"&amp;$G$1)</f>
        <v>0</v>
      </c>
      <c r="G37" s="1382"/>
      <c r="H37" s="2697"/>
      <c r="I37" s="1396"/>
      <c r="J37" s="1397"/>
      <c r="K37" s="2541"/>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9">
        <f ca="1">C5-C30</f>
        <v>0</v>
      </c>
      <c r="D39" s="1093" t="s">
        <v>773</v>
      </c>
      <c r="E39" s="1094"/>
      <c r="F39" s="1095"/>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ROUND(C40*10000/F43,0)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1"/>
      <c r="I47" s="1412" t="s">
        <v>815</v>
      </c>
      <c r="J47" s="1413"/>
      <c r="K47" s="1414" t="s">
        <v>816</v>
      </c>
      <c r="L47" s="1415">
        <f ca="1">INDIRECT("'数据-取费表'!d"&amp;$G$1)</f>
        <v>50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299" t="s">
        <v>692</v>
      </c>
      <c r="C48" s="1357">
        <f ca="1">C49+C53+C55</f>
        <v>0</v>
      </c>
      <c r="D48" s="1110"/>
      <c r="E48" s="1111"/>
      <c r="F48" s="960"/>
      <c r="G48" s="721"/>
      <c r="H48" s="722"/>
      <c r="I48" s="1419" t="s">
        <v>819</v>
      </c>
      <c r="J48" s="1420"/>
      <c r="K48" s="1421" t="s">
        <v>820</v>
      </c>
      <c r="L48" s="1422">
        <f ca="1">INDIRECT("'数据-取费表'!f"&amp;$G$1)</f>
        <v>42.63</v>
      </c>
      <c r="O48" s="1416" t="s">
        <v>404</v>
      </c>
      <c r="P48" s="1417" t="s">
        <v>821</v>
      </c>
      <c r="Q48" s="1418" t="str">
        <f ca="1">J60</f>
        <v>0</v>
      </c>
      <c r="R48" s="1418" t="s">
        <v>822</v>
      </c>
    </row>
    <row r="49" spans="1:18" s="1382" customFormat="1" ht="13.8" thickBot="1">
      <c r="A49" s="973" t="s">
        <v>439</v>
      </c>
      <c r="B49" s="1369" t="s">
        <v>779</v>
      </c>
      <c r="C49" s="1112">
        <f ca="1">ROUND(F49*F51*F50*(1-F52)/10000,0)</f>
        <v>0</v>
      </c>
      <c r="D49" s="1053" t="s">
        <v>2107</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8" thickBot="1">
      <c r="A50" s="974"/>
      <c r="B50" s="977"/>
      <c r="C50" s="1116"/>
      <c r="D50" s="951"/>
      <c r="E50" s="1054" t="s">
        <v>697</v>
      </c>
      <c r="F50" s="1055">
        <f ca="1">F7</f>
        <v>0</v>
      </c>
      <c r="H50" s="722"/>
      <c r="I50" s="1419" t="s">
        <v>826</v>
      </c>
      <c r="J50" s="1427">
        <f>SUMPRODUCT((I63:I65=J47)*(J62:L62=J48)*(J63:L65))</f>
        <v>0</v>
      </c>
      <c r="K50" s="1421" t="s">
        <v>827</v>
      </c>
      <c r="L50" s="1425"/>
      <c r="M50" s="1428"/>
      <c r="O50" s="1426" t="s">
        <v>406</v>
      </c>
      <c r="P50" s="1417" t="s">
        <v>828</v>
      </c>
      <c r="Q50" s="1429" t="e">
        <f ca="1">J58</f>
        <v>#VALUE!</v>
      </c>
      <c r="R50" s="1418"/>
    </row>
    <row r="51" spans="1:18" s="1382" customFormat="1" ht="13.8"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6.6" thickBot="1">
      <c r="A53" s="1150" t="s">
        <v>440</v>
      </c>
      <c r="B53" s="1371" t="s">
        <v>700</v>
      </c>
      <c r="C53" s="315">
        <f ca="1">ROUND(IF(F53="押一",C49/12*F11,IF(F53="押二",C49/12*2*F11,IF(F53="押三",C49/12*3*F11,C54*F11))),0)</f>
        <v>0</v>
      </c>
      <c r="D53" s="1364" t="s">
        <v>2113</v>
      </c>
      <c r="E53" s="312" t="s">
        <v>701</v>
      </c>
      <c r="F53" s="1114"/>
      <c r="I53" s="1437" t="s">
        <v>836</v>
      </c>
      <c r="J53" s="2165">
        <f ca="1">IF(M47="住宅",IF(D1="——",MAX(J51,L48),MAX(J51,L48-'数据-取费表'!B24)),IF(D1="——",MIN(J51,L48),MIN(J51,L48-'数据-取费表'!B24)))</f>
        <v>0</v>
      </c>
      <c r="K53" s="3717" t="s">
        <v>837</v>
      </c>
      <c r="L53" s="3718"/>
      <c r="O53" s="1416" t="s">
        <v>409</v>
      </c>
      <c r="P53" s="1417" t="s">
        <v>838</v>
      </c>
      <c r="Q53" s="1418" t="e">
        <f ca="1">Q47+Q48</f>
        <v>#DIV/0!</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7.200000000000003" thickTop="1" thickBot="1">
      <c r="A56" s="955">
        <v>2</v>
      </c>
      <c r="B56" s="956" t="s">
        <v>704</v>
      </c>
      <c r="C56" s="231">
        <f ca="1">C13</f>
        <v>0</v>
      </c>
      <c r="D56" s="1445"/>
      <c r="E56" s="1446"/>
      <c r="F56" s="1438"/>
      <c r="I56" s="1447" t="s">
        <v>842</v>
      </c>
      <c r="J56" s="1448"/>
      <c r="K56" s="1419" t="s">
        <v>843</v>
      </c>
      <c r="L56" s="1422">
        <f ca="1">IF(L48&lt;J51,"——",L48-J53)</f>
        <v>42.63</v>
      </c>
      <c r="O56" s="1416" t="s">
        <v>403</v>
      </c>
      <c r="P56" s="1417" t="s">
        <v>817</v>
      </c>
      <c r="Q56" s="1418" t="e">
        <f ca="1">C40+J29</f>
        <v>#DIV/0!</v>
      </c>
      <c r="R56" s="1418" t="s">
        <v>818</v>
      </c>
    </row>
    <row r="57" spans="1:18" s="1382" customFormat="1" ht="24.6" thickBot="1">
      <c r="A57" s="1449"/>
      <c r="B57" s="948" t="s">
        <v>767</v>
      </c>
      <c r="C57" s="237">
        <f ca="1">C29</f>
        <v>0</v>
      </c>
      <c r="D57" s="1450"/>
      <c r="E57" s="1451"/>
      <c r="F57" s="1452"/>
      <c r="I57" s="1453" t="s">
        <v>844</v>
      </c>
      <c r="J57" s="1454" t="str">
        <f ca="1">IF(OR(M47="住宅",J51&lt;L48,J56="是"),"——",J51-L48)</f>
        <v>——</v>
      </c>
      <c r="K57" s="1419" t="s">
        <v>845</v>
      </c>
      <c r="L57" s="1422">
        <f ca="1">IF(L48&lt;J51,"——",IF(L55="比较法",L49,IF(L55="基准地价",L50,L51)))</f>
        <v>0</v>
      </c>
      <c r="O57" s="1416" t="s">
        <v>404</v>
      </c>
      <c r="P57" s="1417" t="s">
        <v>846</v>
      </c>
      <c r="Q57" s="1418" t="e">
        <f ca="1">L60</f>
        <v>#DIV/0!</v>
      </c>
      <c r="R57" s="1418" t="s">
        <v>847</v>
      </c>
    </row>
    <row r="58" spans="1:18" s="1382" customFormat="1" ht="24.6" thickBot="1">
      <c r="A58" s="314" t="s">
        <v>393</v>
      </c>
      <c r="B58" s="956" t="s">
        <v>714</v>
      </c>
      <c r="C58" s="315">
        <f ca="1">ROUND(C59+C64+C65+C66,0)</f>
        <v>0</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IF(项目基本情况!B11="自然人","——",ROUND(F62*F63/10000,2))</f>
        <v>0</v>
      </c>
      <c r="D62" s="963" t="s">
        <v>786</v>
      </c>
      <c r="E62" s="948" t="s">
        <v>787</v>
      </c>
      <c r="F62" s="324">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ROUND(C48*F66,2)</f>
        <v>0</v>
      </c>
      <c r="D66" s="962" t="s">
        <v>794</v>
      </c>
      <c r="E66" s="948" t="s">
        <v>712</v>
      </c>
      <c r="F66" s="311">
        <f t="shared" ca="1" si="0"/>
        <v>0</v>
      </c>
      <c r="O66" s="1416" t="s">
        <v>404</v>
      </c>
      <c r="P66" s="1417" t="s">
        <v>846</v>
      </c>
      <c r="Q66" s="1418" t="e">
        <f ca="1">L60</f>
        <v>#DIV/0!</v>
      </c>
      <c r="R66" s="1418" t="s">
        <v>869</v>
      </c>
    </row>
    <row r="67" spans="1:18" s="1382" customFormat="1" ht="24.6"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8" thickBot="1">
      <c r="A69" s="949"/>
      <c r="B69" s="950"/>
      <c r="C69" s="305"/>
      <c r="D69" s="968" t="s">
        <v>762</v>
      </c>
      <c r="E69" s="948" t="s">
        <v>763</v>
      </c>
      <c r="F69" s="332">
        <f ca="1">F41</f>
        <v>0</v>
      </c>
      <c r="O69" s="1426" t="s">
        <v>411</v>
      </c>
      <c r="P69" s="1465" t="s">
        <v>872</v>
      </c>
      <c r="Q69" s="1418">
        <f ca="1">C39</f>
        <v>0</v>
      </c>
      <c r="R69" s="1418" t="s">
        <v>818</v>
      </c>
    </row>
    <row r="70" spans="1:18" s="1382" customFormat="1" ht="13.8" thickBot="1">
      <c r="A70" s="952"/>
      <c r="B70" s="953"/>
      <c r="C70" s="309"/>
      <c r="D70" s="964"/>
      <c r="E70" s="948" t="s">
        <v>766</v>
      </c>
      <c r="F70" s="1052"/>
      <c r="O70" s="1426" t="s">
        <v>412</v>
      </c>
      <c r="P70" s="1465" t="s">
        <v>873</v>
      </c>
      <c r="Q70" s="1418">
        <f ca="1">C13</f>
        <v>0</v>
      </c>
      <c r="R70" s="1418" t="s">
        <v>818</v>
      </c>
    </row>
    <row r="71" spans="1:18" s="1382" customFormat="1" ht="13.8" thickBot="1">
      <c r="A71" s="969" t="s">
        <v>396</v>
      </c>
      <c r="B71" s="970" t="s">
        <v>776</v>
      </c>
      <c r="C71" s="335" t="e">
        <f ca="1">ROUND(C68*10000/F71,0)</f>
        <v>#DIV/0!</v>
      </c>
      <c r="D71" s="971" t="s">
        <v>777</v>
      </c>
      <c r="E71" s="972"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0">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6"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719" t="s">
        <v>694</v>
      </c>
      <c r="C6" s="1072">
        <f ca="1">ROUND(F6*F8*F7*(1-F9),0)</f>
        <v>0</v>
      </c>
      <c r="D6" s="155" t="s">
        <v>2103</v>
      </c>
      <c r="E6" s="301" t="s">
        <v>696</v>
      </c>
      <c r="F6" s="302">
        <f ca="1">INDIRECT("'数据-取费表'!u"&amp;$G$1)</f>
        <v>0</v>
      </c>
      <c r="G6" s="1382"/>
      <c r="H6" s="1067" t="s">
        <v>398</v>
      </c>
      <c r="I6" s="3719" t="s">
        <v>694</v>
      </c>
      <c r="J6" s="300">
        <f ca="1">ROUND(M6*M8*M7*(1-M9),0)</f>
        <v>0</v>
      </c>
      <c r="K6" s="1374" t="s">
        <v>2104</v>
      </c>
      <c r="L6" s="301" t="s">
        <v>696</v>
      </c>
      <c r="M6" s="302">
        <f ca="1">INDIRECT("'数据-取费表'!z"&amp;$G$1)</f>
        <v>0</v>
      </c>
    </row>
    <row r="7" spans="1:37" ht="18" customHeight="1">
      <c r="A7" s="1071"/>
      <c r="B7" s="3720"/>
      <c r="C7" s="1073"/>
      <c r="D7" s="306"/>
      <c r="E7" s="1074" t="s">
        <v>697</v>
      </c>
      <c r="F7" s="302">
        <f ca="1">IF(INDIRECT("'数据-取费表'!ah"&amp;$G$1)="",INDIRECT("'数据-取费表'!k"&amp;$G$1),INDIRECT("'数据-取费表'!ah"&amp;$G$1))</f>
        <v>0</v>
      </c>
      <c r="G7" s="1382"/>
      <c r="H7" s="303"/>
      <c r="I7" s="3720"/>
      <c r="J7" s="305"/>
      <c r="K7" s="306"/>
      <c r="L7" s="301" t="s">
        <v>697</v>
      </c>
      <c r="M7" s="302">
        <f ca="1">F7</f>
        <v>0</v>
      </c>
    </row>
    <row r="8" spans="1:37" ht="18" customHeight="1">
      <c r="A8" s="303"/>
      <c r="B8" s="3720"/>
      <c r="C8" s="305"/>
      <c r="D8" s="306"/>
      <c r="E8" s="301" t="s">
        <v>698</v>
      </c>
      <c r="F8" s="302">
        <f ca="1">INDIRECT("'数据-取费表'!ai"&amp;$G$1)</f>
        <v>0</v>
      </c>
      <c r="G8" s="1382"/>
      <c r="H8" s="303"/>
      <c r="I8" s="3720"/>
      <c r="J8" s="305"/>
      <c r="K8" s="306"/>
      <c r="L8" s="301" t="s">
        <v>698</v>
      </c>
      <c r="M8" s="302">
        <f ca="1">INDIRECT("'数据-取费表'!ai"&amp;$G$1)</f>
        <v>0</v>
      </c>
    </row>
    <row r="9" spans="1:37" ht="18" customHeight="1">
      <c r="A9" s="303"/>
      <c r="B9" s="3721"/>
      <c r="C9" s="305"/>
      <c r="D9" s="306"/>
      <c r="E9" s="301" t="s">
        <v>699</v>
      </c>
      <c r="F9" s="311">
        <f ca="1">INDIRECT("'数据-取费表'!w"&amp;$G$1)</f>
        <v>0</v>
      </c>
      <c r="G9" s="1382"/>
      <c r="H9" s="303"/>
      <c r="I9" s="3721"/>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3"/>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200</v>
      </c>
      <c r="G17" s="1394"/>
      <c r="H17" s="980" t="s">
        <v>398</v>
      </c>
      <c r="I17" s="301"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1" t="s">
        <v>726</v>
      </c>
      <c r="E19" s="1358"/>
      <c r="F19" s="23"/>
      <c r="G19" s="1382"/>
      <c r="H19" s="980" t="s">
        <v>399</v>
      </c>
      <c r="I19" s="301" t="s">
        <v>727</v>
      </c>
      <c r="J19" s="21">
        <f ca="1">IF(K19="按租金收入计税",ROUND(J6*M19/(1+'数据-取费表'!C42),0),ROUND(C29*M19*0.7,0))</f>
        <v>0</v>
      </c>
      <c r="K19" s="1368" t="s">
        <v>3332</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0.02</v>
      </c>
      <c r="G20" s="1394"/>
      <c r="H20" s="980" t="s">
        <v>680</v>
      </c>
      <c r="I20" s="155" t="s">
        <v>730</v>
      </c>
      <c r="J20" s="22">
        <f ca="1">ROUND(M20*M21,0)</f>
        <v>0</v>
      </c>
      <c r="K20" s="323" t="s">
        <v>731</v>
      </c>
      <c r="L20" s="301" t="s">
        <v>732</v>
      </c>
      <c r="M20" s="324">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0.03</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1"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4"/>
      <c r="I30" s="1396"/>
      <c r="J30" s="1397"/>
      <c r="K30" s="2472"/>
      <c r="L30" s="2695"/>
      <c r="M30" s="2696"/>
    </row>
    <row r="31" spans="1:37" ht="18" customHeight="1">
      <c r="A31" s="980" t="s">
        <v>398</v>
      </c>
      <c r="B31" s="301"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5" t="s">
        <v>2303</v>
      </c>
      <c r="I31" s="1396"/>
      <c r="J31" s="1397"/>
      <c r="K31" s="2472"/>
      <c r="L31" s="2695"/>
      <c r="M31" s="2696"/>
    </row>
    <row r="32" spans="1:37" ht="18" customHeight="1">
      <c r="A32" s="980" t="s">
        <v>397</v>
      </c>
      <c r="B32" s="301" t="s">
        <v>723</v>
      </c>
      <c r="C32" s="21">
        <f ca="1">IF(项目基本情况!B11="自然人","——",ROUND(C6*F32/(1+'数据-取费表'!C42),0))</f>
        <v>0</v>
      </c>
      <c r="D32" s="1342" t="s">
        <v>724</v>
      </c>
      <c r="E32" s="301" t="s">
        <v>712</v>
      </c>
      <c r="F32" s="330">
        <f>'数据-取费表'!B41</f>
        <v>5.6000000000000001E-2</v>
      </c>
      <c r="G32" s="1382"/>
      <c r="H32" s="2694"/>
      <c r="I32" s="1396"/>
      <c r="J32" s="1397"/>
      <c r="K32" s="2472"/>
      <c r="L32" s="2695"/>
      <c r="M32" s="2696"/>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3332</v>
      </c>
      <c r="E33" s="301" t="s">
        <v>712</v>
      </c>
      <c r="F33" s="321">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3" t="s">
        <v>731</v>
      </c>
      <c r="E34" s="301" t="s">
        <v>732</v>
      </c>
      <c r="F34" s="324">
        <f>'数据-取费表'!B52</f>
        <v>0</v>
      </c>
      <c r="G34" s="1382"/>
      <c r="H34" s="2694"/>
      <c r="I34" s="1396"/>
      <c r="J34" s="1397"/>
      <c r="K34" s="2699"/>
      <c r="L34" s="2700"/>
      <c r="M34" s="2700"/>
    </row>
    <row r="35" spans="1:18" ht="18" customHeight="1">
      <c r="A35" s="1101"/>
      <c r="B35" s="1099"/>
      <c r="C35" s="26"/>
      <c r="D35" s="326"/>
      <c r="E35" s="301" t="s">
        <v>736</v>
      </c>
      <c r="F35" s="302">
        <f ca="1">INDIRECT("'数据-取费表'!r"&amp;$G$1)</f>
        <v>0</v>
      </c>
      <c r="G35" s="1382"/>
      <c r="H35" s="2694"/>
      <c r="I35" s="1396"/>
      <c r="J35" s="1397"/>
      <c r="K35" s="2698"/>
      <c r="L35" s="2697"/>
      <c r="M35" s="2697"/>
    </row>
    <row r="36" spans="1:18" ht="18" customHeight="1">
      <c r="A36" s="1100" t="s">
        <v>402</v>
      </c>
      <c r="B36" s="301" t="s">
        <v>738</v>
      </c>
      <c r="C36" s="21">
        <f ca="1">ROUND(C29*F36,0)</f>
        <v>0</v>
      </c>
      <c r="D36" s="1342" t="s">
        <v>771</v>
      </c>
      <c r="E36" s="301" t="s">
        <v>712</v>
      </c>
      <c r="F36" s="327">
        <f ca="1">INDIRECT("'数据-取费表'!Ak"&amp;$G$1)</f>
        <v>0</v>
      </c>
      <c r="G36" s="1382"/>
      <c r="H36" s="2697"/>
      <c r="I36" s="1396"/>
      <c r="J36" s="1397"/>
      <c r="K36" s="2541"/>
      <c r="L36" s="2697"/>
      <c r="M36" s="2697"/>
    </row>
    <row r="37" spans="1:18" ht="18" customHeight="1">
      <c r="A37" s="980" t="s">
        <v>437</v>
      </c>
      <c r="B37" s="301" t="s">
        <v>742</v>
      </c>
      <c r="C37" s="21">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9">
        <f ca="1">C5-C30</f>
        <v>0</v>
      </c>
      <c r="D39" s="1093" t="s">
        <v>773</v>
      </c>
      <c r="E39" s="1094"/>
      <c r="F39" s="1095"/>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2" t="s">
        <v>3348</v>
      </c>
      <c r="B45" s="1398"/>
      <c r="C45" s="1470" t="e">
        <f ca="1">ROUND((C68-C40)/10000,4)</f>
        <v>#DIV/0!</v>
      </c>
      <c r="D45" s="3423" t="s">
        <v>3349</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1"/>
      <c r="I47" s="1412" t="s">
        <v>815</v>
      </c>
      <c r="J47" s="1413"/>
      <c r="K47" s="1414" t="s">
        <v>816</v>
      </c>
      <c r="L47" s="1415">
        <f ca="1">INDIRECT("'数据-取费表'!d"&amp;$G$1)</f>
        <v>50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299" t="s">
        <v>692</v>
      </c>
      <c r="C48" s="1357">
        <f ca="1">C49+C53+C55</f>
        <v>0</v>
      </c>
      <c r="D48" s="1110"/>
      <c r="E48" s="1111"/>
      <c r="F48" s="960"/>
      <c r="G48" s="721"/>
      <c r="H48" s="722"/>
      <c r="I48" s="1419" t="s">
        <v>819</v>
      </c>
      <c r="J48" s="1420"/>
      <c r="K48" s="1421" t="s">
        <v>820</v>
      </c>
      <c r="L48" s="1422">
        <f ca="1">INDIRECT("'数据-取费表'!f"&amp;$G$1)</f>
        <v>42.63</v>
      </c>
      <c r="O48" s="1416" t="s">
        <v>404</v>
      </c>
      <c r="P48" s="1417" t="s">
        <v>821</v>
      </c>
      <c r="Q48" s="1418" t="str">
        <f ca="1">J60</f>
        <v>0</v>
      </c>
      <c r="R48" s="1418" t="s">
        <v>822</v>
      </c>
    </row>
    <row r="49" spans="1:18" s="1382" customFormat="1" ht="13.8" thickBot="1">
      <c r="A49" s="973"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8" thickBot="1">
      <c r="A50" s="974"/>
      <c r="B50" s="977"/>
      <c r="C50" s="978"/>
      <c r="D50" s="951"/>
      <c r="E50" s="1054" t="s">
        <v>697</v>
      </c>
      <c r="F50" s="1055">
        <f ca="1">F7</f>
        <v>0</v>
      </c>
      <c r="H50" s="722"/>
      <c r="I50" s="1419" t="s">
        <v>826</v>
      </c>
      <c r="J50" s="1427">
        <f>SUMPRODUCT((I63:I65=J47)*(J62:L62=J48)*(J63:L65))</f>
        <v>0</v>
      </c>
      <c r="K50" s="1421" t="s">
        <v>827</v>
      </c>
      <c r="L50" s="1425"/>
      <c r="M50" s="1428"/>
      <c r="O50" s="1426" t="s">
        <v>406</v>
      </c>
      <c r="P50" s="1417" t="s">
        <v>828</v>
      </c>
      <c r="Q50" s="1429" t="e">
        <f ca="1">J58</f>
        <v>#VALUE!</v>
      </c>
      <c r="R50" s="1418"/>
    </row>
    <row r="51" spans="1:18" s="1382" customFormat="1" ht="13.8"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5">
        <f ca="1">IF(M47="住宅",IF(D1="——",MAX(J51,L48),MAX(J51,L48-'数据-取费表'!B24)),IF(D1="——",MIN(J51,L48),MIN(J51,L48-'数据-取费表'!B24)))</f>
        <v>0</v>
      </c>
      <c r="K53" s="3717" t="s">
        <v>837</v>
      </c>
      <c r="L53" s="3718"/>
      <c r="O53" s="1416" t="s">
        <v>409</v>
      </c>
      <c r="P53" s="1417" t="s">
        <v>838</v>
      </c>
      <c r="Q53" s="1418" t="e">
        <f ca="1">Q47+Q48</f>
        <v>#DIV/0!</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42.63</v>
      </c>
      <c r="O56" s="1416" t="s">
        <v>403</v>
      </c>
      <c r="P56" s="1417" t="s">
        <v>817</v>
      </c>
      <c r="Q56" s="1418" t="e">
        <f ca="1">C40+J29</f>
        <v>#DIV/0!</v>
      </c>
      <c r="R56" s="1418" t="s">
        <v>818</v>
      </c>
    </row>
    <row r="57" spans="1:18" s="1382" customFormat="1" ht="24.6" thickBot="1">
      <c r="A57" s="1449"/>
      <c r="B57" s="948" t="s">
        <v>767</v>
      </c>
      <c r="C57" s="237">
        <f ca="1">C29</f>
        <v>0</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t="e">
        <f ca="1">L60</f>
        <v>#DIV/0!</v>
      </c>
      <c r="R57" s="1418" t="s">
        <v>894</v>
      </c>
    </row>
    <row r="58" spans="1:18" s="1382" customFormat="1" ht="24.6" thickBot="1">
      <c r="A58" s="314" t="s">
        <v>393</v>
      </c>
      <c r="B58" s="956" t="s">
        <v>714</v>
      </c>
      <c r="C58" s="315">
        <f ca="1">ROUND(C59+C64+C65+C66,0)</f>
        <v>0</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IF(项目基本情况!B11="自然人","——",ROUND(F62*F63,0))</f>
        <v>0</v>
      </c>
      <c r="D62" s="963" t="s">
        <v>786</v>
      </c>
      <c r="E62" s="948" t="s">
        <v>787</v>
      </c>
      <c r="F62" s="324">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24.6"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8" thickBot="1">
      <c r="A69" s="949"/>
      <c r="B69" s="950"/>
      <c r="C69" s="305"/>
      <c r="D69" s="968" t="s">
        <v>762</v>
      </c>
      <c r="E69" s="948" t="s">
        <v>763</v>
      </c>
      <c r="F69" s="332">
        <f ca="1">F41</f>
        <v>0</v>
      </c>
      <c r="O69" s="1426" t="s">
        <v>411</v>
      </c>
      <c r="P69" s="1465" t="s">
        <v>872</v>
      </c>
      <c r="Q69" s="1418">
        <f ca="1">C39</f>
        <v>0</v>
      </c>
      <c r="R69" s="1418" t="s">
        <v>818</v>
      </c>
    </row>
    <row r="70" spans="1:18" s="1382" customFormat="1" ht="13.8" thickBot="1">
      <c r="A70" s="952"/>
      <c r="B70" s="953"/>
      <c r="C70" s="309"/>
      <c r="D70" s="964"/>
      <c r="E70" s="948" t="s">
        <v>766</v>
      </c>
      <c r="F70" s="1052"/>
      <c r="O70" s="1426" t="s">
        <v>412</v>
      </c>
      <c r="P70" s="1465" t="s">
        <v>873</v>
      </c>
      <c r="Q70" s="1418">
        <f ca="1">C13</f>
        <v>0</v>
      </c>
      <c r="R70" s="1418" t="s">
        <v>818</v>
      </c>
    </row>
    <row r="71" spans="1:18" s="1382" customFormat="1" ht="13.8"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2" customHeight="1">
      <c r="A2" s="1383" t="s">
        <v>2312</v>
      </c>
      <c r="B2" s="2840" t="e">
        <f>IF(D2="——",C40,C40+E2)</f>
        <v>#DIV/0!</v>
      </c>
      <c r="C2" s="2841" t="s">
        <v>2313</v>
      </c>
      <c r="D2" s="3434" t="s">
        <v>3355</v>
      </c>
      <c r="E2" s="3435"/>
      <c r="F2" s="2843"/>
      <c r="G2" s="2844"/>
      <c r="H2" s="2845"/>
      <c r="I2" s="2846"/>
      <c r="J2" s="3728" t="s">
        <v>2314</v>
      </c>
      <c r="K2" s="3729"/>
      <c r="L2" s="2847" t="s">
        <v>2315</v>
      </c>
      <c r="M2" s="2847" t="s">
        <v>2316</v>
      </c>
      <c r="N2" s="2847" t="s">
        <v>2317</v>
      </c>
      <c r="O2" s="2847" t="s">
        <v>2318</v>
      </c>
      <c r="P2" s="2847" t="s">
        <v>2319</v>
      </c>
      <c r="Q2" s="2848" t="s">
        <v>2320</v>
      </c>
      <c r="R2" s="2849" t="s">
        <v>2321</v>
      </c>
      <c r="S2" s="2838"/>
      <c r="T2" s="2838"/>
      <c r="U2" s="2838"/>
      <c r="V2" s="2846"/>
    </row>
    <row r="3" spans="1:22" s="2850" customFormat="1" ht="13.2" customHeight="1">
      <c r="A3" s="2851" t="s">
        <v>2322</v>
      </c>
      <c r="B3" s="2852" t="e">
        <f>ROUND(B2*10000/B4,0)</f>
        <v>#DIV/0!</v>
      </c>
      <c r="C3" s="2841" t="s">
        <v>2323</v>
      </c>
      <c r="D3" s="2841"/>
      <c r="E3" s="2842"/>
      <c r="F3" s="2843"/>
      <c r="G3" s="2844"/>
      <c r="H3" s="2845"/>
      <c r="I3" s="2846"/>
      <c r="J3" s="3730" t="s">
        <v>2324</v>
      </c>
      <c r="K3" s="3731"/>
      <c r="L3" s="2853"/>
      <c r="M3" s="2853"/>
      <c r="N3" s="2853"/>
      <c r="O3" s="2853"/>
      <c r="P3" s="2853"/>
      <c r="Q3" s="2854"/>
      <c r="R3" s="2855">
        <f>SUM(L3:Q3)</f>
        <v>0</v>
      </c>
      <c r="S3" s="2838"/>
      <c r="T3" s="2838"/>
      <c r="U3" s="2838"/>
      <c r="V3" s="2846"/>
    </row>
    <row r="4" spans="1:22" s="2850" customFormat="1" ht="13.2" customHeight="1">
      <c r="A4" s="2856" t="s">
        <v>2325</v>
      </c>
      <c r="B4" s="2857"/>
      <c r="C4" s="2841"/>
      <c r="D4" s="2841"/>
      <c r="E4" s="2842"/>
      <c r="F4" s="2843"/>
      <c r="G4" s="2844"/>
      <c r="H4" s="2845"/>
      <c r="I4" s="2846"/>
      <c r="J4" s="3730" t="s">
        <v>2326</v>
      </c>
      <c r="K4" s="3731"/>
      <c r="L4" s="2858"/>
      <c r="M4" s="2858"/>
      <c r="N4" s="2858"/>
      <c r="O4" s="2858"/>
      <c r="P4" s="2858"/>
      <c r="Q4" s="2859"/>
      <c r="R4" s="2860">
        <f>SUM(L4:Q4)</f>
        <v>0</v>
      </c>
      <c r="S4" s="2838"/>
      <c r="T4" s="2838"/>
      <c r="U4" s="2838"/>
      <c r="V4" s="2846"/>
    </row>
    <row r="5" spans="1:22" s="2850" customFormat="1" ht="13.2"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2" customHeight="1" thickBot="1">
      <c r="A6" s="3736" t="s">
        <v>2330</v>
      </c>
      <c r="B6" s="3737"/>
      <c r="C6" s="3738"/>
      <c r="D6" s="2867"/>
      <c r="E6" s="2868"/>
      <c r="F6" s="2869"/>
      <c r="G6" s="2870"/>
      <c r="H6" s="2845"/>
      <c r="I6" s="2846"/>
      <c r="J6" s="3722">
        <v>1</v>
      </c>
      <c r="K6" s="3723"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2" customHeight="1">
      <c r="A7" s="2873" t="s">
        <v>2340</v>
      </c>
      <c r="B7" s="2874"/>
      <c r="C7" s="2875"/>
      <c r="D7" s="2876">
        <f>SUM(D9,D10,D11,D17,0)</f>
        <v>0</v>
      </c>
      <c r="E7" s="2877" t="e">
        <f>E9+E10+E11+E17</f>
        <v>#DIV/0!</v>
      </c>
      <c r="F7" s="2878"/>
      <c r="G7" s="2879"/>
      <c r="H7" s="2845"/>
      <c r="I7" s="2846"/>
      <c r="J7" s="3722"/>
      <c r="K7" s="3724"/>
      <c r="L7" s="2880" t="s">
        <v>2341</v>
      </c>
      <c r="M7" s="2881"/>
      <c r="N7" s="2857"/>
      <c r="O7" s="2882"/>
      <c r="P7" s="2882"/>
      <c r="Q7" s="2883">
        <v>365</v>
      </c>
      <c r="R7" s="2884">
        <f>ROUND(M7*N7*O7*P7*Q7/10000,0)</f>
        <v>0</v>
      </c>
      <c r="S7" s="2838"/>
      <c r="T7" s="2838" t="s">
        <v>2342</v>
      </c>
      <c r="U7" s="2838"/>
      <c r="V7" s="2846"/>
    </row>
    <row r="8" spans="1:22" s="2850" customFormat="1" ht="13.2" customHeight="1">
      <c r="A8" s="2885" t="s">
        <v>2343</v>
      </c>
      <c r="B8" s="3739" t="s">
        <v>2344</v>
      </c>
      <c r="C8" s="3740"/>
      <c r="D8" s="2886" t="s">
        <v>2345</v>
      </c>
      <c r="E8" s="2887" t="s">
        <v>2346</v>
      </c>
      <c r="F8" s="2888" t="s">
        <v>2347</v>
      </c>
      <c r="G8" s="2889"/>
      <c r="H8" s="2845"/>
      <c r="I8" s="2846"/>
      <c r="J8" s="3722"/>
      <c r="K8" s="3724"/>
      <c r="L8" s="2880" t="s">
        <v>2348</v>
      </c>
      <c r="M8" s="2881"/>
      <c r="N8" s="2857"/>
      <c r="O8" s="2882"/>
      <c r="P8" s="2882"/>
      <c r="Q8" s="2883">
        <v>365</v>
      </c>
      <c r="R8" s="2884">
        <f t="shared" ref="R8:R13" si="0">ROUND(M8*N8*O8*P8*Q8/10000,0)</f>
        <v>0</v>
      </c>
      <c r="S8" s="2838"/>
      <c r="T8" s="2838" t="s">
        <v>2349</v>
      </c>
      <c r="U8" s="2838"/>
      <c r="V8" s="2846"/>
    </row>
    <row r="9" spans="1:22" s="2850" customFormat="1" ht="13.2" customHeight="1">
      <c r="A9" s="2885">
        <v>1</v>
      </c>
      <c r="B9" s="3739" t="s">
        <v>2350</v>
      </c>
      <c r="C9" s="3740"/>
      <c r="D9" s="2886">
        <f>ROUND(D6*E9,0)</f>
        <v>0</v>
      </c>
      <c r="E9" s="2890"/>
      <c r="F9" s="2891" t="s">
        <v>2351</v>
      </c>
      <c r="G9" s="2870"/>
      <c r="H9" s="2845"/>
      <c r="I9" s="2846"/>
      <c r="J9" s="3722"/>
      <c r="K9" s="3724"/>
      <c r="L9" s="2880" t="s">
        <v>2352</v>
      </c>
      <c r="M9" s="2881"/>
      <c r="N9" s="2857"/>
      <c r="O9" s="2882"/>
      <c r="P9" s="2882"/>
      <c r="Q9" s="2883">
        <v>365</v>
      </c>
      <c r="R9" s="2884">
        <f t="shared" si="0"/>
        <v>0</v>
      </c>
      <c r="S9" s="2838"/>
      <c r="T9" s="2838"/>
      <c r="U9" s="2838"/>
      <c r="V9" s="2846"/>
    </row>
    <row r="10" spans="1:22" s="2850" customFormat="1" ht="13.2" customHeight="1">
      <c r="A10" s="2885">
        <v>2</v>
      </c>
      <c r="B10" s="3739" t="s">
        <v>2353</v>
      </c>
      <c r="C10" s="3740"/>
      <c r="D10" s="2886">
        <f>ROUND(D6*E10,0)</f>
        <v>0</v>
      </c>
      <c r="E10" s="2890"/>
      <c r="F10" s="2891" t="s">
        <v>2354</v>
      </c>
      <c r="G10" s="2870"/>
      <c r="H10" s="2845"/>
      <c r="I10" s="2846"/>
      <c r="J10" s="3722"/>
      <c r="K10" s="3724"/>
      <c r="L10" s="2880" t="s">
        <v>2355</v>
      </c>
      <c r="M10" s="2881"/>
      <c r="N10" s="2857"/>
      <c r="O10" s="2882"/>
      <c r="P10" s="2882"/>
      <c r="Q10" s="2883">
        <v>365</v>
      </c>
      <c r="R10" s="2884">
        <f t="shared" si="0"/>
        <v>0</v>
      </c>
      <c r="S10" s="2838"/>
      <c r="T10" s="2838"/>
      <c r="U10" s="2838"/>
      <c r="V10" s="2846"/>
    </row>
    <row r="11" spans="1:22" s="2850" customFormat="1" ht="13.2" customHeight="1">
      <c r="A11" s="2885">
        <v>3</v>
      </c>
      <c r="B11" s="3739" t="s">
        <v>2356</v>
      </c>
      <c r="C11" s="3740"/>
      <c r="D11" s="2886">
        <f>D12+D14+D15+D16</f>
        <v>0</v>
      </c>
      <c r="E11" s="2892" t="e">
        <f>D11/D6</f>
        <v>#DIV/0!</v>
      </c>
      <c r="F11" s="2888"/>
      <c r="G11" s="2889"/>
      <c r="H11" s="2845"/>
      <c r="I11" s="2846"/>
      <c r="J11" s="3722"/>
      <c r="K11" s="3724"/>
      <c r="L11" s="2880" t="s">
        <v>2357</v>
      </c>
      <c r="M11" s="2881"/>
      <c r="N11" s="2857"/>
      <c r="O11" s="2882"/>
      <c r="P11" s="2882"/>
      <c r="Q11" s="2883">
        <v>365</v>
      </c>
      <c r="R11" s="2884">
        <f t="shared" si="0"/>
        <v>0</v>
      </c>
      <c r="S11" s="2838"/>
      <c r="T11" s="2838"/>
      <c r="U11" s="2838"/>
      <c r="V11" s="2846"/>
    </row>
    <row r="12" spans="1:22" s="2850" customFormat="1" ht="13.2" customHeight="1">
      <c r="A12" s="2893" t="s">
        <v>2358</v>
      </c>
      <c r="B12" s="3732" t="s">
        <v>2359</v>
      </c>
      <c r="C12" s="3733"/>
      <c r="D12" s="2894">
        <f>ROUND(D13*1.2%*(1-30%),0)</f>
        <v>0</v>
      </c>
      <c r="E12" s="2895">
        <v>1.2E-2</v>
      </c>
      <c r="F12" s="2888" t="s">
        <v>2360</v>
      </c>
      <c r="G12" s="2889"/>
      <c r="H12" s="2845"/>
      <c r="I12" s="2846"/>
      <c r="J12" s="3722"/>
      <c r="K12" s="3724"/>
      <c r="L12" s="2880" t="s">
        <v>2361</v>
      </c>
      <c r="M12" s="2881"/>
      <c r="N12" s="2857"/>
      <c r="O12" s="2882"/>
      <c r="P12" s="2882"/>
      <c r="Q12" s="2883">
        <v>365</v>
      </c>
      <c r="R12" s="2884">
        <f t="shared" si="0"/>
        <v>0</v>
      </c>
      <c r="S12" s="2838"/>
      <c r="T12" s="2838"/>
      <c r="U12" s="2838"/>
      <c r="V12" s="2846"/>
    </row>
    <row r="13" spans="1:22" s="2850" customFormat="1" ht="13.2" customHeight="1">
      <c r="A13" s="2893"/>
      <c r="B13" s="2896"/>
      <c r="C13" s="2897" t="s">
        <v>2362</v>
      </c>
      <c r="D13" s="2898"/>
      <c r="E13" s="2899"/>
      <c r="F13" s="2888"/>
      <c r="G13" s="2889"/>
      <c r="H13" s="2845"/>
      <c r="I13" s="2846"/>
      <c r="J13" s="3722"/>
      <c r="K13" s="3724"/>
      <c r="L13" s="2880" t="s">
        <v>2363</v>
      </c>
      <c r="M13" s="2881"/>
      <c r="N13" s="2857"/>
      <c r="O13" s="2882"/>
      <c r="P13" s="2882"/>
      <c r="Q13" s="2883">
        <v>365</v>
      </c>
      <c r="R13" s="2884">
        <f t="shared" si="0"/>
        <v>0</v>
      </c>
      <c r="S13" s="2838"/>
      <c r="T13" s="2838"/>
      <c r="U13" s="2838"/>
      <c r="V13" s="2846"/>
    </row>
    <row r="14" spans="1:22" s="2850" customFormat="1" ht="13.2" customHeight="1">
      <c r="A14" s="2893" t="s">
        <v>2364</v>
      </c>
      <c r="B14" s="3732" t="s">
        <v>2365</v>
      </c>
      <c r="C14" s="3733"/>
      <c r="D14" s="2894">
        <f>ROUND(E14*B5/10000,0)</f>
        <v>0</v>
      </c>
      <c r="E14" s="2883"/>
      <c r="F14" s="2888" t="s">
        <v>2366</v>
      </c>
      <c r="G14" s="2889"/>
      <c r="H14" s="2845"/>
      <c r="I14" s="2846"/>
      <c r="J14" s="3722"/>
      <c r="K14" s="3725"/>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2368</v>
      </c>
      <c r="B15" s="3732" t="s">
        <v>2369</v>
      </c>
      <c r="C15" s="3733"/>
      <c r="D15" s="2894">
        <f>ROUND(D6*E15,0)</f>
        <v>0</v>
      </c>
      <c r="E15" s="2895">
        <v>5.5E-2</v>
      </c>
      <c r="F15" s="2888" t="s">
        <v>2370</v>
      </c>
      <c r="G15" s="2870"/>
      <c r="H15" s="2845"/>
      <c r="I15" s="2846"/>
      <c r="J15" s="3722">
        <v>2</v>
      </c>
      <c r="K15" s="3723"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2" customHeight="1">
      <c r="A16" s="2893" t="s">
        <v>2377</v>
      </c>
      <c r="B16" s="3732" t="s">
        <v>2378</v>
      </c>
      <c r="C16" s="3733"/>
      <c r="D16" s="2905">
        <f>D6*E16</f>
        <v>0</v>
      </c>
      <c r="E16" s="2906"/>
      <c r="F16" s="2891" t="s">
        <v>2379</v>
      </c>
      <c r="G16" s="2870"/>
      <c r="H16" s="2845"/>
      <c r="I16" s="2846"/>
      <c r="J16" s="3722"/>
      <c r="K16" s="3724"/>
      <c r="L16" s="2880" t="s">
        <v>2380</v>
      </c>
      <c r="M16" s="2881"/>
      <c r="N16" s="2881"/>
      <c r="O16" s="2882"/>
      <c r="P16" s="2883">
        <v>365</v>
      </c>
      <c r="Q16" s="2857"/>
      <c r="R16" s="2904">
        <f>ROUND(M16*N16*O16*P16/10000,0)</f>
        <v>0</v>
      </c>
      <c r="S16" s="2838"/>
      <c r="T16" s="2838"/>
      <c r="U16" s="2838"/>
      <c r="V16" s="2846"/>
    </row>
    <row r="17" spans="1:22" s="2850" customFormat="1" ht="13.2" customHeight="1" thickBot="1">
      <c r="A17" s="2907">
        <v>4</v>
      </c>
      <c r="B17" s="3734" t="s">
        <v>2381</v>
      </c>
      <c r="C17" s="3735"/>
      <c r="D17" s="2908">
        <f>ROUND(D6*E17,0)</f>
        <v>0</v>
      </c>
      <c r="E17" s="2909"/>
      <c r="F17" s="2910" t="s">
        <v>2382</v>
      </c>
      <c r="G17" s="2870"/>
      <c r="H17" s="2845"/>
      <c r="I17" s="2846"/>
      <c r="J17" s="3722"/>
      <c r="K17" s="3724"/>
      <c r="L17" s="2880" t="s">
        <v>2383</v>
      </c>
      <c r="M17" s="2881"/>
      <c r="N17" s="2881"/>
      <c r="O17" s="2882"/>
      <c r="P17" s="2883">
        <v>365</v>
      </c>
      <c r="Q17" s="2857"/>
      <c r="R17" s="2904">
        <f>ROUND(M17*N17*O17*P17/10000,0)</f>
        <v>0</v>
      </c>
      <c r="S17" s="2838"/>
      <c r="T17" s="2838"/>
      <c r="U17" s="2838"/>
      <c r="V17" s="2846"/>
    </row>
    <row r="18" spans="1:22" s="2850" customFormat="1" ht="13.2" customHeight="1" thickBot="1">
      <c r="A18" s="2873" t="s">
        <v>2384</v>
      </c>
      <c r="B18" s="2874"/>
      <c r="C18" s="2874"/>
      <c r="D18" s="2911">
        <f>ROUND(D6*E18,0)</f>
        <v>0</v>
      </c>
      <c r="E18" s="2912"/>
      <c r="F18" s="2913" t="s">
        <v>2385</v>
      </c>
      <c r="G18" s="2870"/>
      <c r="H18" s="2845"/>
      <c r="I18" s="2846"/>
      <c r="J18" s="3722"/>
      <c r="K18" s="3724"/>
      <c r="L18" s="2880" t="s">
        <v>2386</v>
      </c>
      <c r="M18" s="2881"/>
      <c r="N18" s="2881"/>
      <c r="O18" s="2882"/>
      <c r="P18" s="2883">
        <v>365</v>
      </c>
      <c r="Q18" s="2857"/>
      <c r="R18" s="2904">
        <f>ROUND(M18*N18*O18*P18/10000,0)</f>
        <v>0</v>
      </c>
      <c r="S18" s="2838"/>
      <c r="T18" s="2838"/>
      <c r="U18" s="2838"/>
      <c r="V18" s="2846"/>
    </row>
    <row r="19" spans="1:22" s="2850" customFormat="1" ht="13.2" customHeight="1" thickBot="1">
      <c r="A19" s="2914" t="s">
        <v>2387</v>
      </c>
      <c r="B19" s="2868"/>
      <c r="C19" s="2868"/>
      <c r="D19" s="2868"/>
      <c r="E19" s="2868"/>
      <c r="F19" s="2869"/>
      <c r="G19" s="2889"/>
      <c r="H19" s="2845"/>
      <c r="I19" s="2846"/>
      <c r="J19" s="3722"/>
      <c r="K19" s="3725"/>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22">
        <v>3</v>
      </c>
      <c r="K20" s="3723"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2" customHeight="1">
      <c r="A21" s="2873"/>
      <c r="B21" s="2874"/>
      <c r="C21" s="2920" t="s">
        <v>2396</v>
      </c>
      <c r="D21" s="2921" t="s">
        <v>2397</v>
      </c>
      <c r="E21" s="2922" t="s">
        <v>2398</v>
      </c>
      <c r="F21" s="2917"/>
      <c r="G21" s="2889"/>
      <c r="H21" s="2845"/>
      <c r="I21" s="2846"/>
      <c r="J21" s="3722"/>
      <c r="K21" s="3724"/>
      <c r="L21" s="2880" t="s">
        <v>2399</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2400</v>
      </c>
      <c r="D22" s="2925" t="s">
        <v>2401</v>
      </c>
      <c r="E22" s="2926" t="s">
        <v>2402</v>
      </c>
      <c r="F22" s="2917"/>
      <c r="G22" s="2927"/>
      <c r="H22" s="2845"/>
      <c r="I22" s="2846"/>
      <c r="J22" s="3722"/>
      <c r="K22" s="3724"/>
      <c r="L22" s="2880" t="s">
        <v>2403</v>
      </c>
      <c r="M22" s="2881"/>
      <c r="N22" s="2881"/>
      <c r="O22" s="2882"/>
      <c r="P22" s="2883">
        <v>365</v>
      </c>
      <c r="Q22" s="2857"/>
      <c r="R22" s="2923">
        <f>ROUND(M22*N22*O22*P22/10000,0)</f>
        <v>0</v>
      </c>
      <c r="S22" s="2919"/>
      <c r="T22" s="2919"/>
      <c r="U22" s="2919"/>
      <c r="V22" s="2846"/>
    </row>
    <row r="23" spans="1:22" s="2850" customFormat="1" ht="13.2" customHeight="1">
      <c r="A23" s="2928">
        <v>1</v>
      </c>
      <c r="B23" s="2929" t="s">
        <v>2404</v>
      </c>
      <c r="C23" s="2930">
        <f>D6</f>
        <v>0</v>
      </c>
      <c r="D23" s="2931">
        <f>C23*(1+D24)</f>
        <v>0</v>
      </c>
      <c r="E23" s="2932">
        <f>D23*(1+E24)</f>
        <v>0</v>
      </c>
      <c r="F23" s="2933"/>
      <c r="G23" s="2934"/>
      <c r="H23" s="2845"/>
      <c r="I23" s="2846"/>
      <c r="J23" s="3722"/>
      <c r="K23" s="3724"/>
      <c r="L23" s="2880" t="s">
        <v>2405</v>
      </c>
      <c r="M23" s="2881"/>
      <c r="N23" s="2881"/>
      <c r="O23" s="2882"/>
      <c r="P23" s="2883">
        <v>365</v>
      </c>
      <c r="Q23" s="2857"/>
      <c r="R23" s="2923">
        <f>ROUND(M23*N23*O23*P23/10000,0)</f>
        <v>0</v>
      </c>
      <c r="S23" s="2838"/>
      <c r="T23" s="2838"/>
      <c r="U23" s="2838"/>
      <c r="V23" s="2846"/>
    </row>
    <row r="24" spans="1:22" s="2850" customFormat="1" ht="13.2" customHeight="1">
      <c r="A24" s="2935"/>
      <c r="B24" s="2936" t="s">
        <v>2406</v>
      </c>
      <c r="C24" s="2937"/>
      <c r="D24" s="2938"/>
      <c r="E24" s="2939"/>
      <c r="F24" s="2940"/>
      <c r="G24" s="2934"/>
      <c r="H24" s="2845"/>
      <c r="I24" s="2846"/>
      <c r="J24" s="3722"/>
      <c r="K24" s="3725"/>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2" customHeight="1">
      <c r="A26" s="2928">
        <v>2</v>
      </c>
      <c r="B26" s="2929" t="s">
        <v>2408</v>
      </c>
      <c r="C26" s="2930">
        <f>D7</f>
        <v>0</v>
      </c>
      <c r="D26" s="2931">
        <f>D23*D27</f>
        <v>0</v>
      </c>
      <c r="E26" s="2932">
        <f>E23*E27</f>
        <v>0</v>
      </c>
      <c r="F26" s="2933"/>
      <c r="G26" s="2934"/>
      <c r="H26" s="2845"/>
      <c r="I26" s="2846"/>
      <c r="J26" s="3726">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2" customHeight="1">
      <c r="A27" s="2935"/>
      <c r="B27" s="2936" t="s">
        <v>2414</v>
      </c>
      <c r="C27" s="2954" t="e">
        <f>E7</f>
        <v>#DIV/0!</v>
      </c>
      <c r="D27" s="2938"/>
      <c r="E27" s="2939"/>
      <c r="F27" s="2940"/>
      <c r="G27" s="2934"/>
      <c r="H27" s="2955"/>
      <c r="I27" s="2946"/>
      <c r="J27" s="3727"/>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2"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2" customHeight="1">
      <c r="A32" s="2928">
        <v>4</v>
      </c>
      <c r="B32" s="2929" t="s">
        <v>2422</v>
      </c>
      <c r="C32" s="2930">
        <f>C23-C26-C29</f>
        <v>0</v>
      </c>
      <c r="D32" s="2931">
        <f>D23-D26-D29</f>
        <v>0</v>
      </c>
      <c r="E32" s="2932">
        <f>E23-E26-E29</f>
        <v>0</v>
      </c>
      <c r="F32" s="2933"/>
      <c r="G32" s="2927"/>
      <c r="H32" s="2845"/>
      <c r="I32" s="2846"/>
      <c r="J32" s="3728" t="s">
        <v>2314</v>
      </c>
      <c r="K32" s="3729"/>
      <c r="L32" s="2847" t="s">
        <v>2315</v>
      </c>
      <c r="M32" s="2847" t="s">
        <v>2316</v>
      </c>
      <c r="N32" s="2847" t="s">
        <v>2317</v>
      </c>
      <c r="O32" s="2847" t="s">
        <v>2318</v>
      </c>
      <c r="P32" s="2847" t="s">
        <v>2319</v>
      </c>
      <c r="Q32" s="2848" t="s">
        <v>2320</v>
      </c>
      <c r="R32" s="2970" t="s">
        <v>2321</v>
      </c>
      <c r="S32" s="2919"/>
      <c r="T32" s="2838"/>
      <c r="U32" s="2838"/>
      <c r="V32" s="2946"/>
    </row>
    <row r="33" spans="1:23" s="2850" customFormat="1" ht="13.2" customHeight="1">
      <c r="A33" s="2928"/>
      <c r="B33" s="2929"/>
      <c r="C33" s="2930"/>
      <c r="D33" s="2971"/>
      <c r="E33" s="2972"/>
      <c r="F33" s="2933"/>
      <c r="G33" s="2927"/>
      <c r="H33" s="2955"/>
      <c r="I33" s="2946"/>
      <c r="J33" s="3730" t="s">
        <v>2324</v>
      </c>
      <c r="K33" s="3731"/>
      <c r="L33" s="2853"/>
      <c r="M33" s="2853"/>
      <c r="N33" s="2853"/>
      <c r="O33" s="2853"/>
      <c r="P33" s="2853"/>
      <c r="Q33" s="2854"/>
      <c r="R33" s="2973">
        <f>SUM(L33:Q33)</f>
        <v>0</v>
      </c>
      <c r="S33" s="2919"/>
      <c r="T33" s="2838"/>
      <c r="U33" s="2838"/>
      <c r="V33" s="2846"/>
    </row>
    <row r="34" spans="1:23" s="2850" customFormat="1" ht="13.2" customHeight="1">
      <c r="A34" s="2928">
        <v>5</v>
      </c>
      <c r="B34" s="2929" t="s">
        <v>2423</v>
      </c>
      <c r="C34" s="2974"/>
      <c r="D34" s="2975"/>
      <c r="E34" s="2976"/>
      <c r="F34" s="2933"/>
      <c r="G34" s="2927"/>
      <c r="H34" s="2955"/>
      <c r="I34" s="2946"/>
      <c r="J34" s="3730" t="s">
        <v>2326</v>
      </c>
      <c r="K34" s="3731"/>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2" customHeight="1" thickBot="1">
      <c r="A36" s="2928">
        <v>7</v>
      </c>
      <c r="B36" s="2983" t="s">
        <v>2425</v>
      </c>
      <c r="C36" s="2984"/>
      <c r="D36" s="2985"/>
      <c r="E36" s="2986"/>
      <c r="F36" s="2987">
        <f>C36+D36+E36</f>
        <v>0</v>
      </c>
      <c r="G36" s="2927"/>
      <c r="H36" s="2845"/>
      <c r="I36" s="2846"/>
      <c r="J36" s="3722">
        <v>1</v>
      </c>
      <c r="K36" s="3723" t="s">
        <v>2426</v>
      </c>
      <c r="L36" s="2871"/>
      <c r="M36" s="2872"/>
      <c r="N36" s="2872"/>
      <c r="O36" s="2872"/>
      <c r="P36" s="2872"/>
      <c r="Q36" s="2872"/>
      <c r="R36" s="2855" t="s">
        <v>2338</v>
      </c>
      <c r="S36" s="2919"/>
      <c r="T36" s="2838" t="s">
        <v>2339</v>
      </c>
      <c r="U36" s="2838"/>
      <c r="V36" s="2846"/>
    </row>
    <row r="37" spans="1:23" s="2850" customFormat="1" ht="13.2" customHeight="1">
      <c r="A37" s="2928"/>
      <c r="B37" s="2929"/>
      <c r="C37" s="2929"/>
      <c r="D37" s="2929"/>
      <c r="E37" s="2929"/>
      <c r="F37" s="2933"/>
      <c r="G37" s="2927"/>
      <c r="H37" s="2845"/>
      <c r="I37" s="2846"/>
      <c r="J37" s="3722"/>
      <c r="K37" s="3724"/>
      <c r="L37" s="2880"/>
      <c r="M37" s="2881"/>
      <c r="N37" s="2857"/>
      <c r="O37" s="2882"/>
      <c r="P37" s="2882"/>
      <c r="Q37" s="2883"/>
      <c r="R37" s="2884"/>
      <c r="S37" s="2919"/>
      <c r="T37" s="2838" t="s">
        <v>2342</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22"/>
      <c r="K38" s="3724"/>
      <c r="L38" s="2880"/>
      <c r="M38" s="2881"/>
      <c r="N38" s="2857"/>
      <c r="O38" s="2882"/>
      <c r="P38" s="2882"/>
      <c r="Q38" s="2883"/>
      <c r="R38" s="2884"/>
      <c r="S38" s="2919"/>
      <c r="T38" s="2838" t="s">
        <v>2349</v>
      </c>
      <c r="U38" s="2838"/>
      <c r="V38" s="2846"/>
    </row>
    <row r="39" spans="1:23" s="2850" customFormat="1" ht="13.2" customHeight="1">
      <c r="A39" s="2928">
        <v>9</v>
      </c>
      <c r="B39" s="2929" t="s">
        <v>2427</v>
      </c>
      <c r="C39" s="2894" t="e">
        <f>C38</f>
        <v>#DIV/0!</v>
      </c>
      <c r="D39" s="2929">
        <f>D38/(1+D34)^C36</f>
        <v>0</v>
      </c>
      <c r="E39" s="2929">
        <f>E38/(1+E34)^(C36+D36)</f>
        <v>0</v>
      </c>
      <c r="F39" s="2933"/>
      <c r="G39" s="2988"/>
      <c r="H39" s="2845"/>
      <c r="I39" s="2846"/>
      <c r="J39" s="3722"/>
      <c r="K39" s="3724"/>
      <c r="L39" s="2880"/>
      <c r="M39" s="2881"/>
      <c r="N39" s="2857"/>
      <c r="O39" s="2882"/>
      <c r="P39" s="2882"/>
      <c r="Q39" s="2883"/>
      <c r="R39" s="2884"/>
      <c r="S39" s="2919"/>
      <c r="T39" s="2838"/>
      <c r="U39" s="2838"/>
      <c r="V39" s="2846"/>
    </row>
    <row r="40" spans="1:23" s="2850" customFormat="1" ht="13.2" customHeight="1">
      <c r="A40" s="2989">
        <v>10</v>
      </c>
      <c r="B40" s="2929" t="s">
        <v>2428</v>
      </c>
      <c r="C40" s="2990" t="e">
        <f>C39+D39+E39</f>
        <v>#DIV/0!</v>
      </c>
      <c r="D40" s="2991"/>
      <c r="E40" s="2991"/>
      <c r="F40" s="2992"/>
      <c r="G40" s="2927"/>
      <c r="H40" s="2845"/>
      <c r="I40" s="2846"/>
      <c r="J40" s="3722"/>
      <c r="K40" s="3725"/>
      <c r="L40" s="2900" t="s">
        <v>2367</v>
      </c>
      <c r="M40" s="2901"/>
      <c r="N40" s="2901"/>
      <c r="O40" s="2902"/>
      <c r="P40" s="2902"/>
      <c r="Q40" s="2903"/>
      <c r="R40" s="2849">
        <f>SUM(R37:R39)</f>
        <v>0</v>
      </c>
      <c r="S40" s="2919"/>
      <c r="T40" s="2838"/>
      <c r="U40" s="2838"/>
      <c r="V40" s="2846"/>
    </row>
    <row r="41" spans="1:23" s="2850" customFormat="1" ht="13.2"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2" customHeight="1">
      <c r="G42" s="2997"/>
      <c r="H42" s="2845"/>
      <c r="I42" s="2846"/>
      <c r="J42" s="3726">
        <v>3</v>
      </c>
      <c r="K42" s="2948" t="s">
        <v>2409</v>
      </c>
      <c r="L42" s="2949"/>
      <c r="M42" s="2950"/>
      <c r="N42" s="2951" t="s">
        <v>2410</v>
      </c>
      <c r="O42" s="2951" t="s">
        <v>2411</v>
      </c>
      <c r="P42" s="2952" t="s">
        <v>2412</v>
      </c>
      <c r="Q42" s="2952" t="s">
        <v>2413</v>
      </c>
      <c r="R42" s="2855" t="s">
        <v>2338</v>
      </c>
      <c r="S42" s="2953"/>
      <c r="T42" s="2953"/>
      <c r="U42" s="2838"/>
      <c r="V42" s="2846"/>
    </row>
    <row r="43" spans="1:23" ht="13.2" customHeight="1">
      <c r="A43" s="2850"/>
      <c r="B43" s="2850"/>
      <c r="C43" s="2850"/>
      <c r="D43" s="2850"/>
      <c r="E43" s="2850"/>
      <c r="F43" s="2850"/>
      <c r="I43" s="2833"/>
      <c r="J43" s="3727"/>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0</v>
      </c>
      <c r="C2" s="1870" t="s">
        <v>1651</v>
      </c>
      <c r="D2" s="1871" t="s">
        <v>1652</v>
      </c>
      <c r="E2" s="2604">
        <f>SUM(E6:E13)</f>
        <v>0</v>
      </c>
      <c r="F2" s="2704"/>
      <c r="G2" s="1487"/>
      <c r="H2" s="1487"/>
      <c r="I2" s="1487"/>
      <c r="J2" s="1487"/>
      <c r="K2" s="1487"/>
      <c r="L2" s="1487"/>
      <c r="M2" s="1487"/>
      <c r="N2" s="1487"/>
      <c r="O2" s="1487"/>
      <c r="P2" s="1487"/>
      <c r="Q2" s="1487"/>
      <c r="R2" s="1487"/>
      <c r="S2" s="1487"/>
    </row>
    <row r="3" spans="1:22" ht="15.6">
      <c r="A3" s="1868" t="s">
        <v>686</v>
      </c>
      <c r="B3" s="2598" t="e">
        <f ca="1">ROUND(B2*10000/E2,0)</f>
        <v>#DIV/0!</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741" t="s">
        <v>1654</v>
      </c>
      <c r="C5" s="3742"/>
      <c r="D5" s="2705"/>
      <c r="E5" s="1872" t="s">
        <v>1655</v>
      </c>
      <c r="F5" s="1873" t="s">
        <v>1656</v>
      </c>
      <c r="G5" s="1487"/>
      <c r="H5" s="1487"/>
      <c r="I5" s="1487"/>
      <c r="J5" s="1487"/>
      <c r="K5" s="1487"/>
      <c r="L5" s="1487"/>
      <c r="M5" s="1487"/>
      <c r="N5" s="1487"/>
      <c r="O5" s="1487"/>
      <c r="P5" s="1487"/>
      <c r="Q5" s="1487"/>
      <c r="R5" s="1487"/>
      <c r="S5" s="1487"/>
    </row>
    <row r="6" spans="1:22" ht="14.4">
      <c r="A6" s="2601">
        <f>'数据-取费表'!AN6</f>
        <v>0</v>
      </c>
      <c r="B6" s="2599" t="e">
        <f ca="1">IF(F6="是",'数据-取费表'!AO6,0)</f>
        <v>#REF!</v>
      </c>
      <c r="C6" s="1870" t="s">
        <v>1651</v>
      </c>
      <c r="D6" s="2706"/>
      <c r="E6" s="2603">
        <f>IF(OR(A6=0,F6="否"),0,'数据-取费表'!K6+'数据-取费表'!S6)</f>
        <v>0</v>
      </c>
      <c r="F6" s="1874" t="s">
        <v>1657</v>
      </c>
      <c r="G6" s="1487"/>
      <c r="H6" s="1487"/>
      <c r="I6" s="1487"/>
      <c r="J6" s="1487"/>
      <c r="K6" s="1487"/>
      <c r="L6" s="1487"/>
      <c r="M6" s="1487"/>
      <c r="N6" s="1487"/>
      <c r="O6" s="1487"/>
      <c r="P6" s="1487"/>
      <c r="Q6" s="1487"/>
      <c r="R6" s="1487"/>
      <c r="S6" s="1487"/>
    </row>
    <row r="7" spans="1:22" ht="14.4">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1661</v>
      </c>
      <c r="C1" s="1236" t="s">
        <v>1662</v>
      </c>
      <c r="D1" s="1223"/>
      <c r="E1" s="3417"/>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8"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10.32</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4.4">
      <c r="A4" s="354" t="s">
        <v>1666</v>
      </c>
      <c r="B4" s="355"/>
      <c r="C4" s="3761" t="s">
        <v>1667</v>
      </c>
      <c r="D4" s="3762"/>
      <c r="E4" s="3763" t="s">
        <v>1668</v>
      </c>
      <c r="F4" s="3764"/>
      <c r="G4" s="3761" t="s">
        <v>1669</v>
      </c>
      <c r="H4" s="3762"/>
      <c r="I4" s="3761" t="s">
        <v>1670</v>
      </c>
      <c r="J4" s="3762"/>
      <c r="K4" s="1887" t="s">
        <v>1671</v>
      </c>
      <c r="L4" s="2712"/>
      <c r="M4" s="2713"/>
      <c r="N4" s="2713"/>
      <c r="O4" s="2713"/>
      <c r="P4" s="3765" t="s">
        <v>1672</v>
      </c>
      <c r="Q4" s="3766"/>
      <c r="R4" s="3771" t="s">
        <v>1668</v>
      </c>
      <c r="S4" s="3772"/>
      <c r="T4" s="3771" t="s">
        <v>1669</v>
      </c>
      <c r="U4" s="3772"/>
      <c r="V4" s="3777" t="s">
        <v>1670</v>
      </c>
      <c r="W4" s="3777"/>
      <c r="X4" s="1353"/>
      <c r="Y4" s="3771" t="s">
        <v>1672</v>
      </c>
      <c r="Z4" s="3772"/>
      <c r="AA4" s="3758" t="s">
        <v>1668</v>
      </c>
      <c r="AB4" s="3758" t="s">
        <v>1669</v>
      </c>
      <c r="AC4" s="3758" t="s">
        <v>1670</v>
      </c>
    </row>
    <row r="5" spans="1:29">
      <c r="A5" s="357"/>
      <c r="B5" s="358"/>
      <c r="C5" s="3780" t="s">
        <v>1673</v>
      </c>
      <c r="D5" s="3781"/>
      <c r="E5" s="3787" t="s">
        <v>1674</v>
      </c>
      <c r="F5" s="3788"/>
      <c r="G5" s="3780" t="s">
        <v>1675</v>
      </c>
      <c r="H5" s="3781"/>
      <c r="I5" s="3780" t="s">
        <v>1676</v>
      </c>
      <c r="J5" s="3781"/>
      <c r="K5" s="1888"/>
      <c r="L5" s="2712"/>
      <c r="M5" s="2713"/>
      <c r="N5" s="2713"/>
      <c r="O5" s="2713"/>
      <c r="P5" s="3767"/>
      <c r="Q5" s="3768"/>
      <c r="R5" s="3773"/>
      <c r="S5" s="3774"/>
      <c r="T5" s="3773"/>
      <c r="U5" s="3774"/>
      <c r="V5" s="3777"/>
      <c r="W5" s="3777"/>
      <c r="X5" s="1353"/>
      <c r="Y5" s="3773"/>
      <c r="Z5" s="3774"/>
      <c r="AA5" s="3759"/>
      <c r="AB5" s="3759"/>
      <c r="AC5" s="3759"/>
    </row>
    <row r="6" spans="1:29" ht="15" thickBot="1">
      <c r="A6" s="359"/>
      <c r="B6" s="360"/>
      <c r="C6" s="3778" t="s">
        <v>1677</v>
      </c>
      <c r="D6" s="3779"/>
      <c r="E6" s="3785" t="s">
        <v>1677</v>
      </c>
      <c r="F6" s="3786"/>
      <c r="G6" s="3778" t="s">
        <v>1677</v>
      </c>
      <c r="H6" s="3779"/>
      <c r="I6" s="3778" t="s">
        <v>1677</v>
      </c>
      <c r="J6" s="3779"/>
      <c r="K6" s="1888" t="s">
        <v>1678</v>
      </c>
      <c r="L6" s="2712"/>
      <c r="M6" s="2713"/>
      <c r="N6" s="2713"/>
      <c r="O6" s="2713"/>
      <c r="P6" s="3769"/>
      <c r="Q6" s="3770"/>
      <c r="R6" s="3773"/>
      <c r="S6" s="3774"/>
      <c r="T6" s="3775"/>
      <c r="U6" s="3776"/>
      <c r="V6" s="3777"/>
      <c r="W6" s="3777"/>
      <c r="X6" s="1353"/>
      <c r="Y6" s="3775"/>
      <c r="Z6" s="3776"/>
      <c r="AA6" s="3760"/>
      <c r="AB6" s="3760"/>
      <c r="AC6" s="3760"/>
    </row>
    <row r="7" spans="1:29" s="108" customFormat="1" ht="15" thickBot="1">
      <c r="A7" s="361" t="s">
        <v>1679</v>
      </c>
      <c r="B7" s="362"/>
      <c r="C7" s="363">
        <f>'数据-取费表'!B2</f>
        <v>45882</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782" t="s">
        <v>1680</v>
      </c>
      <c r="Q7" s="3784"/>
      <c r="R7" s="700" t="s">
        <v>20</v>
      </c>
      <c r="S7" s="701">
        <f t="shared" ref="S7:S15" si="0">F7</f>
        <v>0</v>
      </c>
      <c r="T7" s="700" t="s">
        <v>20</v>
      </c>
      <c r="U7" s="701">
        <f t="shared" ref="U7:U15" si="1">H7</f>
        <v>0</v>
      </c>
      <c r="V7" s="700" t="s">
        <v>20</v>
      </c>
      <c r="W7" s="701">
        <f t="shared" ref="W7:W15" si="2">J7</f>
        <v>0</v>
      </c>
      <c r="X7" s="702"/>
      <c r="Y7" s="3782" t="s">
        <v>1680</v>
      </c>
      <c r="Z7" s="3783"/>
      <c r="AA7" s="703" t="e">
        <f>D7/F7</f>
        <v>#DIV/0!</v>
      </c>
      <c r="AB7" s="703" t="e">
        <f>D7/H7</f>
        <v>#DIV/0!</v>
      </c>
      <c r="AC7" s="703" t="e">
        <f>D7/J7</f>
        <v>#DIV/0!</v>
      </c>
    </row>
    <row r="8" spans="1:29" s="108" customFormat="1" ht="1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782" t="s">
        <v>1683</v>
      </c>
      <c r="Q8" s="3783"/>
      <c r="R8" s="700" t="s">
        <v>20</v>
      </c>
      <c r="S8" s="701">
        <f t="shared" si="0"/>
        <v>100</v>
      </c>
      <c r="T8" s="700" t="s">
        <v>20</v>
      </c>
      <c r="U8" s="701">
        <f t="shared" si="1"/>
        <v>100</v>
      </c>
      <c r="V8" s="700" t="s">
        <v>20</v>
      </c>
      <c r="W8" s="701">
        <f t="shared" si="2"/>
        <v>100</v>
      </c>
      <c r="X8" s="702"/>
      <c r="Y8" s="3782" t="s">
        <v>1683</v>
      </c>
      <c r="Z8" s="3783"/>
      <c r="AA8" s="703">
        <f t="shared" ref="AA8:AA19" si="3">D8/F8</f>
        <v>1</v>
      </c>
      <c r="AB8" s="703">
        <f t="shared" ref="AB8:AB19" si="4">D8/H8</f>
        <v>1</v>
      </c>
      <c r="AC8" s="703">
        <f t="shared" ref="AC8:AC19" si="5">D8/J8</f>
        <v>1</v>
      </c>
    </row>
    <row r="9" spans="1:29" s="108" customFormat="1" ht="14.4">
      <c r="A9" s="368" t="s">
        <v>1684</v>
      </c>
      <c r="B9" s="63" t="s">
        <v>1685</v>
      </c>
      <c r="C9" s="369"/>
      <c r="D9" s="126">
        <v>100</v>
      </c>
      <c r="E9" s="370"/>
      <c r="F9" s="371">
        <f>SUMIF(63:63,E9,64:64)-SUMIF(63:63,C9,64:64)+100</f>
        <v>100</v>
      </c>
      <c r="G9" s="372"/>
      <c r="H9" s="126">
        <f>SUMIF(63:63,G9,64:64)-SUMIF(63:63,C9,64:64)+100</f>
        <v>100</v>
      </c>
      <c r="I9" s="372"/>
      <c r="J9" s="126">
        <f>SUMIF(63:63,I9,64:64)-SUMIF(63:63,C9,64:64)+100</f>
        <v>100</v>
      </c>
      <c r="K9" s="1889"/>
      <c r="L9" s="2714"/>
      <c r="M9" s="2715"/>
      <c r="N9" s="2715"/>
      <c r="O9" s="2715"/>
      <c r="P9" s="3757" t="s">
        <v>1686</v>
      </c>
      <c r="Q9" s="1341" t="str">
        <f t="shared" ref="Q9:Q15" si="6">B9</f>
        <v>用途</v>
      </c>
      <c r="R9" s="700" t="s">
        <v>14</v>
      </c>
      <c r="S9" s="701">
        <f t="shared" si="0"/>
        <v>100</v>
      </c>
      <c r="T9" s="700" t="s">
        <v>14</v>
      </c>
      <c r="U9" s="701">
        <f t="shared" si="1"/>
        <v>100</v>
      </c>
      <c r="V9" s="700" t="s">
        <v>14</v>
      </c>
      <c r="W9" s="701">
        <f t="shared" si="2"/>
        <v>100</v>
      </c>
      <c r="X9" s="702"/>
      <c r="Y9" s="3602"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6"/>
      <c r="F10" s="375">
        <f>SUMIF(65:65,E10,66:66)-SUMIF(65:65,C10,66:66)+100</f>
        <v>100</v>
      </c>
      <c r="G10" s="3425"/>
      <c r="H10" s="127">
        <f>SUMIF(65:65,G10,66:66)-SUMIF(65:65,C10,66:66)+100</f>
        <v>100</v>
      </c>
      <c r="I10" s="3425"/>
      <c r="J10" s="127">
        <f>SUMIF(65:65,I10,66:66)-SUMIF(65:65,C10,66:66)+100</f>
        <v>100</v>
      </c>
      <c r="K10" s="1889"/>
      <c r="L10" s="2716"/>
      <c r="M10" s="2717"/>
      <c r="N10" s="2717"/>
      <c r="O10" s="2717"/>
      <c r="P10" s="3757"/>
      <c r="Q10" s="1341" t="str">
        <f t="shared" si="6"/>
        <v>土地使用年限（年）</v>
      </c>
      <c r="R10" s="700" t="s">
        <v>14</v>
      </c>
      <c r="S10" s="701">
        <f t="shared" si="0"/>
        <v>100</v>
      </c>
      <c r="T10" s="700" t="s">
        <v>14</v>
      </c>
      <c r="U10" s="701">
        <f t="shared" si="1"/>
        <v>100</v>
      </c>
      <c r="V10" s="700" t="s">
        <v>14</v>
      </c>
      <c r="W10" s="701">
        <f t="shared" si="2"/>
        <v>100</v>
      </c>
      <c r="X10" s="702"/>
      <c r="Y10" s="3602"/>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18"/>
      <c r="M11" s="2713"/>
      <c r="N11" s="2713"/>
      <c r="O11" s="2713"/>
      <c r="P11" s="3757"/>
      <c r="Q11" s="1341" t="str">
        <f t="shared" si="6"/>
        <v>容积率</v>
      </c>
      <c r="R11" s="700" t="s">
        <v>18</v>
      </c>
      <c r="S11" s="701" t="e">
        <f t="shared" si="0"/>
        <v>#N/A</v>
      </c>
      <c r="T11" s="700" t="s">
        <v>18</v>
      </c>
      <c r="U11" s="701" t="e">
        <f t="shared" si="1"/>
        <v>#N/A</v>
      </c>
      <c r="V11" s="700" t="s">
        <v>18</v>
      </c>
      <c r="W11" s="701" t="e">
        <f t="shared" si="2"/>
        <v>#N/A</v>
      </c>
      <c r="X11" s="702"/>
      <c r="Y11" s="3602"/>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7">
        <f>SUMIF(70:70,G12,71:71)-SUMIF(70:70,C12,71:71)+100</f>
        <v>100</v>
      </c>
      <c r="I12" s="382"/>
      <c r="J12" s="127">
        <f>SUMIF(70:70,I12,71:71)-SUMIF(70:70,C12,71:71)+100</f>
        <v>100</v>
      </c>
      <c r="K12" s="1892"/>
      <c r="L12" s="2714"/>
      <c r="M12" s="2715"/>
      <c r="N12" s="2715"/>
      <c r="O12" s="2715"/>
      <c r="P12" s="3757"/>
      <c r="Q12" s="1341">
        <f t="shared" si="6"/>
        <v>111</v>
      </c>
      <c r="R12" s="700" t="s">
        <v>18</v>
      </c>
      <c r="S12" s="701">
        <f t="shared" si="0"/>
        <v>100</v>
      </c>
      <c r="T12" s="700" t="s">
        <v>18</v>
      </c>
      <c r="U12" s="701">
        <f t="shared" si="1"/>
        <v>100</v>
      </c>
      <c r="V12" s="700" t="s">
        <v>18</v>
      </c>
      <c r="W12" s="701">
        <f t="shared" si="2"/>
        <v>100</v>
      </c>
      <c r="X12" s="702"/>
      <c r="Y12" s="3602"/>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57"/>
      <c r="Q13" s="1341">
        <f t="shared" si="6"/>
        <v>111</v>
      </c>
      <c r="R13" s="700" t="s">
        <v>18</v>
      </c>
      <c r="S13" s="701">
        <f t="shared" si="0"/>
        <v>100</v>
      </c>
      <c r="T13" s="700" t="s">
        <v>18</v>
      </c>
      <c r="U13" s="701">
        <f t="shared" si="1"/>
        <v>100</v>
      </c>
      <c r="V13" s="700" t="s">
        <v>18</v>
      </c>
      <c r="W13" s="701">
        <f t="shared" si="2"/>
        <v>100</v>
      </c>
      <c r="X13" s="702"/>
      <c r="Y13" s="3602"/>
      <c r="Z13" s="52">
        <f t="shared" si="7"/>
        <v>111</v>
      </c>
      <c r="AA13" s="703">
        <f t="shared" si="3"/>
        <v>1</v>
      </c>
      <c r="AB13" s="703">
        <f t="shared" si="4"/>
        <v>1</v>
      </c>
      <c r="AC13" s="703">
        <f t="shared" si="5"/>
        <v>1</v>
      </c>
    </row>
    <row r="14" spans="1:29" ht="15.6"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57"/>
      <c r="Q14" s="1341">
        <f t="shared" si="6"/>
        <v>111</v>
      </c>
      <c r="R14" s="700" t="s">
        <v>18</v>
      </c>
      <c r="S14" s="701">
        <f t="shared" si="0"/>
        <v>100</v>
      </c>
      <c r="T14" s="700" t="s">
        <v>18</v>
      </c>
      <c r="U14" s="701">
        <f t="shared" si="1"/>
        <v>100</v>
      </c>
      <c r="V14" s="700" t="s">
        <v>18</v>
      </c>
      <c r="W14" s="701">
        <f t="shared" si="2"/>
        <v>100</v>
      </c>
      <c r="X14" s="702"/>
      <c r="Y14" s="3602"/>
      <c r="Z14" s="52">
        <f t="shared" si="7"/>
        <v>111</v>
      </c>
      <c r="AA14" s="703">
        <f t="shared" si="3"/>
        <v>1</v>
      </c>
      <c r="AB14" s="703">
        <f t="shared" si="4"/>
        <v>1</v>
      </c>
      <c r="AC14" s="703">
        <f t="shared" si="5"/>
        <v>1</v>
      </c>
    </row>
    <row r="15" spans="1:29" ht="96.6">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55" t="s">
        <v>1691</v>
      </c>
      <c r="Q15" s="1350" t="str">
        <f t="shared" si="6"/>
        <v>居住社区成熟度</v>
      </c>
      <c r="R15" s="704" t="s">
        <v>18</v>
      </c>
      <c r="S15" s="705">
        <f t="shared" si="0"/>
        <v>100</v>
      </c>
      <c r="T15" s="704" t="s">
        <v>18</v>
      </c>
      <c r="U15" s="705">
        <f t="shared" si="1"/>
        <v>100</v>
      </c>
      <c r="V15" s="704" t="s">
        <v>18</v>
      </c>
      <c r="W15" s="705">
        <f t="shared" si="2"/>
        <v>100</v>
      </c>
      <c r="X15" s="1353"/>
      <c r="Y15" s="3748"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756"/>
      <c r="Q16" s="1350"/>
      <c r="R16" s="704"/>
      <c r="S16" s="705"/>
      <c r="T16" s="704"/>
      <c r="U16" s="705"/>
      <c r="V16" s="704"/>
      <c r="W16" s="705"/>
      <c r="X16" s="1353"/>
      <c r="Y16" s="3749"/>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56"/>
      <c r="Q17" s="1350" t="str">
        <f>B17</f>
        <v>交通便捷度</v>
      </c>
      <c r="R17" s="704" t="s">
        <v>18</v>
      </c>
      <c r="S17" s="705">
        <f>F17</f>
        <v>100</v>
      </c>
      <c r="T17" s="704" t="s">
        <v>18</v>
      </c>
      <c r="U17" s="705">
        <f>H17</f>
        <v>100</v>
      </c>
      <c r="V17" s="704" t="s">
        <v>18</v>
      </c>
      <c r="W17" s="705">
        <f>J17</f>
        <v>100</v>
      </c>
      <c r="X17" s="1353"/>
      <c r="Y17" s="3749"/>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756"/>
      <c r="Q18" s="1350"/>
      <c r="R18" s="704"/>
      <c r="S18" s="705"/>
      <c r="T18" s="704"/>
      <c r="U18" s="705"/>
      <c r="V18" s="704"/>
      <c r="W18" s="705"/>
      <c r="X18" s="1353"/>
      <c r="Y18" s="3749"/>
      <c r="Z18" s="1354"/>
      <c r="AA18" s="1351">
        <v>1</v>
      </c>
      <c r="AB18" s="1351">
        <v>1</v>
      </c>
      <c r="AC18" s="1351">
        <v>1</v>
      </c>
    </row>
    <row r="19" spans="1:29" ht="41.4">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56"/>
      <c r="Q19" s="1350" t="str">
        <f>B19</f>
        <v>公共配套设施</v>
      </c>
      <c r="R19" s="704" t="s">
        <v>18</v>
      </c>
      <c r="S19" s="705">
        <f>F19</f>
        <v>100</v>
      </c>
      <c r="T19" s="704" t="s">
        <v>18</v>
      </c>
      <c r="U19" s="705">
        <f>H19</f>
        <v>100</v>
      </c>
      <c r="V19" s="704" t="s">
        <v>18</v>
      </c>
      <c r="W19" s="705">
        <f>J19</f>
        <v>100</v>
      </c>
      <c r="X19" s="1353"/>
      <c r="Y19" s="3749"/>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756"/>
      <c r="Q20" s="1350"/>
      <c r="R20" s="704"/>
      <c r="S20" s="705"/>
      <c r="T20" s="704"/>
      <c r="U20" s="705"/>
      <c r="V20" s="704"/>
      <c r="W20" s="705"/>
      <c r="X20" s="1353"/>
      <c r="Y20" s="3749"/>
      <c r="Z20" s="1354"/>
      <c r="AA20" s="1351">
        <v>1</v>
      </c>
      <c r="AB20" s="1351">
        <v>1</v>
      </c>
      <c r="AC20" s="1351">
        <v>1</v>
      </c>
    </row>
    <row r="21" spans="1:29" ht="27.6">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56"/>
      <c r="Q21" s="1350" t="str">
        <f>B21</f>
        <v>基础设施水平</v>
      </c>
      <c r="R21" s="704" t="s">
        <v>14</v>
      </c>
      <c r="S21" s="705">
        <f>F21</f>
        <v>100</v>
      </c>
      <c r="T21" s="704" t="s">
        <v>14</v>
      </c>
      <c r="U21" s="705">
        <f>H21</f>
        <v>100</v>
      </c>
      <c r="V21" s="704" t="s">
        <v>14</v>
      </c>
      <c r="W21" s="705">
        <f>J21</f>
        <v>100</v>
      </c>
      <c r="X21" s="1353"/>
      <c r="Y21" s="374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9"/>
      <c r="M22" s="2713"/>
      <c r="N22" s="2713"/>
      <c r="O22" s="2713"/>
      <c r="P22" s="3756"/>
      <c r="Q22" s="1350"/>
      <c r="R22" s="704"/>
      <c r="S22" s="705"/>
      <c r="T22" s="704"/>
      <c r="U22" s="705"/>
      <c r="V22" s="704"/>
      <c r="W22" s="705"/>
      <c r="X22" s="1353"/>
      <c r="Y22" s="3749"/>
      <c r="Z22" s="1354"/>
      <c r="AA22" s="1351">
        <v>1</v>
      </c>
      <c r="AB22" s="1351">
        <v>1</v>
      </c>
      <c r="AC22" s="1351">
        <v>1</v>
      </c>
    </row>
    <row r="23" spans="1:29" ht="55.2">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56"/>
      <c r="Q23" s="1350" t="str">
        <f>B23</f>
        <v>自然及人文环境</v>
      </c>
      <c r="R23" s="704" t="s">
        <v>18</v>
      </c>
      <c r="S23" s="705">
        <f>F23</f>
        <v>100</v>
      </c>
      <c r="T23" s="704" t="s">
        <v>18</v>
      </c>
      <c r="U23" s="705">
        <f>H23</f>
        <v>100</v>
      </c>
      <c r="V23" s="704" t="s">
        <v>18</v>
      </c>
      <c r="W23" s="705">
        <f>J23</f>
        <v>100</v>
      </c>
      <c r="X23" s="1353"/>
      <c r="Y23" s="3749"/>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756"/>
      <c r="Q24" s="1350"/>
      <c r="R24" s="704"/>
      <c r="S24" s="705"/>
      <c r="T24" s="704"/>
      <c r="U24" s="705"/>
      <c r="V24" s="704"/>
      <c r="W24" s="705"/>
      <c r="X24" s="1353"/>
      <c r="Y24" s="3749"/>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756"/>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9"/>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756"/>
      <c r="Q26" s="1350" t="str">
        <f t="shared" si="11"/>
        <v>朝向</v>
      </c>
      <c r="R26" s="704" t="s">
        <v>18</v>
      </c>
      <c r="S26" s="705">
        <f t="shared" si="12"/>
        <v>100</v>
      </c>
      <c r="T26" s="704" t="s">
        <v>18</v>
      </c>
      <c r="U26" s="705">
        <f t="shared" si="13"/>
        <v>100</v>
      </c>
      <c r="V26" s="704" t="s">
        <v>18</v>
      </c>
      <c r="W26" s="705">
        <f t="shared" si="14"/>
        <v>100</v>
      </c>
      <c r="X26" s="1353"/>
      <c r="Y26" s="3749"/>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756"/>
      <c r="Q27" s="1341">
        <f t="shared" si="11"/>
        <v>111</v>
      </c>
      <c r="R27" s="700" t="s">
        <v>18</v>
      </c>
      <c r="S27" s="701">
        <f t="shared" si="12"/>
        <v>100</v>
      </c>
      <c r="T27" s="700" t="s">
        <v>18</v>
      </c>
      <c r="U27" s="701">
        <f t="shared" si="13"/>
        <v>100</v>
      </c>
      <c r="V27" s="700" t="s">
        <v>18</v>
      </c>
      <c r="W27" s="701">
        <f t="shared" si="14"/>
        <v>100</v>
      </c>
      <c r="X27" s="702"/>
      <c r="Y27" s="3749"/>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756"/>
      <c r="Q28" s="1350">
        <f t="shared" si="11"/>
        <v>111</v>
      </c>
      <c r="R28" s="704" t="s">
        <v>18</v>
      </c>
      <c r="S28" s="705">
        <f t="shared" si="12"/>
        <v>100</v>
      </c>
      <c r="T28" s="704" t="s">
        <v>18</v>
      </c>
      <c r="U28" s="705">
        <f t="shared" si="13"/>
        <v>100</v>
      </c>
      <c r="V28" s="704" t="s">
        <v>18</v>
      </c>
      <c r="W28" s="705">
        <f t="shared" si="14"/>
        <v>100</v>
      </c>
      <c r="X28" s="1353"/>
      <c r="Y28" s="3749"/>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756"/>
      <c r="Q29" s="1350">
        <f t="shared" si="11"/>
        <v>111</v>
      </c>
      <c r="R29" s="704" t="s">
        <v>18</v>
      </c>
      <c r="S29" s="705">
        <f t="shared" si="12"/>
        <v>100</v>
      </c>
      <c r="T29" s="704" t="s">
        <v>18</v>
      </c>
      <c r="U29" s="705">
        <f t="shared" si="13"/>
        <v>100</v>
      </c>
      <c r="V29" s="704" t="s">
        <v>18</v>
      </c>
      <c r="W29" s="705">
        <f t="shared" si="14"/>
        <v>100</v>
      </c>
      <c r="X29" s="1353"/>
      <c r="Y29" s="3749"/>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756"/>
      <c r="Q30" s="1350">
        <f t="shared" si="11"/>
        <v>111</v>
      </c>
      <c r="R30" s="704" t="s">
        <v>18</v>
      </c>
      <c r="S30" s="705">
        <f t="shared" si="12"/>
        <v>100</v>
      </c>
      <c r="T30" s="704" t="s">
        <v>18</v>
      </c>
      <c r="U30" s="705">
        <f t="shared" si="13"/>
        <v>100</v>
      </c>
      <c r="V30" s="704" t="s">
        <v>18</v>
      </c>
      <c r="W30" s="705">
        <f t="shared" si="14"/>
        <v>100</v>
      </c>
      <c r="X30" s="1353"/>
      <c r="Y30" s="3749"/>
      <c r="Z30" s="1354">
        <f t="shared" si="18"/>
        <v>111</v>
      </c>
      <c r="AA30" s="1351">
        <f t="shared" si="15"/>
        <v>1</v>
      </c>
      <c r="AB30" s="1351">
        <f t="shared" si="16"/>
        <v>1</v>
      </c>
      <c r="AC30" s="1351">
        <f t="shared" si="17"/>
        <v>1</v>
      </c>
    </row>
    <row r="31" spans="1:29" ht="15.6"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756"/>
      <c r="Q31" s="1350">
        <f t="shared" si="11"/>
        <v>111</v>
      </c>
      <c r="R31" s="704" t="s">
        <v>18</v>
      </c>
      <c r="S31" s="705">
        <f t="shared" si="12"/>
        <v>100</v>
      </c>
      <c r="T31" s="704" t="s">
        <v>18</v>
      </c>
      <c r="U31" s="705">
        <f t="shared" si="13"/>
        <v>100</v>
      </c>
      <c r="V31" s="704" t="s">
        <v>18</v>
      </c>
      <c r="W31" s="705">
        <f t="shared" si="14"/>
        <v>100</v>
      </c>
      <c r="X31" s="1353"/>
      <c r="Y31" s="3749"/>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750" t="s">
        <v>1696</v>
      </c>
      <c r="Q32" s="1350" t="str">
        <f t="shared" si="11"/>
        <v>建筑类型</v>
      </c>
      <c r="R32" s="704" t="s">
        <v>18</v>
      </c>
      <c r="S32" s="705">
        <f t="shared" si="12"/>
        <v>100</v>
      </c>
      <c r="T32" s="704" t="s">
        <v>18</v>
      </c>
      <c r="U32" s="705">
        <f t="shared" si="13"/>
        <v>100</v>
      </c>
      <c r="V32" s="704" t="s">
        <v>18</v>
      </c>
      <c r="W32" s="705">
        <f t="shared" si="14"/>
        <v>100</v>
      </c>
      <c r="X32" s="1353"/>
      <c r="Y32" s="3753" t="s">
        <v>1696</v>
      </c>
      <c r="Z32" s="1354" t="str">
        <f t="shared" si="18"/>
        <v>建筑类型</v>
      </c>
      <c r="AA32" s="1351">
        <f t="shared" si="15"/>
        <v>1</v>
      </c>
      <c r="AB32" s="1351">
        <f t="shared" si="16"/>
        <v>1</v>
      </c>
      <c r="AC32" s="1351">
        <f t="shared" si="17"/>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92"/>
      <c r="L33" s="2718"/>
      <c r="M33" s="2720"/>
      <c r="N33" s="2720"/>
      <c r="O33" s="2720"/>
      <c r="P33" s="3751"/>
      <c r="Q33" s="706" t="str">
        <f t="shared" si="11"/>
        <v>项目建筑规模</v>
      </c>
      <c r="R33" s="707" t="s">
        <v>18</v>
      </c>
      <c r="S33" s="708" t="e">
        <f t="shared" si="12"/>
        <v>#N/A</v>
      </c>
      <c r="T33" s="707" t="s">
        <v>18</v>
      </c>
      <c r="U33" s="708" t="e">
        <f t="shared" si="13"/>
        <v>#N/A</v>
      </c>
      <c r="V33" s="707" t="s">
        <v>18</v>
      </c>
      <c r="W33" s="708" t="e">
        <f t="shared" si="14"/>
        <v>#N/A</v>
      </c>
      <c r="X33" s="709"/>
      <c r="Y33" s="3753"/>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751"/>
      <c r="Q34" s="1350" t="str">
        <f t="shared" si="11"/>
        <v>建筑结构</v>
      </c>
      <c r="R34" s="704" t="s">
        <v>18</v>
      </c>
      <c r="S34" s="705">
        <f t="shared" si="12"/>
        <v>100</v>
      </c>
      <c r="T34" s="704" t="s">
        <v>18</v>
      </c>
      <c r="U34" s="705">
        <f t="shared" si="13"/>
        <v>100</v>
      </c>
      <c r="V34" s="704" t="s">
        <v>18</v>
      </c>
      <c r="W34" s="705">
        <f t="shared" si="14"/>
        <v>100</v>
      </c>
      <c r="X34" s="1353"/>
      <c r="Y34" s="3753"/>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751"/>
      <c r="Q35" s="1350" t="str">
        <f t="shared" si="11"/>
        <v>建筑品质</v>
      </c>
      <c r="R35" s="704" t="s">
        <v>18</v>
      </c>
      <c r="S35" s="705">
        <f t="shared" si="12"/>
        <v>100</v>
      </c>
      <c r="T35" s="704" t="s">
        <v>18</v>
      </c>
      <c r="U35" s="705">
        <f t="shared" si="13"/>
        <v>100</v>
      </c>
      <c r="V35" s="704" t="s">
        <v>18</v>
      </c>
      <c r="W35" s="705">
        <f t="shared" si="14"/>
        <v>100</v>
      </c>
      <c r="X35" s="1353"/>
      <c r="Y35" s="3753"/>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751"/>
      <c r="Q36" s="1350" t="str">
        <f t="shared" si="11"/>
        <v>公共部分装修</v>
      </c>
      <c r="R36" s="704" t="s">
        <v>18</v>
      </c>
      <c r="S36" s="705">
        <f t="shared" si="12"/>
        <v>100</v>
      </c>
      <c r="T36" s="704" t="s">
        <v>18</v>
      </c>
      <c r="U36" s="705">
        <f t="shared" si="13"/>
        <v>100</v>
      </c>
      <c r="V36" s="704" t="s">
        <v>18</v>
      </c>
      <c r="W36" s="705">
        <f t="shared" si="14"/>
        <v>100</v>
      </c>
      <c r="X36" s="1353"/>
      <c r="Y36" s="3753"/>
      <c r="Z36" s="1354" t="str">
        <f t="shared" si="18"/>
        <v>公共部分装修</v>
      </c>
      <c r="AA36" s="1351">
        <f t="shared" si="15"/>
        <v>1</v>
      </c>
      <c r="AB36" s="1351">
        <f t="shared" si="16"/>
        <v>1</v>
      </c>
      <c r="AC36" s="1351">
        <f t="shared" si="17"/>
        <v>1</v>
      </c>
    </row>
    <row r="37" spans="1:29" s="108" customFormat="1" ht="15">
      <c r="A37" s="423"/>
      <c r="B37" s="374" t="s">
        <v>1701</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714"/>
      <c r="M37" s="2715"/>
      <c r="N37" s="2715"/>
      <c r="O37" s="2715"/>
      <c r="P37" s="3751"/>
      <c r="Q37" s="1341" t="str">
        <f t="shared" si="11"/>
        <v>成新度</v>
      </c>
      <c r="R37" s="700" t="s">
        <v>18</v>
      </c>
      <c r="S37" s="701" t="e">
        <f t="shared" si="12"/>
        <v>#N/A</v>
      </c>
      <c r="T37" s="700" t="s">
        <v>18</v>
      </c>
      <c r="U37" s="701" t="e">
        <f t="shared" si="13"/>
        <v>#N/A</v>
      </c>
      <c r="V37" s="700" t="s">
        <v>18</v>
      </c>
      <c r="W37" s="701" t="e">
        <f t="shared" si="14"/>
        <v>#N/A</v>
      </c>
      <c r="X37" s="702"/>
      <c r="Y37" s="3753"/>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751" t="s">
        <v>1696</v>
      </c>
      <c r="Q38" s="1350" t="str">
        <f t="shared" si="11"/>
        <v>物业管理</v>
      </c>
      <c r="R38" s="704" t="s">
        <v>18</v>
      </c>
      <c r="S38" s="705">
        <f t="shared" si="12"/>
        <v>100</v>
      </c>
      <c r="T38" s="704" t="s">
        <v>18</v>
      </c>
      <c r="U38" s="705">
        <f t="shared" si="13"/>
        <v>100</v>
      </c>
      <c r="V38" s="704" t="s">
        <v>18</v>
      </c>
      <c r="W38" s="705">
        <f t="shared" si="14"/>
        <v>100</v>
      </c>
      <c r="X38" s="1353"/>
      <c r="Y38" s="3753"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751"/>
      <c r="Q39" s="1350" t="str">
        <f t="shared" si="11"/>
        <v>市政基础设施</v>
      </c>
      <c r="R39" s="704" t="s">
        <v>18</v>
      </c>
      <c r="S39" s="705">
        <f t="shared" si="12"/>
        <v>100</v>
      </c>
      <c r="T39" s="704" t="s">
        <v>18</v>
      </c>
      <c r="U39" s="705">
        <f t="shared" si="13"/>
        <v>100</v>
      </c>
      <c r="V39" s="704" t="s">
        <v>18</v>
      </c>
      <c r="W39" s="705">
        <f t="shared" si="14"/>
        <v>100</v>
      </c>
      <c r="X39" s="1353"/>
      <c r="Y39" s="3753"/>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751"/>
      <c r="Q40" s="1350" t="str">
        <f t="shared" si="11"/>
        <v>房型</v>
      </c>
      <c r="R40" s="704" t="s">
        <v>18</v>
      </c>
      <c r="S40" s="705">
        <f t="shared" si="12"/>
        <v>100</v>
      </c>
      <c r="T40" s="704" t="s">
        <v>18</v>
      </c>
      <c r="U40" s="705">
        <f t="shared" si="13"/>
        <v>100</v>
      </c>
      <c r="V40" s="704" t="s">
        <v>18</v>
      </c>
      <c r="W40" s="705">
        <f t="shared" si="14"/>
        <v>100</v>
      </c>
      <c r="X40" s="1353"/>
      <c r="Y40" s="3753"/>
      <c r="Z40" s="1354" t="str">
        <f t="shared" si="18"/>
        <v>房型</v>
      </c>
      <c r="AA40" s="1351">
        <f t="shared" si="15"/>
        <v>1</v>
      </c>
      <c r="AB40" s="1351">
        <f t="shared" si="16"/>
        <v>1</v>
      </c>
      <c r="AC40" s="1351">
        <f t="shared" si="17"/>
        <v>1</v>
      </c>
    </row>
    <row r="41" spans="1:29" s="421" customFormat="1" ht="28.8">
      <c r="A41" s="418"/>
      <c r="B41" s="374" t="s">
        <v>1705</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92"/>
      <c r="L41" s="2718"/>
      <c r="M41" s="2720"/>
      <c r="N41" s="2720"/>
      <c r="O41" s="2720"/>
      <c r="P41" s="3751"/>
      <c r="Q41" s="706" t="str">
        <f t="shared" si="11"/>
        <v>单套/主力户型建筑面积</v>
      </c>
      <c r="R41" s="707" t="s">
        <v>18</v>
      </c>
      <c r="S41" s="708">
        <f t="shared" si="12"/>
        <v>100</v>
      </c>
      <c r="T41" s="707" t="s">
        <v>18</v>
      </c>
      <c r="U41" s="708">
        <f t="shared" si="13"/>
        <v>100</v>
      </c>
      <c r="V41" s="707" t="s">
        <v>18</v>
      </c>
      <c r="W41" s="708">
        <f t="shared" si="14"/>
        <v>100</v>
      </c>
      <c r="X41" s="709"/>
      <c r="Y41" s="3753"/>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751"/>
      <c r="Q42" s="1350" t="str">
        <f t="shared" si="11"/>
        <v>内部装修</v>
      </c>
      <c r="R42" s="704" t="s">
        <v>18</v>
      </c>
      <c r="S42" s="705">
        <f t="shared" si="12"/>
        <v>100</v>
      </c>
      <c r="T42" s="704" t="s">
        <v>18</v>
      </c>
      <c r="U42" s="705">
        <f t="shared" si="13"/>
        <v>100</v>
      </c>
      <c r="V42" s="704" t="s">
        <v>18</v>
      </c>
      <c r="W42" s="705">
        <f t="shared" si="14"/>
        <v>100</v>
      </c>
      <c r="X42" s="1353"/>
      <c r="Y42" s="3753"/>
      <c r="Z42" s="1354" t="str">
        <f t="shared" si="18"/>
        <v>内部装修</v>
      </c>
      <c r="AA42" s="1351">
        <f t="shared" si="15"/>
        <v>1</v>
      </c>
      <c r="AB42" s="1351">
        <f t="shared" si="16"/>
        <v>1</v>
      </c>
      <c r="AC42" s="1351">
        <f t="shared" si="17"/>
        <v>1</v>
      </c>
    </row>
    <row r="43" spans="1:29" ht="28.8">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751"/>
      <c r="Q43" s="1350" t="str">
        <f t="shared" si="11"/>
        <v>内部装修维护情况</v>
      </c>
      <c r="R43" s="704" t="s">
        <v>18</v>
      </c>
      <c r="S43" s="705">
        <f t="shared" si="12"/>
        <v>100</v>
      </c>
      <c r="T43" s="704" t="s">
        <v>18</v>
      </c>
      <c r="U43" s="705">
        <f t="shared" si="13"/>
        <v>100</v>
      </c>
      <c r="V43" s="704" t="s">
        <v>18</v>
      </c>
      <c r="W43" s="705">
        <f t="shared" si="14"/>
        <v>100</v>
      </c>
      <c r="X43" s="1353"/>
      <c r="Y43" s="3753"/>
      <c r="Z43" s="1354" t="str">
        <f t="shared" si="18"/>
        <v>内部装修维护情况</v>
      </c>
      <c r="AA43" s="1351">
        <f t="shared" si="15"/>
        <v>1</v>
      </c>
      <c r="AB43" s="1351">
        <f t="shared" si="16"/>
        <v>1</v>
      </c>
      <c r="AC43" s="1351">
        <f t="shared" si="17"/>
        <v>1</v>
      </c>
    </row>
    <row r="44" spans="1:29" s="108" customFormat="1" ht="15">
      <c r="A44" s="423"/>
      <c r="B44" s="1131">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92"/>
      <c r="L44" s="2714"/>
      <c r="M44" s="2715"/>
      <c r="N44" s="2715"/>
      <c r="O44" s="2715"/>
      <c r="P44" s="3751"/>
      <c r="Q44" s="1341">
        <f t="shared" si="11"/>
        <v>111</v>
      </c>
      <c r="R44" s="700" t="s">
        <v>18</v>
      </c>
      <c r="S44" s="701">
        <f t="shared" si="12"/>
        <v>100</v>
      </c>
      <c r="T44" s="700" t="s">
        <v>18</v>
      </c>
      <c r="U44" s="701">
        <f t="shared" si="13"/>
        <v>100</v>
      </c>
      <c r="V44" s="700" t="s">
        <v>18</v>
      </c>
      <c r="W44" s="701">
        <f t="shared" si="14"/>
        <v>100</v>
      </c>
      <c r="X44" s="702"/>
      <c r="Y44" s="3753"/>
      <c r="Z44" s="52">
        <f t="shared" si="18"/>
        <v>111</v>
      </c>
      <c r="AA44" s="703">
        <f t="shared" si="15"/>
        <v>1</v>
      </c>
      <c r="AB44" s="703">
        <f t="shared" si="16"/>
        <v>1</v>
      </c>
      <c r="AC44" s="703">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751"/>
      <c r="Q45" s="1350">
        <f t="shared" si="11"/>
        <v>111</v>
      </c>
      <c r="R45" s="704" t="s">
        <v>18</v>
      </c>
      <c r="S45" s="705">
        <f t="shared" si="12"/>
        <v>100</v>
      </c>
      <c r="T45" s="704" t="s">
        <v>18</v>
      </c>
      <c r="U45" s="705">
        <f t="shared" si="13"/>
        <v>100</v>
      </c>
      <c r="V45" s="704" t="s">
        <v>18</v>
      </c>
      <c r="W45" s="705">
        <f t="shared" si="14"/>
        <v>100</v>
      </c>
      <c r="X45" s="1353"/>
      <c r="Y45" s="3753"/>
      <c r="Z45" s="1354">
        <f t="shared" si="18"/>
        <v>111</v>
      </c>
      <c r="AA45" s="1351">
        <f t="shared" si="15"/>
        <v>1</v>
      </c>
      <c r="AB45" s="1351">
        <f t="shared" si="16"/>
        <v>1</v>
      </c>
      <c r="AC45" s="1351">
        <f t="shared" si="17"/>
        <v>1</v>
      </c>
    </row>
    <row r="46" spans="1:29" ht="15.6"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752"/>
      <c r="Q46" s="1350">
        <f t="shared" si="11"/>
        <v>111</v>
      </c>
      <c r="R46" s="704" t="s">
        <v>17</v>
      </c>
      <c r="S46" s="705">
        <f t="shared" si="12"/>
        <v>100</v>
      </c>
      <c r="T46" s="704" t="s">
        <v>17</v>
      </c>
      <c r="U46" s="705">
        <f t="shared" si="13"/>
        <v>100</v>
      </c>
      <c r="V46" s="704" t="s">
        <v>17</v>
      </c>
      <c r="W46" s="705">
        <f t="shared" si="14"/>
        <v>100</v>
      </c>
      <c r="X46" s="1353"/>
      <c r="Y46" s="3754"/>
      <c r="Z46" s="1354">
        <f t="shared" si="18"/>
        <v>111</v>
      </c>
      <c r="AA46" s="1351">
        <f t="shared" si="15"/>
        <v>1</v>
      </c>
      <c r="AB46" s="1351">
        <f t="shared" si="16"/>
        <v>1</v>
      </c>
      <c r="AC46" s="1351">
        <f t="shared" si="17"/>
        <v>1</v>
      </c>
    </row>
    <row r="47" spans="1:29" ht="14.4">
      <c r="A47" s="429" t="s">
        <v>1708</v>
      </c>
      <c r="B47" s="430"/>
      <c r="C47" s="1152" t="s">
        <v>16</v>
      </c>
      <c r="D47" s="1153"/>
      <c r="E47" s="1154"/>
      <c r="F47" s="1155"/>
      <c r="G47" s="1156"/>
      <c r="H47" s="1157"/>
      <c r="I47" s="1154"/>
      <c r="J47" s="1157"/>
      <c r="K47" s="1912"/>
      <c r="L47" s="2721"/>
      <c r="M47" s="2722"/>
      <c r="N47" s="2713"/>
      <c r="O47" s="2722"/>
      <c r="P47" s="3746" t="str">
        <f>A47</f>
        <v>成交单价（元/平方米）</v>
      </c>
      <c r="Q47" s="3746"/>
      <c r="R47" s="3747">
        <f>E47</f>
        <v>0</v>
      </c>
      <c r="S47" s="3747"/>
      <c r="T47" s="3747">
        <f>G47</f>
        <v>0</v>
      </c>
      <c r="U47" s="3747"/>
      <c r="V47" s="3747">
        <f>I47</f>
        <v>0</v>
      </c>
      <c r="W47" s="3747"/>
      <c r="X47" s="689"/>
      <c r="Y47" s="711"/>
      <c r="Z47" s="689"/>
      <c r="AA47" s="689"/>
      <c r="AB47" s="689"/>
      <c r="AC47" s="689"/>
    </row>
    <row r="48" spans="1:29" ht="15" thickBot="1">
      <c r="A48" s="436" t="s">
        <v>1709</v>
      </c>
      <c r="B48" s="437"/>
      <c r="C48" s="1158" t="e">
        <f>R49</f>
        <v>#DIV/0!</v>
      </c>
      <c r="D48" s="2314" t="s">
        <v>2135</v>
      </c>
      <c r="E48" s="1159" t="e">
        <f>R48</f>
        <v>#DIV/0!</v>
      </c>
      <c r="F48" s="2315"/>
      <c r="G48" s="1158" t="e">
        <f>T48</f>
        <v>#DIV/0!</v>
      </c>
      <c r="H48" s="2315"/>
      <c r="I48" s="1159" t="e">
        <f>V48</f>
        <v>#DIV/0!</v>
      </c>
      <c r="J48" s="2315"/>
      <c r="K48" s="2316">
        <f>F48+H48+J48</f>
        <v>0</v>
      </c>
      <c r="L48" s="2721"/>
      <c r="M48" s="2722"/>
      <c r="N48" s="2722"/>
      <c r="O48" s="2722"/>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 thickBot="1">
      <c r="A49" s="440" t="s">
        <v>1710</v>
      </c>
      <c r="B49" s="441"/>
      <c r="C49" s="1160" t="e">
        <f>R49</f>
        <v>#DIV/0!</v>
      </c>
      <c r="D49" s="1161"/>
      <c r="E49" s="1161"/>
      <c r="F49" s="1161"/>
      <c r="G49" s="1161"/>
      <c r="H49" s="1161"/>
      <c r="I49" s="1161"/>
      <c r="J49" s="1161"/>
      <c r="K49" s="1913"/>
      <c r="L49" s="2721"/>
      <c r="M49" s="2722"/>
      <c r="N49" s="2722"/>
      <c r="O49" s="2722"/>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3" t="s">
        <v>1714</v>
      </c>
      <c r="B57" s="689"/>
      <c r="C57" s="694"/>
      <c r="D57" s="694"/>
      <c r="E57" s="694"/>
      <c r="F57" s="695"/>
      <c r="G57" s="695"/>
      <c r="H57" s="694"/>
      <c r="I57" s="694"/>
      <c r="J57" s="694"/>
      <c r="K57" s="939"/>
      <c r="L57" s="940"/>
      <c r="M57" s="938"/>
      <c r="N57" s="938"/>
      <c r="O57" s="938"/>
      <c r="P57" s="1916"/>
      <c r="Q57" s="452"/>
    </row>
    <row r="58" spans="1:29" s="456" customFormat="1" ht="14.4">
      <c r="A58" s="453" t="s">
        <v>1715</v>
      </c>
      <c r="B58" s="454"/>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8" customFormat="1">
      <c r="A59" s="457"/>
      <c r="B59" s="1917"/>
      <c r="C59" s="1181">
        <v>100</v>
      </c>
      <c r="D59" s="459"/>
      <c r="E59" s="460"/>
      <c r="F59" s="460"/>
      <c r="G59" s="460"/>
      <c r="H59" s="460"/>
      <c r="I59" s="460"/>
      <c r="J59" s="460"/>
      <c r="K59" s="460"/>
      <c r="L59" s="460"/>
      <c r="M59" s="461"/>
      <c r="N59" s="460"/>
      <c r="O59" s="461"/>
      <c r="P59" s="1918"/>
    </row>
    <row r="60" spans="1:29" s="108" customFormat="1" ht="15" thickBot="1">
      <c r="A60" s="463" t="s">
        <v>1716</v>
      </c>
      <c r="B60" s="464"/>
      <c r="C60" s="465"/>
      <c r="D60" s="466"/>
      <c r="E60" s="466"/>
      <c r="F60" s="466"/>
      <c r="G60" s="466"/>
      <c r="H60" s="466"/>
      <c r="I60" s="466"/>
      <c r="J60" s="466"/>
      <c r="K60" s="466"/>
      <c r="L60" s="466"/>
      <c r="M60" s="467"/>
      <c r="N60" s="466"/>
      <c r="O60" s="467"/>
      <c r="P60" s="1918"/>
      <c r="Q60" s="452"/>
    </row>
    <row r="61" spans="1:29" s="108" customFormat="1" ht="14.4">
      <c r="A61" s="469" t="s">
        <v>1717</v>
      </c>
      <c r="B61" s="458"/>
      <c r="C61" s="470" t="s">
        <v>1718</v>
      </c>
      <c r="D61" s="471"/>
      <c r="E61" s="471"/>
      <c r="F61" s="471"/>
      <c r="G61" s="471"/>
      <c r="H61" s="471"/>
      <c r="I61" s="471"/>
      <c r="J61" s="471"/>
      <c r="K61" s="471"/>
      <c r="L61" s="472"/>
      <c r="M61" s="473"/>
      <c r="N61" s="930"/>
      <c r="O61" s="930"/>
      <c r="P61" s="1919"/>
      <c r="Q61" s="452"/>
    </row>
    <row r="62" spans="1:29" s="108" customFormat="1" ht="14.4" thickBot="1">
      <c r="A62" s="469"/>
      <c r="B62" s="458"/>
      <c r="C62" s="459">
        <v>100</v>
      </c>
      <c r="D62" s="460"/>
      <c r="E62" s="460"/>
      <c r="F62" s="460"/>
      <c r="G62" s="460"/>
      <c r="H62" s="460"/>
      <c r="I62" s="460"/>
      <c r="J62" s="460"/>
      <c r="K62" s="460"/>
      <c r="L62" s="460"/>
      <c r="M62" s="462"/>
      <c r="N62" s="930"/>
      <c r="O62" s="930"/>
      <c r="P62" s="1918"/>
      <c r="Q62" s="452"/>
    </row>
    <row r="63" spans="1:29" ht="14.4">
      <c r="A63" s="475" t="s">
        <v>1719</v>
      </c>
      <c r="B63" s="476" t="s">
        <v>1685</v>
      </c>
      <c r="C63" s="477">
        <f>C9</f>
        <v>0</v>
      </c>
      <c r="D63" s="478"/>
      <c r="E63" s="478"/>
      <c r="F63" s="478"/>
      <c r="G63" s="478"/>
      <c r="H63" s="478"/>
      <c r="I63" s="478"/>
      <c r="J63" s="478"/>
      <c r="K63" s="479"/>
      <c r="L63" s="480"/>
      <c r="M63" s="481"/>
      <c r="N63" s="931"/>
      <c r="O63" s="931"/>
      <c r="P63" s="1920"/>
      <c r="Q63" s="452"/>
    </row>
    <row r="64" spans="1:29" ht="14.4" thickBot="1">
      <c r="A64" s="482"/>
      <c r="B64" s="483"/>
      <c r="C64" s="484">
        <v>100</v>
      </c>
      <c r="D64" s="484"/>
      <c r="E64" s="484"/>
      <c r="F64" s="484"/>
      <c r="G64" s="484"/>
      <c r="H64" s="484"/>
      <c r="I64" s="484"/>
      <c r="J64" s="484"/>
      <c r="K64" s="484"/>
      <c r="L64" s="484"/>
      <c r="M64" s="485"/>
      <c r="N64" s="932"/>
      <c r="O64" s="932"/>
      <c r="P64" s="1920"/>
      <c r="Q64" s="452"/>
    </row>
    <row r="65" spans="1:17" ht="29.4" thickTop="1">
      <c r="A65" s="482"/>
      <c r="B65" s="486" t="s">
        <v>1688</v>
      </c>
      <c r="C65" s="531"/>
      <c r="D65" s="531"/>
      <c r="E65" s="531"/>
      <c r="F65" s="531"/>
      <c r="G65" s="531"/>
      <c r="H65" s="531"/>
      <c r="I65" s="531"/>
      <c r="J65" s="531"/>
      <c r="K65" s="531"/>
      <c r="L65" s="531"/>
      <c r="M65" s="531"/>
      <c r="N65" s="932"/>
      <c r="O65" s="932"/>
      <c r="P65" s="1920"/>
      <c r="Q65" s="452"/>
    </row>
    <row r="66" spans="1:17" ht="14.4" thickBot="1">
      <c r="A66" s="482"/>
      <c r="B66" s="491"/>
      <c r="C66" s="484"/>
      <c r="D66" s="484"/>
      <c r="E66" s="484"/>
      <c r="F66" s="484"/>
      <c r="G66" s="484"/>
      <c r="H66" s="484"/>
      <c r="I66" s="484"/>
      <c r="J66" s="484"/>
      <c r="K66" s="484"/>
      <c r="L66" s="484"/>
      <c r="M66" s="485"/>
      <c r="N66" s="932"/>
      <c r="O66" s="932"/>
      <c r="P66" s="1920"/>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c r="A68" s="482"/>
      <c r="B68" s="496"/>
      <c r="C68" s="497"/>
      <c r="D68" s="497"/>
      <c r="E68" s="497"/>
      <c r="F68" s="497"/>
      <c r="G68" s="497"/>
      <c r="H68" s="497"/>
      <c r="I68" s="497"/>
      <c r="J68" s="497"/>
      <c r="K68" s="498"/>
      <c r="L68" s="499"/>
      <c r="M68" s="500"/>
      <c r="N68" s="931"/>
      <c r="O68" s="931"/>
      <c r="P68" s="1920"/>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4.4" thickTop="1">
      <c r="A70" s="501"/>
      <c r="B70" s="486">
        <f>B12</f>
        <v>111</v>
      </c>
      <c r="C70" s="502"/>
      <c r="D70" s="502"/>
      <c r="E70" s="502"/>
      <c r="F70" s="502"/>
      <c r="G70" s="502"/>
      <c r="H70" s="503"/>
      <c r="I70" s="503"/>
      <c r="J70" s="503"/>
      <c r="K70" s="503"/>
      <c r="L70" s="504"/>
      <c r="M70" s="505"/>
      <c r="N70" s="933"/>
      <c r="O70" s="933"/>
      <c r="P70" s="1921"/>
      <c r="Q70" s="507"/>
    </row>
    <row r="71" spans="1:17" s="421" customFormat="1" ht="14.4" thickBot="1">
      <c r="A71" s="501"/>
      <c r="B71" s="491"/>
      <c r="C71" s="508"/>
      <c r="D71" s="484"/>
      <c r="E71" s="484"/>
      <c r="F71" s="484"/>
      <c r="G71" s="484"/>
      <c r="H71" s="484"/>
      <c r="I71" s="484"/>
      <c r="J71" s="484"/>
      <c r="K71" s="484"/>
      <c r="L71" s="484"/>
      <c r="M71" s="485"/>
      <c r="N71" s="932"/>
      <c r="O71" s="932"/>
      <c r="P71" s="1921"/>
      <c r="Q71" s="507"/>
    </row>
    <row r="72" spans="1:17" s="421" customFormat="1" ht="14.4" thickTop="1">
      <c r="A72" s="501"/>
      <c r="B72" s="486">
        <f>B13</f>
        <v>111</v>
      </c>
      <c r="C72" s="502"/>
      <c r="D72" s="502"/>
      <c r="E72" s="502"/>
      <c r="F72" s="502"/>
      <c r="G72" s="502"/>
      <c r="H72" s="503"/>
      <c r="I72" s="503"/>
      <c r="J72" s="503"/>
      <c r="K72" s="503"/>
      <c r="L72" s="504"/>
      <c r="M72" s="505"/>
      <c r="N72" s="933"/>
      <c r="O72" s="933"/>
      <c r="P72" s="1922"/>
      <c r="Q72" s="509"/>
    </row>
    <row r="73" spans="1:17" s="421" customFormat="1" ht="14.4" thickBot="1">
      <c r="A73" s="501"/>
      <c r="B73" s="491"/>
      <c r="C73" s="508"/>
      <c r="D73" s="508"/>
      <c r="E73" s="508"/>
      <c r="F73" s="508"/>
      <c r="G73" s="508"/>
      <c r="H73" s="510"/>
      <c r="I73" s="510"/>
      <c r="J73" s="510"/>
      <c r="K73" s="510"/>
      <c r="L73" s="510"/>
      <c r="M73" s="511"/>
      <c r="N73" s="933"/>
      <c r="O73" s="933"/>
      <c r="P73" s="1921"/>
      <c r="Q73" s="507"/>
    </row>
    <row r="74" spans="1:17" s="421" customFormat="1" ht="14.4" thickTop="1">
      <c r="A74" s="501"/>
      <c r="B74" s="494">
        <f>B14</f>
        <v>111</v>
      </c>
      <c r="C74" s="502"/>
      <c r="D74" s="502"/>
      <c r="E74" s="502"/>
      <c r="F74" s="502"/>
      <c r="G74" s="471"/>
      <c r="H74" s="512"/>
      <c r="I74" s="512"/>
      <c r="J74" s="512"/>
      <c r="K74" s="512"/>
      <c r="L74" s="513"/>
      <c r="M74" s="514"/>
      <c r="N74" s="933"/>
      <c r="O74" s="933"/>
      <c r="P74" s="1923"/>
      <c r="Q74" s="507"/>
    </row>
    <row r="75" spans="1:17" s="421" customFormat="1" ht="14.4" thickBot="1">
      <c r="A75" s="516"/>
      <c r="B75" s="517"/>
      <c r="C75" s="518"/>
      <c r="D75" s="518"/>
      <c r="E75" s="518"/>
      <c r="F75" s="518"/>
      <c r="G75" s="518"/>
      <c r="H75" s="519"/>
      <c r="I75" s="519"/>
      <c r="J75" s="519"/>
      <c r="K75" s="519"/>
      <c r="L75" s="519"/>
      <c r="M75" s="520"/>
      <c r="N75" s="933"/>
      <c r="O75" s="933"/>
      <c r="P75" s="1921"/>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 thickTop="1">
      <c r="A86" s="527"/>
      <c r="B86" s="486" t="s">
        <v>1734</v>
      </c>
      <c r="C86" s="502"/>
      <c r="D86" s="502"/>
      <c r="E86" s="502"/>
      <c r="F86" s="502"/>
      <c r="G86" s="502"/>
      <c r="H86" s="502"/>
      <c r="I86" s="502"/>
      <c r="J86" s="502"/>
      <c r="K86" s="502"/>
      <c r="L86" s="528"/>
      <c r="M86" s="529"/>
      <c r="N86" s="930"/>
      <c r="O86" s="930"/>
      <c r="P86" s="1920"/>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 thickTop="1">
      <c r="A88" s="527"/>
      <c r="B88" s="486" t="s">
        <v>1735</v>
      </c>
      <c r="C88" s="502"/>
      <c r="D88" s="502"/>
      <c r="E88" s="502"/>
      <c r="F88" s="1925"/>
      <c r="G88" s="502"/>
      <c r="H88" s="502"/>
      <c r="I88" s="502"/>
      <c r="J88" s="502"/>
      <c r="K88" s="502"/>
      <c r="L88" s="502"/>
      <c r="M88" s="529"/>
      <c r="N88" s="930"/>
      <c r="O88" s="930"/>
      <c r="P88" s="1920"/>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4.4" thickTop="1">
      <c r="A90" s="501"/>
      <c r="B90" s="486">
        <f>B27</f>
        <v>111</v>
      </c>
      <c r="C90" s="502"/>
      <c r="D90" s="502"/>
      <c r="E90" s="502"/>
      <c r="F90" s="502"/>
      <c r="G90" s="502"/>
      <c r="H90" s="503"/>
      <c r="I90" s="503"/>
      <c r="J90" s="503"/>
      <c r="K90" s="503"/>
      <c r="L90" s="504"/>
      <c r="M90" s="505"/>
      <c r="N90" s="933"/>
      <c r="O90" s="933"/>
      <c r="P90" s="1921"/>
      <c r="Q90" s="507"/>
    </row>
    <row r="91" spans="1:17" s="421" customFormat="1" ht="14.4" thickBot="1">
      <c r="A91" s="501"/>
      <c r="B91" s="491"/>
      <c r="C91" s="508"/>
      <c r="D91" s="508"/>
      <c r="E91" s="508"/>
      <c r="F91" s="508"/>
      <c r="G91" s="508"/>
      <c r="H91" s="510"/>
      <c r="I91" s="510"/>
      <c r="J91" s="510"/>
      <c r="K91" s="510"/>
      <c r="L91" s="510"/>
      <c r="M91" s="511"/>
      <c r="N91" s="933"/>
      <c r="O91" s="933"/>
      <c r="P91" s="1921"/>
      <c r="Q91" s="507"/>
    </row>
    <row r="92" spans="1:17" ht="14.4" thickTop="1">
      <c r="A92" s="482"/>
      <c r="B92" s="486">
        <f>B28</f>
        <v>111</v>
      </c>
      <c r="C92" s="502"/>
      <c r="D92" s="502"/>
      <c r="E92" s="502"/>
      <c r="F92" s="502"/>
      <c r="G92" s="531"/>
      <c r="H92" s="531"/>
      <c r="I92" s="531"/>
      <c r="J92" s="531"/>
      <c r="K92" s="532"/>
      <c r="L92" s="533"/>
      <c r="M92" s="534"/>
      <c r="N92" s="931"/>
      <c r="O92" s="931"/>
      <c r="P92" s="1920"/>
      <c r="Q92" s="452"/>
    </row>
    <row r="93" spans="1:17" ht="14.4" thickBot="1">
      <c r="A93" s="482"/>
      <c r="B93" s="491"/>
      <c r="C93" s="508"/>
      <c r="D93" s="484"/>
      <c r="E93" s="484"/>
      <c r="F93" s="484"/>
      <c r="G93" s="484"/>
      <c r="H93" s="484"/>
      <c r="I93" s="484"/>
      <c r="J93" s="484"/>
      <c r="K93" s="484"/>
      <c r="L93" s="484"/>
      <c r="M93" s="485"/>
      <c r="N93" s="932"/>
      <c r="O93" s="932"/>
      <c r="P93" s="1920"/>
      <c r="Q93" s="452"/>
    </row>
    <row r="94" spans="1:17" ht="14.4" thickTop="1">
      <c r="A94" s="482"/>
      <c r="B94" s="486">
        <f>B29</f>
        <v>111</v>
      </c>
      <c r="C94" s="502"/>
      <c r="D94" s="502"/>
      <c r="E94" s="502"/>
      <c r="F94" s="502"/>
      <c r="G94" s="531"/>
      <c r="H94" s="531"/>
      <c r="I94" s="531"/>
      <c r="J94" s="531"/>
      <c r="K94" s="532"/>
      <c r="L94" s="533"/>
      <c r="M94" s="534"/>
      <c r="N94" s="931"/>
      <c r="O94" s="931"/>
      <c r="P94" s="1920"/>
      <c r="Q94" s="452"/>
    </row>
    <row r="95" spans="1:17" ht="14.4" thickBot="1">
      <c r="A95" s="482"/>
      <c r="B95" s="491"/>
      <c r="C95" s="508"/>
      <c r="D95" s="508"/>
      <c r="E95" s="508"/>
      <c r="F95" s="508"/>
      <c r="G95" s="484"/>
      <c r="H95" s="484"/>
      <c r="I95" s="484"/>
      <c r="J95" s="484"/>
      <c r="K95" s="484"/>
      <c r="L95" s="484"/>
      <c r="M95" s="485"/>
      <c r="N95" s="932"/>
      <c r="O95" s="932"/>
      <c r="P95" s="1920"/>
      <c r="Q95" s="452"/>
    </row>
    <row r="96" spans="1:17" ht="14.4" thickTop="1">
      <c r="A96" s="482"/>
      <c r="B96" s="486">
        <f>B30</f>
        <v>111</v>
      </c>
      <c r="C96" s="502"/>
      <c r="D96" s="502"/>
      <c r="E96" s="502"/>
      <c r="F96" s="502"/>
      <c r="G96" s="531"/>
      <c r="H96" s="531"/>
      <c r="I96" s="531"/>
      <c r="J96" s="531"/>
      <c r="K96" s="532"/>
      <c r="L96" s="533"/>
      <c r="M96" s="534"/>
      <c r="N96" s="931"/>
      <c r="O96" s="931"/>
      <c r="P96" s="1920"/>
      <c r="Q96" s="452"/>
    </row>
    <row r="97" spans="1:17" ht="14.4" thickBot="1">
      <c r="A97" s="482"/>
      <c r="B97" s="491"/>
      <c r="C97" s="518"/>
      <c r="D97" s="518"/>
      <c r="E97" s="518"/>
      <c r="F97" s="518"/>
      <c r="G97" s="484"/>
      <c r="H97" s="484"/>
      <c r="I97" s="484"/>
      <c r="J97" s="484"/>
      <c r="K97" s="484"/>
      <c r="L97" s="484"/>
      <c r="M97" s="485"/>
      <c r="N97" s="932"/>
      <c r="O97" s="932"/>
      <c r="P97" s="1920"/>
      <c r="Q97" s="452"/>
    </row>
    <row r="98" spans="1:17" ht="14.4" thickTop="1">
      <c r="A98" s="482"/>
      <c r="B98" s="494">
        <f>B31</f>
        <v>111</v>
      </c>
      <c r="C98" s="535"/>
      <c r="D98" s="535"/>
      <c r="E98" s="535"/>
      <c r="F98" s="535"/>
      <c r="G98" s="535"/>
      <c r="H98" s="535"/>
      <c r="I98" s="535"/>
      <c r="J98" s="535"/>
      <c r="K98" s="536"/>
      <c r="L98" s="537"/>
      <c r="M98" s="538"/>
      <c r="N98" s="931"/>
      <c r="O98" s="931"/>
      <c r="P98" s="1920"/>
      <c r="Q98" s="452"/>
    </row>
    <row r="99" spans="1:17" ht="14.4" thickBot="1">
      <c r="A99" s="1926"/>
      <c r="B99" s="517"/>
      <c r="C99" s="539"/>
      <c r="D99" s="539"/>
      <c r="E99" s="539"/>
      <c r="F99" s="539"/>
      <c r="G99" s="539"/>
      <c r="H99" s="539"/>
      <c r="I99" s="539"/>
      <c r="J99" s="539"/>
      <c r="K99" s="539"/>
      <c r="L99" s="539"/>
      <c r="M99" s="540"/>
      <c r="N99" s="932"/>
      <c r="O99" s="932"/>
      <c r="P99" s="1920"/>
      <c r="Q99" s="452"/>
    </row>
    <row r="100" spans="1:17" ht="14.4">
      <c r="A100" s="475" t="s">
        <v>1694</v>
      </c>
      <c r="B100" s="476" t="s">
        <v>1736</v>
      </c>
      <c r="C100" s="478"/>
      <c r="D100" s="478"/>
      <c r="E100" s="478"/>
      <c r="F100" s="478"/>
      <c r="G100" s="478"/>
      <c r="H100" s="478"/>
      <c r="I100" s="478"/>
      <c r="J100" s="478"/>
      <c r="K100" s="479"/>
      <c r="L100" s="480"/>
      <c r="M100" s="481"/>
      <c r="N100" s="931"/>
      <c r="O100" s="931"/>
      <c r="P100" s="1920"/>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4.4"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9.4"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4.4"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4.4"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4.4" thickBot="1">
      <c r="A127" s="501"/>
      <c r="B127" s="491"/>
      <c r="C127" s="508"/>
      <c r="D127" s="484"/>
      <c r="E127" s="484"/>
      <c r="F127" s="484"/>
      <c r="G127" s="508"/>
      <c r="H127" s="510"/>
      <c r="I127" s="510"/>
      <c r="J127" s="510"/>
      <c r="K127" s="510"/>
      <c r="L127" s="510"/>
      <c r="M127" s="511"/>
      <c r="N127" s="933"/>
      <c r="O127" s="933"/>
      <c r="P127" s="1921"/>
      <c r="Q127" s="507"/>
    </row>
    <row r="128" spans="1:17" ht="14.4" thickTop="1">
      <c r="A128" s="547"/>
      <c r="B128" s="486">
        <f>B45</f>
        <v>111</v>
      </c>
      <c r="C128" s="502"/>
      <c r="D128" s="502"/>
      <c r="E128" s="502"/>
      <c r="F128" s="502"/>
      <c r="G128" s="531"/>
      <c r="H128" s="531"/>
      <c r="I128" s="531"/>
      <c r="J128" s="531"/>
      <c r="K128" s="532"/>
      <c r="L128" s="533"/>
      <c r="M128" s="534"/>
      <c r="N128" s="931"/>
      <c r="O128" s="931"/>
      <c r="P128" s="1920"/>
      <c r="Q128" s="452"/>
    </row>
    <row r="129" spans="1:17" ht="14.4" thickBot="1">
      <c r="A129" s="482"/>
      <c r="B129" s="491"/>
      <c r="C129" s="508"/>
      <c r="D129" s="508"/>
      <c r="E129" s="508"/>
      <c r="F129" s="508"/>
      <c r="G129" s="484"/>
      <c r="H129" s="484"/>
      <c r="I129" s="484"/>
      <c r="J129" s="484"/>
      <c r="K129" s="484"/>
      <c r="L129" s="484"/>
      <c r="M129" s="485"/>
      <c r="N129" s="932"/>
      <c r="O129" s="932"/>
      <c r="P129" s="1920"/>
      <c r="Q129" s="452"/>
    </row>
    <row r="130" spans="1:17" ht="14.4" thickTop="1">
      <c r="A130" s="547"/>
      <c r="B130" s="494">
        <f>B46</f>
        <v>111</v>
      </c>
      <c r="C130" s="502"/>
      <c r="D130" s="502"/>
      <c r="E130" s="502"/>
      <c r="F130" s="502"/>
      <c r="G130" s="535"/>
      <c r="H130" s="535"/>
      <c r="I130" s="535"/>
      <c r="J130" s="535"/>
      <c r="K130" s="471"/>
      <c r="L130" s="472"/>
      <c r="M130" s="538"/>
      <c r="N130" s="931"/>
      <c r="O130" s="931"/>
      <c r="P130" s="1920"/>
      <c r="Q130" s="452"/>
    </row>
    <row r="131" spans="1:17" ht="14.4"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6.2"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1766</v>
      </c>
      <c r="C1" s="1236" t="s">
        <v>1662</v>
      </c>
      <c r="D1" s="1223"/>
      <c r="E1" s="3417"/>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10.32</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4.4">
      <c r="A4" s="354" t="s">
        <v>1769</v>
      </c>
      <c r="B4" s="355"/>
      <c r="C4" s="3761" t="s">
        <v>1770</v>
      </c>
      <c r="D4" s="3762"/>
      <c r="E4" s="3763" t="s">
        <v>1771</v>
      </c>
      <c r="F4" s="3764"/>
      <c r="G4" s="3761" t="s">
        <v>1772</v>
      </c>
      <c r="H4" s="3762"/>
      <c r="I4" s="3761" t="s">
        <v>1773</v>
      </c>
      <c r="J4" s="3762"/>
      <c r="K4" s="558" t="s">
        <v>1774</v>
      </c>
      <c r="L4" s="2712"/>
      <c r="M4" s="2713"/>
      <c r="N4" s="2713"/>
      <c r="O4" s="2713"/>
      <c r="P4" s="3765" t="s">
        <v>1775</v>
      </c>
      <c r="Q4" s="3766"/>
      <c r="R4" s="3771" t="s">
        <v>1771</v>
      </c>
      <c r="S4" s="3772"/>
      <c r="T4" s="3771" t="s">
        <v>1772</v>
      </c>
      <c r="U4" s="3772"/>
      <c r="V4" s="3777" t="s">
        <v>1773</v>
      </c>
      <c r="W4" s="3777"/>
      <c r="X4" s="1353"/>
      <c r="Y4" s="3771" t="s">
        <v>1775</v>
      </c>
      <c r="Z4" s="3772"/>
      <c r="AA4" s="3758" t="s">
        <v>1771</v>
      </c>
      <c r="AB4" s="3777" t="s">
        <v>1772</v>
      </c>
      <c r="AC4" s="3758" t="s">
        <v>1773</v>
      </c>
    </row>
    <row r="5" spans="1:29">
      <c r="A5" s="357"/>
      <c r="B5" s="358"/>
      <c r="C5" s="3780" t="s">
        <v>1673</v>
      </c>
      <c r="D5" s="3781"/>
      <c r="E5" s="3787" t="s">
        <v>1674</v>
      </c>
      <c r="F5" s="3788"/>
      <c r="G5" s="3780" t="s">
        <v>1675</v>
      </c>
      <c r="H5" s="3781"/>
      <c r="I5" s="3780" t="s">
        <v>1676</v>
      </c>
      <c r="J5" s="3781"/>
      <c r="K5" s="558"/>
      <c r="L5" s="2712"/>
      <c r="M5" s="2713"/>
      <c r="N5" s="2713"/>
      <c r="O5" s="2713"/>
      <c r="P5" s="3767"/>
      <c r="Q5" s="3768"/>
      <c r="R5" s="3773"/>
      <c r="S5" s="3774"/>
      <c r="T5" s="3773"/>
      <c r="U5" s="3774"/>
      <c r="V5" s="3777"/>
      <c r="W5" s="3777"/>
      <c r="X5" s="1353"/>
      <c r="Y5" s="3773"/>
      <c r="Z5" s="3774"/>
      <c r="AA5" s="3759"/>
      <c r="AB5" s="3777"/>
      <c r="AC5" s="3759"/>
    </row>
    <row r="6" spans="1:29" ht="15" thickBot="1">
      <c r="A6" s="359"/>
      <c r="B6" s="360"/>
      <c r="C6" s="3778" t="s">
        <v>1677</v>
      </c>
      <c r="D6" s="3779"/>
      <c r="E6" s="3785" t="s">
        <v>1677</v>
      </c>
      <c r="F6" s="3786"/>
      <c r="G6" s="3778" t="s">
        <v>1677</v>
      </c>
      <c r="H6" s="3779"/>
      <c r="I6" s="3778" t="s">
        <v>1677</v>
      </c>
      <c r="J6" s="3779"/>
      <c r="K6" s="558" t="s">
        <v>1678</v>
      </c>
      <c r="L6" s="2712"/>
      <c r="M6" s="2713"/>
      <c r="N6" s="2713"/>
      <c r="O6" s="2713"/>
      <c r="P6" s="3769"/>
      <c r="Q6" s="3770"/>
      <c r="R6" s="3773"/>
      <c r="S6" s="3774"/>
      <c r="T6" s="3775"/>
      <c r="U6" s="3776"/>
      <c r="V6" s="3777"/>
      <c r="W6" s="3777"/>
      <c r="X6" s="1353"/>
      <c r="Y6" s="3775"/>
      <c r="Z6" s="3776"/>
      <c r="AA6" s="3760"/>
      <c r="AB6" s="3777"/>
      <c r="AC6" s="3760"/>
    </row>
    <row r="7" spans="1:29" s="108" customFormat="1" ht="15" thickBot="1">
      <c r="A7" s="361" t="s">
        <v>1679</v>
      </c>
      <c r="B7" s="362"/>
      <c r="C7" s="363">
        <f>'数据-取费表'!B2</f>
        <v>45882</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82" t="s">
        <v>1680</v>
      </c>
      <c r="Q7" s="3784"/>
      <c r="R7" s="700" t="s">
        <v>14</v>
      </c>
      <c r="S7" s="701">
        <f t="shared" ref="S7:S15" si="0">F7</f>
        <v>0</v>
      </c>
      <c r="T7" s="700" t="s">
        <v>14</v>
      </c>
      <c r="U7" s="701">
        <f t="shared" ref="U7:U15" si="1">H7</f>
        <v>0</v>
      </c>
      <c r="V7" s="700" t="s">
        <v>14</v>
      </c>
      <c r="W7" s="701">
        <f t="shared" ref="W7:W15" si="2">J7</f>
        <v>0</v>
      </c>
      <c r="X7" s="702"/>
      <c r="Y7" s="3782" t="s">
        <v>1680</v>
      </c>
      <c r="Z7" s="3783"/>
      <c r="AA7" s="703" t="e">
        <f>D7/F7</f>
        <v>#DIV/0!</v>
      </c>
      <c r="AB7" s="703" t="e">
        <f>D7/H7</f>
        <v>#DIV/0!</v>
      </c>
      <c r="AC7" s="703"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82" t="s">
        <v>1683</v>
      </c>
      <c r="Q8" s="3783"/>
      <c r="R8" s="700" t="s">
        <v>14</v>
      </c>
      <c r="S8" s="701">
        <f t="shared" si="0"/>
        <v>100</v>
      </c>
      <c r="T8" s="700" t="s">
        <v>14</v>
      </c>
      <c r="U8" s="701">
        <f t="shared" si="1"/>
        <v>100</v>
      </c>
      <c r="V8" s="700" t="s">
        <v>14</v>
      </c>
      <c r="W8" s="701">
        <f t="shared" si="2"/>
        <v>100</v>
      </c>
      <c r="X8" s="702"/>
      <c r="Y8" s="3782" t="s">
        <v>1683</v>
      </c>
      <c r="Z8" s="3783"/>
      <c r="AA8" s="703">
        <f t="shared" ref="AA8:AA46" si="3">D8/F8</f>
        <v>1</v>
      </c>
      <c r="AB8" s="703">
        <f t="shared" ref="AB8:AB46" si="4">D8/H8</f>
        <v>1</v>
      </c>
      <c r="AC8" s="703">
        <f t="shared" ref="AC8:AC46" si="5">D8/J8</f>
        <v>1</v>
      </c>
    </row>
    <row r="9" spans="1:29" s="108" customFormat="1" ht="14.4">
      <c r="A9" s="368" t="s">
        <v>1684</v>
      </c>
      <c r="B9" s="63" t="s">
        <v>1685</v>
      </c>
      <c r="C9" s="369"/>
      <c r="D9" s="126">
        <v>100</v>
      </c>
      <c r="E9" s="370"/>
      <c r="F9" s="371">
        <f>SUMIF(63:63,E9,64:64)-SUMIF(63:63,C9,64:64)+100</f>
        <v>100</v>
      </c>
      <c r="G9" s="370"/>
      <c r="H9" s="126">
        <f>SUMIF(63:63,G9,64:64)-SUMIF(63:63,C9,64:64)+100</f>
        <v>100</v>
      </c>
      <c r="I9" s="370"/>
      <c r="J9" s="126">
        <f>SUMIF(63:63,I9,64:64)-SUMIF(63:63,C9,64:64)+100</f>
        <v>100</v>
      </c>
      <c r="K9" s="559"/>
      <c r="L9" s="2714"/>
      <c r="M9" s="2715"/>
      <c r="N9" s="2715"/>
      <c r="O9" s="2715"/>
      <c r="P9" s="3757" t="s">
        <v>1686</v>
      </c>
      <c r="Q9" s="1341" t="str">
        <f t="shared" ref="Q9:Q15" si="6">B9</f>
        <v>用途</v>
      </c>
      <c r="R9" s="700" t="s">
        <v>14</v>
      </c>
      <c r="S9" s="701">
        <f t="shared" si="0"/>
        <v>100</v>
      </c>
      <c r="T9" s="700" t="s">
        <v>14</v>
      </c>
      <c r="U9" s="701">
        <f t="shared" si="1"/>
        <v>100</v>
      </c>
      <c r="V9" s="700" t="s">
        <v>14</v>
      </c>
      <c r="W9" s="701">
        <f t="shared" si="2"/>
        <v>100</v>
      </c>
      <c r="X9" s="702"/>
      <c r="Y9" s="3602"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6"/>
      <c r="F10" s="375">
        <f>SUMIF(65:65,E10,66:66)-SUMIF(65:65,C10,66:66)+100</f>
        <v>100</v>
      </c>
      <c r="G10" s="3425"/>
      <c r="H10" s="127">
        <f>SUMIF(65:65,G10,66:66)-SUMIF(65:65,C10,66:66)+100</f>
        <v>100</v>
      </c>
      <c r="I10" s="3425"/>
      <c r="J10" s="127">
        <f>SUMIF(65:65,I10,66:66)-SUMIF(65:65,C10,66:66)+100</f>
        <v>100</v>
      </c>
      <c r="K10" s="559"/>
      <c r="L10" s="2716"/>
      <c r="M10" s="2717"/>
      <c r="N10" s="2717"/>
      <c r="O10" s="2717"/>
      <c r="P10" s="3757"/>
      <c r="Q10" s="1341" t="str">
        <f t="shared" si="6"/>
        <v>土地使用年限（年）</v>
      </c>
      <c r="R10" s="700" t="s">
        <v>14</v>
      </c>
      <c r="S10" s="701">
        <f t="shared" si="0"/>
        <v>100</v>
      </c>
      <c r="T10" s="700" t="s">
        <v>14</v>
      </c>
      <c r="U10" s="701">
        <f t="shared" si="1"/>
        <v>100</v>
      </c>
      <c r="V10" s="700" t="s">
        <v>14</v>
      </c>
      <c r="W10" s="701">
        <f t="shared" si="2"/>
        <v>100</v>
      </c>
      <c r="X10" s="702"/>
      <c r="Y10" s="3602"/>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18"/>
      <c r="M11" s="2713"/>
      <c r="N11" s="2713"/>
      <c r="O11" s="2713"/>
      <c r="P11" s="3757"/>
      <c r="Q11" s="1341" t="str">
        <f t="shared" si="6"/>
        <v>容积率</v>
      </c>
      <c r="R11" s="700" t="s">
        <v>14</v>
      </c>
      <c r="S11" s="701" t="e">
        <f t="shared" si="0"/>
        <v>#N/A</v>
      </c>
      <c r="T11" s="700" t="s">
        <v>14</v>
      </c>
      <c r="U11" s="701" t="e">
        <f t="shared" si="1"/>
        <v>#N/A</v>
      </c>
      <c r="V11" s="700" t="s">
        <v>14</v>
      </c>
      <c r="W11" s="701" t="e">
        <f t="shared" si="2"/>
        <v>#N/A</v>
      </c>
      <c r="X11" s="702"/>
      <c r="Y11" s="3602"/>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7">
        <f>SUMIF(70:70,G12,71:71)-SUMIF(70:70,C12,71:71)+100</f>
        <v>100</v>
      </c>
      <c r="I12" s="384"/>
      <c r="J12" s="127">
        <f>SUMIF(70:70,I12,71:71)-SUMIF(70:70,C12,71:71)+100</f>
        <v>100</v>
      </c>
      <c r="K12" s="561"/>
      <c r="L12" s="2714"/>
      <c r="M12" s="2715"/>
      <c r="N12" s="2715"/>
      <c r="O12" s="2715"/>
      <c r="P12" s="3757"/>
      <c r="Q12" s="1341">
        <f t="shared" si="6"/>
        <v>111</v>
      </c>
      <c r="R12" s="700" t="s">
        <v>14</v>
      </c>
      <c r="S12" s="701">
        <f t="shared" si="0"/>
        <v>100</v>
      </c>
      <c r="T12" s="700" t="s">
        <v>14</v>
      </c>
      <c r="U12" s="701">
        <f t="shared" si="1"/>
        <v>100</v>
      </c>
      <c r="V12" s="700" t="s">
        <v>14</v>
      </c>
      <c r="W12" s="701">
        <f t="shared" si="2"/>
        <v>100</v>
      </c>
      <c r="X12" s="702"/>
      <c r="Y12" s="3602"/>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57"/>
      <c r="Q13" s="1341">
        <f t="shared" si="6"/>
        <v>111</v>
      </c>
      <c r="R13" s="700" t="s">
        <v>14</v>
      </c>
      <c r="S13" s="701">
        <f t="shared" si="0"/>
        <v>100</v>
      </c>
      <c r="T13" s="700" t="s">
        <v>14</v>
      </c>
      <c r="U13" s="701">
        <f t="shared" si="1"/>
        <v>100</v>
      </c>
      <c r="V13" s="700" t="s">
        <v>14</v>
      </c>
      <c r="W13" s="701">
        <f t="shared" si="2"/>
        <v>100</v>
      </c>
      <c r="X13" s="702"/>
      <c r="Y13" s="3602"/>
      <c r="Z13" s="52">
        <f t="shared" si="7"/>
        <v>111</v>
      </c>
      <c r="AA13" s="703">
        <f t="shared" si="3"/>
        <v>1</v>
      </c>
      <c r="AB13" s="703">
        <f t="shared" si="4"/>
        <v>1</v>
      </c>
      <c r="AC13" s="703">
        <f t="shared" si="5"/>
        <v>1</v>
      </c>
    </row>
    <row r="14" spans="1:29" ht="15.6"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57"/>
      <c r="Q14" s="1341">
        <f t="shared" si="6"/>
        <v>111</v>
      </c>
      <c r="R14" s="700" t="s">
        <v>14</v>
      </c>
      <c r="S14" s="701">
        <f t="shared" si="0"/>
        <v>100</v>
      </c>
      <c r="T14" s="700" t="s">
        <v>14</v>
      </c>
      <c r="U14" s="701">
        <f t="shared" si="1"/>
        <v>100</v>
      </c>
      <c r="V14" s="700" t="s">
        <v>14</v>
      </c>
      <c r="W14" s="701">
        <f t="shared" si="2"/>
        <v>100</v>
      </c>
      <c r="X14" s="702"/>
      <c r="Y14" s="3602"/>
      <c r="Z14" s="52">
        <f t="shared" si="7"/>
        <v>111</v>
      </c>
      <c r="AA14" s="703">
        <f t="shared" si="3"/>
        <v>1</v>
      </c>
      <c r="AB14" s="703">
        <f t="shared" si="4"/>
        <v>1</v>
      </c>
      <c r="AC14" s="703">
        <f t="shared" si="5"/>
        <v>1</v>
      </c>
    </row>
    <row r="15" spans="1:29" ht="69">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55" t="s">
        <v>1691</v>
      </c>
      <c r="Q15" s="1350" t="str">
        <f t="shared" si="6"/>
        <v>商业繁华度</v>
      </c>
      <c r="R15" s="704" t="s">
        <v>14</v>
      </c>
      <c r="S15" s="705">
        <f t="shared" si="0"/>
        <v>100</v>
      </c>
      <c r="T15" s="704" t="s">
        <v>14</v>
      </c>
      <c r="U15" s="705">
        <f t="shared" si="1"/>
        <v>100</v>
      </c>
      <c r="V15" s="704" t="s">
        <v>14</v>
      </c>
      <c r="W15" s="705">
        <f t="shared" si="2"/>
        <v>100</v>
      </c>
      <c r="X15" s="1353"/>
      <c r="Y15" s="3748"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9"/>
      <c r="M16" s="2713"/>
      <c r="N16" s="2713"/>
      <c r="O16" s="2713"/>
      <c r="P16" s="3756"/>
      <c r="Q16" s="1350"/>
      <c r="R16" s="704"/>
      <c r="S16" s="705"/>
      <c r="T16" s="704"/>
      <c r="U16" s="705"/>
      <c r="V16" s="704"/>
      <c r="W16" s="705"/>
      <c r="X16" s="1353"/>
      <c r="Y16" s="3749"/>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56"/>
      <c r="Q17" s="1350" t="str">
        <f>B17</f>
        <v>交通便捷度</v>
      </c>
      <c r="R17" s="704" t="s">
        <v>14</v>
      </c>
      <c r="S17" s="705">
        <f>F17</f>
        <v>100</v>
      </c>
      <c r="T17" s="704" t="s">
        <v>14</v>
      </c>
      <c r="U17" s="705">
        <f>H17</f>
        <v>100</v>
      </c>
      <c r="V17" s="704" t="s">
        <v>14</v>
      </c>
      <c r="W17" s="705">
        <f>J17</f>
        <v>100</v>
      </c>
      <c r="X17" s="1353"/>
      <c r="Y17" s="3749"/>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9"/>
      <c r="M18" s="2713"/>
      <c r="N18" s="2713"/>
      <c r="O18" s="2713"/>
      <c r="P18" s="3756"/>
      <c r="Q18" s="1350"/>
      <c r="R18" s="704"/>
      <c r="S18" s="705"/>
      <c r="T18" s="704"/>
      <c r="U18" s="705"/>
      <c r="V18" s="704"/>
      <c r="W18" s="705"/>
      <c r="X18" s="1353"/>
      <c r="Y18" s="3749"/>
      <c r="Z18" s="1354"/>
      <c r="AA18" s="1351">
        <v>1</v>
      </c>
      <c r="AB18" s="1351">
        <v>1</v>
      </c>
      <c r="AC18" s="1351">
        <v>1</v>
      </c>
    </row>
    <row r="19" spans="1:29" ht="41.4">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56"/>
      <c r="Q19" s="1350" t="str">
        <f>B19</f>
        <v>公共配套设施</v>
      </c>
      <c r="R19" s="704" t="s">
        <v>14</v>
      </c>
      <c r="S19" s="705">
        <f>F19</f>
        <v>100</v>
      </c>
      <c r="T19" s="704" t="s">
        <v>14</v>
      </c>
      <c r="U19" s="705">
        <f>H19</f>
        <v>100</v>
      </c>
      <c r="V19" s="704" t="s">
        <v>14</v>
      </c>
      <c r="W19" s="705">
        <f>J19</f>
        <v>100</v>
      </c>
      <c r="X19" s="1353"/>
      <c r="Y19" s="3749"/>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9"/>
      <c r="M20" s="2713"/>
      <c r="N20" s="2713"/>
      <c r="O20" s="2713"/>
      <c r="P20" s="3756"/>
      <c r="Q20" s="1350"/>
      <c r="R20" s="704"/>
      <c r="S20" s="705"/>
      <c r="T20" s="704"/>
      <c r="U20" s="705"/>
      <c r="V20" s="704"/>
      <c r="W20" s="705"/>
      <c r="X20" s="1353"/>
      <c r="Y20" s="3749"/>
      <c r="Z20" s="1354"/>
      <c r="AA20" s="1351">
        <v>1</v>
      </c>
      <c r="AB20" s="1351">
        <v>1</v>
      </c>
      <c r="AC20" s="1351">
        <v>1</v>
      </c>
    </row>
    <row r="21" spans="1:29" ht="27.6">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56"/>
      <c r="Q21" s="1350" t="str">
        <f>B21</f>
        <v>基础设施水平</v>
      </c>
      <c r="R21" s="704" t="s">
        <v>14</v>
      </c>
      <c r="S21" s="705">
        <f>F21</f>
        <v>100</v>
      </c>
      <c r="T21" s="704" t="s">
        <v>14</v>
      </c>
      <c r="U21" s="705">
        <f>H21</f>
        <v>100</v>
      </c>
      <c r="V21" s="704" t="s">
        <v>14</v>
      </c>
      <c r="W21" s="705">
        <f>J21</f>
        <v>100</v>
      </c>
      <c r="X21" s="1353"/>
      <c r="Y21" s="374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19"/>
      <c r="M22" s="2713"/>
      <c r="N22" s="2713"/>
      <c r="O22" s="2713"/>
      <c r="P22" s="3756"/>
      <c r="Q22" s="1350"/>
      <c r="R22" s="704"/>
      <c r="S22" s="705"/>
      <c r="T22" s="704"/>
      <c r="U22" s="705"/>
      <c r="V22" s="704"/>
      <c r="W22" s="705"/>
      <c r="X22" s="1353"/>
      <c r="Y22" s="3749"/>
      <c r="Z22" s="1354"/>
      <c r="AA22" s="1351">
        <v>1</v>
      </c>
      <c r="AB22" s="1351">
        <v>1</v>
      </c>
      <c r="AC22" s="1351">
        <v>1</v>
      </c>
    </row>
    <row r="23" spans="1:29" ht="55.2">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56"/>
      <c r="Q23" s="1350" t="str">
        <f>B23</f>
        <v>自然及人文环境</v>
      </c>
      <c r="R23" s="704" t="s">
        <v>14</v>
      </c>
      <c r="S23" s="705">
        <f>F23</f>
        <v>100</v>
      </c>
      <c r="T23" s="704" t="s">
        <v>14</v>
      </c>
      <c r="U23" s="705">
        <f>H23</f>
        <v>100</v>
      </c>
      <c r="V23" s="704" t="s">
        <v>14</v>
      </c>
      <c r="W23" s="705">
        <f>J23</f>
        <v>100</v>
      </c>
      <c r="X23" s="1353"/>
      <c r="Y23" s="3749"/>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9"/>
      <c r="M24" s="2713"/>
      <c r="N24" s="2713"/>
      <c r="O24" s="2713"/>
      <c r="P24" s="3756"/>
      <c r="Q24" s="1350"/>
      <c r="R24" s="704"/>
      <c r="S24" s="705"/>
      <c r="T24" s="704"/>
      <c r="U24" s="705"/>
      <c r="V24" s="704"/>
      <c r="W24" s="705"/>
      <c r="X24" s="1353"/>
      <c r="Y24" s="3749"/>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56"/>
      <c r="Q25" s="1350" t="str">
        <f t="shared" ref="Q25:Q46" si="11">B25</f>
        <v>临街状况</v>
      </c>
      <c r="R25" s="704" t="s">
        <v>14</v>
      </c>
      <c r="S25" s="705">
        <f>F25</f>
        <v>100</v>
      </c>
      <c r="T25" s="704" t="s">
        <v>14</v>
      </c>
      <c r="U25" s="705">
        <f>H25</f>
        <v>100</v>
      </c>
      <c r="V25" s="704" t="s">
        <v>14</v>
      </c>
      <c r="W25" s="705">
        <f>J25</f>
        <v>100</v>
      </c>
      <c r="X25" s="1353"/>
      <c r="Y25" s="3749"/>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56"/>
      <c r="Q26" s="1350" t="str">
        <f t="shared" si="11"/>
        <v>平面位置/可视性</v>
      </c>
      <c r="R26" s="704" t="s">
        <v>14</v>
      </c>
      <c r="S26" s="705">
        <f>F26</f>
        <v>100</v>
      </c>
      <c r="T26" s="704" t="s">
        <v>14</v>
      </c>
      <c r="U26" s="705">
        <f>H26</f>
        <v>100</v>
      </c>
      <c r="V26" s="704" t="s">
        <v>14</v>
      </c>
      <c r="W26" s="705">
        <f>J26</f>
        <v>100</v>
      </c>
      <c r="X26" s="1353"/>
      <c r="Y26" s="3749"/>
      <c r="Z26" s="1354" t="str">
        <f>Q26</f>
        <v>平面位置/可视性</v>
      </c>
      <c r="AA26" s="1351">
        <f t="shared" si="3"/>
        <v>1</v>
      </c>
      <c r="AB26" s="1351">
        <f t="shared" si="4"/>
        <v>1</v>
      </c>
      <c r="AC26" s="1351">
        <f t="shared" si="5"/>
        <v>1</v>
      </c>
    </row>
    <row r="27" spans="1:29" s="108"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756"/>
      <c r="Q27" s="1341" t="str">
        <f t="shared" si="11"/>
        <v>人流量</v>
      </c>
      <c r="R27" s="700" t="s">
        <v>14</v>
      </c>
      <c r="S27" s="701">
        <f>F27</f>
        <v>100</v>
      </c>
      <c r="T27" s="700" t="s">
        <v>14</v>
      </c>
      <c r="U27" s="701">
        <f>H27</f>
        <v>100</v>
      </c>
      <c r="V27" s="700" t="s">
        <v>14</v>
      </c>
      <c r="W27" s="701">
        <f>J27</f>
        <v>100</v>
      </c>
      <c r="X27" s="702"/>
      <c r="Y27" s="3749"/>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56"/>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9"/>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56"/>
      <c r="Q29" s="1350">
        <f t="shared" si="11"/>
        <v>111</v>
      </c>
      <c r="R29" s="704" t="s">
        <v>14</v>
      </c>
      <c r="S29" s="705">
        <f t="shared" si="12"/>
        <v>100</v>
      </c>
      <c r="T29" s="704" t="s">
        <v>14</v>
      </c>
      <c r="U29" s="705">
        <f t="shared" si="13"/>
        <v>100</v>
      </c>
      <c r="V29" s="704" t="s">
        <v>14</v>
      </c>
      <c r="W29" s="705">
        <f t="shared" si="14"/>
        <v>100</v>
      </c>
      <c r="X29" s="1353"/>
      <c r="Y29" s="3749"/>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56"/>
      <c r="Q30" s="1350">
        <f t="shared" si="11"/>
        <v>111</v>
      </c>
      <c r="R30" s="704" t="s">
        <v>14</v>
      </c>
      <c r="S30" s="705">
        <f t="shared" si="12"/>
        <v>100</v>
      </c>
      <c r="T30" s="704" t="s">
        <v>14</v>
      </c>
      <c r="U30" s="705">
        <f t="shared" si="13"/>
        <v>100</v>
      </c>
      <c r="V30" s="704" t="s">
        <v>14</v>
      </c>
      <c r="W30" s="705">
        <f t="shared" si="14"/>
        <v>100</v>
      </c>
      <c r="X30" s="1353"/>
      <c r="Y30" s="3749"/>
      <c r="Z30" s="1354">
        <f t="shared" si="15"/>
        <v>111</v>
      </c>
      <c r="AA30" s="1351">
        <f t="shared" si="3"/>
        <v>1</v>
      </c>
      <c r="AB30" s="1351">
        <f t="shared" si="4"/>
        <v>1</v>
      </c>
      <c r="AC30" s="1351">
        <f t="shared" si="5"/>
        <v>1</v>
      </c>
    </row>
    <row r="31" spans="1:29" ht="15.6"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56"/>
      <c r="Q31" s="1350">
        <f t="shared" si="11"/>
        <v>111</v>
      </c>
      <c r="R31" s="704" t="s">
        <v>14</v>
      </c>
      <c r="S31" s="705">
        <f t="shared" si="12"/>
        <v>100</v>
      </c>
      <c r="T31" s="704" t="s">
        <v>14</v>
      </c>
      <c r="U31" s="705">
        <f t="shared" si="13"/>
        <v>100</v>
      </c>
      <c r="V31" s="704" t="s">
        <v>14</v>
      </c>
      <c r="W31" s="705">
        <f t="shared" si="14"/>
        <v>100</v>
      </c>
      <c r="X31" s="1353"/>
      <c r="Y31" s="3749"/>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9"/>
      <c r="M32" s="2713"/>
      <c r="N32" s="2713"/>
      <c r="O32" s="2713"/>
      <c r="P32" s="3750" t="s">
        <v>1696</v>
      </c>
      <c r="Q32" s="1350" t="str">
        <f t="shared" si="11"/>
        <v>商业类型</v>
      </c>
      <c r="R32" s="704" t="s">
        <v>14</v>
      </c>
      <c r="S32" s="705">
        <f t="shared" si="12"/>
        <v>100</v>
      </c>
      <c r="T32" s="704" t="s">
        <v>14</v>
      </c>
      <c r="U32" s="705">
        <f t="shared" si="13"/>
        <v>100</v>
      </c>
      <c r="V32" s="704" t="s">
        <v>14</v>
      </c>
      <c r="W32" s="705">
        <f t="shared" si="14"/>
        <v>100</v>
      </c>
      <c r="X32" s="1353"/>
      <c r="Y32" s="3753" t="s">
        <v>1696</v>
      </c>
      <c r="Z32" s="1354" t="str">
        <f t="shared" si="15"/>
        <v>商业类型</v>
      </c>
      <c r="AA32" s="1351">
        <f t="shared" si="3"/>
        <v>1</v>
      </c>
      <c r="AB32" s="1351">
        <f t="shared" si="4"/>
        <v>1</v>
      </c>
      <c r="AC32" s="1351">
        <f t="shared" si="5"/>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18"/>
      <c r="M33" s="2720"/>
      <c r="N33" s="2720"/>
      <c r="O33" s="2720"/>
      <c r="P33" s="3751"/>
      <c r="Q33" s="706" t="str">
        <f t="shared" si="11"/>
        <v>项目建筑规模</v>
      </c>
      <c r="R33" s="707" t="s">
        <v>14</v>
      </c>
      <c r="S33" s="708" t="e">
        <f t="shared" si="12"/>
        <v>#N/A</v>
      </c>
      <c r="T33" s="707" t="s">
        <v>14</v>
      </c>
      <c r="U33" s="708" t="e">
        <f t="shared" si="13"/>
        <v>#N/A</v>
      </c>
      <c r="V33" s="707" t="s">
        <v>14</v>
      </c>
      <c r="W33" s="708" t="e">
        <f t="shared" si="14"/>
        <v>#N/A</v>
      </c>
      <c r="X33" s="709"/>
      <c r="Y33" s="3753"/>
      <c r="Z33" s="710"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9"/>
      <c r="M34" s="2713"/>
      <c r="N34" s="2713"/>
      <c r="O34" s="2713"/>
      <c r="P34" s="3751"/>
      <c r="Q34" s="1350" t="str">
        <f t="shared" si="11"/>
        <v>建筑结构</v>
      </c>
      <c r="R34" s="704" t="s">
        <v>14</v>
      </c>
      <c r="S34" s="705">
        <f t="shared" si="12"/>
        <v>100</v>
      </c>
      <c r="T34" s="704" t="s">
        <v>14</v>
      </c>
      <c r="U34" s="705">
        <f t="shared" si="13"/>
        <v>100</v>
      </c>
      <c r="V34" s="704" t="s">
        <v>14</v>
      </c>
      <c r="W34" s="705">
        <f t="shared" si="14"/>
        <v>100</v>
      </c>
      <c r="X34" s="1353"/>
      <c r="Y34" s="3753"/>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9"/>
      <c r="M35" s="2713"/>
      <c r="N35" s="2713"/>
      <c r="O35" s="2713"/>
      <c r="P35" s="3751"/>
      <c r="Q35" s="1350" t="str">
        <f t="shared" si="11"/>
        <v>公共部分装修</v>
      </c>
      <c r="R35" s="704" t="s">
        <v>14</v>
      </c>
      <c r="S35" s="705">
        <f t="shared" si="12"/>
        <v>100</v>
      </c>
      <c r="T35" s="704" t="s">
        <v>14</v>
      </c>
      <c r="U35" s="705">
        <f t="shared" si="13"/>
        <v>100</v>
      </c>
      <c r="V35" s="704" t="s">
        <v>14</v>
      </c>
      <c r="W35" s="705">
        <f t="shared" si="14"/>
        <v>100</v>
      </c>
      <c r="X35" s="1353"/>
      <c r="Y35" s="3753"/>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51"/>
      <c r="Q36" s="1350" t="str">
        <f t="shared" si="11"/>
        <v>成新度</v>
      </c>
      <c r="R36" s="704" t="s">
        <v>14</v>
      </c>
      <c r="S36" s="705" t="e">
        <f t="shared" si="12"/>
        <v>#N/A</v>
      </c>
      <c r="T36" s="704" t="s">
        <v>14</v>
      </c>
      <c r="U36" s="705" t="e">
        <f t="shared" si="13"/>
        <v>#N/A</v>
      </c>
      <c r="V36" s="704" t="s">
        <v>14</v>
      </c>
      <c r="W36" s="705" t="e">
        <f t="shared" si="14"/>
        <v>#N/A</v>
      </c>
      <c r="X36" s="1353"/>
      <c r="Y36" s="3753"/>
      <c r="Z36" s="1354" t="str">
        <f t="shared" si="15"/>
        <v>成新度</v>
      </c>
      <c r="AA36" s="1351" t="e">
        <f t="shared" si="3"/>
        <v>#N/A</v>
      </c>
      <c r="AB36" s="1351" t="e">
        <f t="shared" si="4"/>
        <v>#N/A</v>
      </c>
      <c r="AC36" s="1351" t="e">
        <f t="shared" si="5"/>
        <v>#N/A</v>
      </c>
    </row>
    <row r="37" spans="1:29" s="108" customFormat="1" ht="15">
      <c r="A37" s="423"/>
      <c r="B37" s="374" t="s">
        <v>1787</v>
      </c>
      <c r="C37" s="1904"/>
      <c r="D37" s="127">
        <v>100</v>
      </c>
      <c r="E37" s="1904"/>
      <c r="F37" s="411">
        <f>SUMIF(112:112,E37,113:113)-SUMIF(112:112,C37,113:113)+100</f>
        <v>100</v>
      </c>
      <c r="G37" s="1904"/>
      <c r="H37" s="385">
        <f>SUMIF(112:112,G37,113:113)-SUMIF(112:112,C37,113:113)+100</f>
        <v>100</v>
      </c>
      <c r="I37" s="1904"/>
      <c r="J37" s="385">
        <f>SUMIF(112:112,I37,113:113)-SUMIF(112:112,C37,113:113)+100</f>
        <v>100</v>
      </c>
      <c r="K37" s="560"/>
      <c r="L37" s="2714"/>
      <c r="M37" s="2715"/>
      <c r="N37" s="2715"/>
      <c r="O37" s="2715"/>
      <c r="P37" s="3751"/>
      <c r="Q37" s="1341" t="str">
        <f t="shared" si="11"/>
        <v>市政基础设施</v>
      </c>
      <c r="R37" s="700" t="s">
        <v>14</v>
      </c>
      <c r="S37" s="701">
        <f t="shared" si="12"/>
        <v>100</v>
      </c>
      <c r="T37" s="700" t="s">
        <v>14</v>
      </c>
      <c r="U37" s="701">
        <f t="shared" si="13"/>
        <v>100</v>
      </c>
      <c r="V37" s="700" t="s">
        <v>14</v>
      </c>
      <c r="W37" s="701">
        <f t="shared" si="14"/>
        <v>100</v>
      </c>
      <c r="X37" s="702"/>
      <c r="Y37" s="3753"/>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9"/>
      <c r="M38" s="2713"/>
      <c r="N38" s="2713"/>
      <c r="O38" s="2713"/>
      <c r="P38" s="3751" t="s">
        <v>1696</v>
      </c>
      <c r="Q38" s="1350" t="str">
        <f t="shared" si="11"/>
        <v>业态</v>
      </c>
      <c r="R38" s="704" t="s">
        <v>14</v>
      </c>
      <c r="S38" s="705">
        <f t="shared" si="12"/>
        <v>100</v>
      </c>
      <c r="T38" s="704" t="s">
        <v>14</v>
      </c>
      <c r="U38" s="705">
        <f t="shared" si="13"/>
        <v>100</v>
      </c>
      <c r="V38" s="704" t="s">
        <v>14</v>
      </c>
      <c r="W38" s="705">
        <f t="shared" si="14"/>
        <v>100</v>
      </c>
      <c r="X38" s="1353"/>
      <c r="Y38" s="3753"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751"/>
      <c r="Q39" s="1350" t="str">
        <f t="shared" si="11"/>
        <v>层高</v>
      </c>
      <c r="R39" s="704" t="s">
        <v>14</v>
      </c>
      <c r="S39" s="705">
        <f t="shared" si="12"/>
        <v>100</v>
      </c>
      <c r="T39" s="704" t="s">
        <v>14</v>
      </c>
      <c r="U39" s="705">
        <f t="shared" si="13"/>
        <v>100</v>
      </c>
      <c r="V39" s="704" t="s">
        <v>14</v>
      </c>
      <c r="W39" s="705">
        <f t="shared" si="14"/>
        <v>100</v>
      </c>
      <c r="X39" s="1353"/>
      <c r="Y39" s="3753"/>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51"/>
      <c r="Q40" s="1350" t="str">
        <f t="shared" si="11"/>
        <v>单套建筑面积</v>
      </c>
      <c r="R40" s="704" t="s">
        <v>14</v>
      </c>
      <c r="S40" s="705">
        <f t="shared" si="12"/>
        <v>100</v>
      </c>
      <c r="T40" s="704" t="s">
        <v>14</v>
      </c>
      <c r="U40" s="705">
        <f t="shared" si="13"/>
        <v>100</v>
      </c>
      <c r="V40" s="704" t="s">
        <v>14</v>
      </c>
      <c r="W40" s="705">
        <f t="shared" si="14"/>
        <v>100</v>
      </c>
      <c r="X40" s="1353"/>
      <c r="Y40" s="3753"/>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51"/>
      <c r="Q41" s="706" t="str">
        <f t="shared" si="11"/>
        <v>进深比</v>
      </c>
      <c r="R41" s="707" t="s">
        <v>14</v>
      </c>
      <c r="S41" s="708">
        <f t="shared" si="12"/>
        <v>100</v>
      </c>
      <c r="T41" s="707" t="s">
        <v>14</v>
      </c>
      <c r="U41" s="708">
        <f t="shared" si="13"/>
        <v>100</v>
      </c>
      <c r="V41" s="707" t="s">
        <v>14</v>
      </c>
      <c r="W41" s="708">
        <f t="shared" si="14"/>
        <v>100</v>
      </c>
      <c r="X41" s="709"/>
      <c r="Y41" s="3753"/>
      <c r="Z41" s="710"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9"/>
      <c r="M42" s="2713"/>
      <c r="N42" s="2713"/>
      <c r="O42" s="2713"/>
      <c r="P42" s="3751"/>
      <c r="Q42" s="1350" t="str">
        <f t="shared" si="11"/>
        <v>内部装修</v>
      </c>
      <c r="R42" s="704" t="s">
        <v>14</v>
      </c>
      <c r="S42" s="705">
        <f t="shared" si="12"/>
        <v>100</v>
      </c>
      <c r="T42" s="704" t="s">
        <v>14</v>
      </c>
      <c r="U42" s="705">
        <f t="shared" si="13"/>
        <v>100</v>
      </c>
      <c r="V42" s="704" t="s">
        <v>14</v>
      </c>
      <c r="W42" s="705">
        <f t="shared" si="14"/>
        <v>100</v>
      </c>
      <c r="X42" s="1353"/>
      <c r="Y42" s="3753"/>
      <c r="Z42" s="1354" t="str">
        <f t="shared" si="15"/>
        <v>内部装修</v>
      </c>
      <c r="AA42" s="1351">
        <f t="shared" si="3"/>
        <v>1</v>
      </c>
      <c r="AB42" s="1351">
        <f t="shared" si="4"/>
        <v>1</v>
      </c>
      <c r="AC42" s="1351">
        <f t="shared" si="5"/>
        <v>1</v>
      </c>
    </row>
    <row r="43" spans="1:29" ht="28.8">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9"/>
      <c r="M43" s="2713"/>
      <c r="N43" s="2713"/>
      <c r="O43" s="2713"/>
      <c r="P43" s="3751"/>
      <c r="Q43" s="1350" t="str">
        <f t="shared" si="11"/>
        <v>内部装修维护情况</v>
      </c>
      <c r="R43" s="704" t="s">
        <v>14</v>
      </c>
      <c r="S43" s="705">
        <f t="shared" si="12"/>
        <v>100</v>
      </c>
      <c r="T43" s="704" t="s">
        <v>14</v>
      </c>
      <c r="U43" s="705">
        <f t="shared" si="13"/>
        <v>100</v>
      </c>
      <c r="V43" s="704" t="s">
        <v>14</v>
      </c>
      <c r="W43" s="705">
        <f t="shared" si="14"/>
        <v>100</v>
      </c>
      <c r="X43" s="1353"/>
      <c r="Y43" s="3753"/>
      <c r="Z43" s="1354" t="str">
        <f t="shared" si="15"/>
        <v>内部装修维护情况</v>
      </c>
      <c r="AA43" s="1351">
        <f t="shared" si="3"/>
        <v>1</v>
      </c>
      <c r="AB43" s="1351">
        <f t="shared" si="4"/>
        <v>1</v>
      </c>
      <c r="AC43" s="1351">
        <f t="shared" si="5"/>
        <v>1</v>
      </c>
    </row>
    <row r="44" spans="1:29" s="108" customFormat="1" ht="15">
      <c r="A44" s="423"/>
      <c r="B44" s="1131">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714"/>
      <c r="M44" s="2715"/>
      <c r="N44" s="2715"/>
      <c r="O44" s="2715"/>
      <c r="P44" s="3751"/>
      <c r="Q44" s="1341">
        <f t="shared" si="11"/>
        <v>111</v>
      </c>
      <c r="R44" s="700" t="s">
        <v>14</v>
      </c>
      <c r="S44" s="701">
        <f t="shared" si="12"/>
        <v>100</v>
      </c>
      <c r="T44" s="700" t="s">
        <v>14</v>
      </c>
      <c r="U44" s="701">
        <f t="shared" si="13"/>
        <v>100</v>
      </c>
      <c r="V44" s="700" t="s">
        <v>14</v>
      </c>
      <c r="W44" s="701">
        <f t="shared" si="14"/>
        <v>100</v>
      </c>
      <c r="X44" s="702"/>
      <c r="Y44" s="3753"/>
      <c r="Z44" s="52">
        <f t="shared" si="15"/>
        <v>111</v>
      </c>
      <c r="AA44" s="703">
        <f t="shared" si="3"/>
        <v>1</v>
      </c>
      <c r="AB44" s="703">
        <f t="shared" si="4"/>
        <v>1</v>
      </c>
      <c r="AC44" s="703">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51"/>
      <c r="Q45" s="1350">
        <f t="shared" si="11"/>
        <v>111</v>
      </c>
      <c r="R45" s="704" t="s">
        <v>14</v>
      </c>
      <c r="S45" s="705">
        <f t="shared" si="12"/>
        <v>100</v>
      </c>
      <c r="T45" s="704" t="s">
        <v>14</v>
      </c>
      <c r="U45" s="705">
        <f t="shared" si="13"/>
        <v>100</v>
      </c>
      <c r="V45" s="704" t="s">
        <v>14</v>
      </c>
      <c r="W45" s="705">
        <f t="shared" si="14"/>
        <v>100</v>
      </c>
      <c r="X45" s="1353"/>
      <c r="Y45" s="3753"/>
      <c r="Z45" s="1354">
        <f t="shared" si="15"/>
        <v>111</v>
      </c>
      <c r="AA45" s="1351">
        <f t="shared" si="3"/>
        <v>1</v>
      </c>
      <c r="AB45" s="1351">
        <f t="shared" si="4"/>
        <v>1</v>
      </c>
      <c r="AC45" s="1351">
        <f t="shared" si="5"/>
        <v>1</v>
      </c>
    </row>
    <row r="46" spans="1:29" ht="15.6"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52"/>
      <c r="Q46" s="1350">
        <f t="shared" si="11"/>
        <v>111</v>
      </c>
      <c r="R46" s="704" t="s">
        <v>14</v>
      </c>
      <c r="S46" s="705">
        <f t="shared" si="12"/>
        <v>100</v>
      </c>
      <c r="T46" s="704" t="s">
        <v>14</v>
      </c>
      <c r="U46" s="705">
        <f t="shared" si="13"/>
        <v>100</v>
      </c>
      <c r="V46" s="704" t="s">
        <v>14</v>
      </c>
      <c r="W46" s="705">
        <f t="shared" si="14"/>
        <v>100</v>
      </c>
      <c r="X46" s="1353"/>
      <c r="Y46" s="3754"/>
      <c r="Z46" s="1354">
        <f t="shared" si="15"/>
        <v>111</v>
      </c>
      <c r="AA46" s="1351">
        <f t="shared" si="3"/>
        <v>1</v>
      </c>
      <c r="AB46" s="1351">
        <f t="shared" si="4"/>
        <v>1</v>
      </c>
      <c r="AC46" s="1351">
        <f t="shared" si="5"/>
        <v>1</v>
      </c>
    </row>
    <row r="47" spans="1:29" ht="14.4">
      <c r="A47" s="429" t="s">
        <v>1708</v>
      </c>
      <c r="B47" s="430"/>
      <c r="C47" s="1152" t="s">
        <v>0</v>
      </c>
      <c r="D47" s="1153"/>
      <c r="E47" s="1154"/>
      <c r="F47" s="1155"/>
      <c r="G47" s="1156"/>
      <c r="H47" s="1157"/>
      <c r="I47" s="1154"/>
      <c r="J47" s="1157"/>
      <c r="K47" s="713"/>
      <c r="L47" s="2721"/>
      <c r="M47" s="2722"/>
      <c r="N47" s="2713"/>
      <c r="O47" s="2722"/>
      <c r="P47" s="3746" t="str">
        <f>A47</f>
        <v>成交单价（元/平方米）</v>
      </c>
      <c r="Q47" s="3746"/>
      <c r="R47" s="3777">
        <f>E47</f>
        <v>0</v>
      </c>
      <c r="S47" s="3777"/>
      <c r="T47" s="3777">
        <f>G47</f>
        <v>0</v>
      </c>
      <c r="U47" s="3777"/>
      <c r="V47" s="3777">
        <f>I47</f>
        <v>0</v>
      </c>
      <c r="W47" s="3777"/>
      <c r="X47" s="689"/>
      <c r="Y47" s="711"/>
      <c r="Z47" s="689"/>
      <c r="AA47" s="689"/>
      <c r="AB47" s="689"/>
      <c r="AC47" s="689"/>
    </row>
    <row r="48" spans="1:29" ht="15" thickBot="1">
      <c r="A48" s="436" t="s">
        <v>1793</v>
      </c>
      <c r="B48" s="437"/>
      <c r="C48" s="1158" t="e">
        <f>R49</f>
        <v>#DIV/0!</v>
      </c>
      <c r="D48" s="2314" t="s">
        <v>2135</v>
      </c>
      <c r="E48" s="1159" t="e">
        <f>R48</f>
        <v>#DIV/0!</v>
      </c>
      <c r="F48" s="2315"/>
      <c r="G48" s="1158" t="e">
        <f>T48</f>
        <v>#DIV/0!</v>
      </c>
      <c r="H48" s="2315"/>
      <c r="I48" s="1159" t="e">
        <f>V48</f>
        <v>#DIV/0!</v>
      </c>
      <c r="J48" s="2315"/>
      <c r="K48" s="2317">
        <f>F48+H48+J48</f>
        <v>0</v>
      </c>
      <c r="L48" s="2721"/>
      <c r="M48" s="2722"/>
      <c r="N48" s="2713"/>
      <c r="O48" s="2722"/>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89"/>
      <c r="Y48" s="689"/>
      <c r="Z48" s="689"/>
      <c r="AA48" s="689"/>
      <c r="AB48" s="689"/>
      <c r="AC48" s="689"/>
    </row>
    <row r="49" spans="1:29" ht="15" thickBot="1">
      <c r="A49" s="440" t="s">
        <v>1794</v>
      </c>
      <c r="B49" s="441"/>
      <c r="C49" s="1161" t="e">
        <f>R49</f>
        <v>#DIV/0!</v>
      </c>
      <c r="D49" s="1161"/>
      <c r="E49" s="1161"/>
      <c r="F49" s="1161"/>
      <c r="G49" s="1161"/>
      <c r="H49" s="1161"/>
      <c r="I49" s="1161"/>
      <c r="J49" s="1161"/>
      <c r="K49" s="714"/>
      <c r="L49" s="2721"/>
      <c r="M49" s="2722"/>
      <c r="N49" s="2713"/>
      <c r="O49" s="2722"/>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3" t="s">
        <v>1798</v>
      </c>
      <c r="B57" s="689"/>
      <c r="C57" s="694"/>
      <c r="D57" s="694"/>
      <c r="E57" s="694"/>
      <c r="F57" s="695"/>
      <c r="G57" s="695"/>
      <c r="H57" s="694"/>
      <c r="I57" s="694"/>
      <c r="J57" s="694"/>
      <c r="K57" s="696"/>
      <c r="L57" s="940"/>
      <c r="M57" s="938"/>
      <c r="N57" s="938"/>
      <c r="O57" s="938"/>
      <c r="P57" s="2735"/>
      <c r="Q57" s="2736"/>
      <c r="R57" s="2722"/>
      <c r="S57" s="2722"/>
      <c r="T57" s="2722"/>
      <c r="U57" s="2722"/>
      <c r="V57" s="2722"/>
      <c r="W57" s="2722"/>
      <c r="X57" s="2722"/>
      <c r="Y57" s="2722"/>
      <c r="Z57" s="2722"/>
      <c r="AA57" s="2722"/>
      <c r="AB57" s="2722"/>
      <c r="AC57" s="2722"/>
    </row>
    <row r="58" spans="1:29" s="456" customFormat="1" ht="14.4">
      <c r="A58" s="453" t="s">
        <v>1679</v>
      </c>
      <c r="B58" s="454"/>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7"/>
      <c r="Q58" s="2738"/>
      <c r="R58" s="2738"/>
      <c r="S58" s="2738"/>
      <c r="T58" s="2738"/>
      <c r="U58" s="2738"/>
      <c r="V58" s="2738"/>
      <c r="W58" s="2738"/>
      <c r="X58" s="2738"/>
      <c r="Y58" s="2738"/>
      <c r="Z58" s="2738"/>
      <c r="AA58" s="2738"/>
      <c r="AB58" s="2738"/>
      <c r="AC58" s="2738"/>
    </row>
    <row r="59" spans="1:29" s="108" customFormat="1">
      <c r="A59" s="457"/>
      <c r="B59" s="458"/>
      <c r="C59" s="1181">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4.4">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4.4"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ht="14.4">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4.4"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9.4"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4.4"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4.4"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4.4"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4.4"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4.4"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4.4"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4.4"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ht="14.4">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 thickTop="1">
      <c r="A82" s="482"/>
      <c r="B82" s="494" t="s">
        <v>1779</v>
      </c>
      <c r="C82" s="607" t="s">
        <v>1799</v>
      </c>
      <c r="D82" s="607" t="s">
        <v>1800</v>
      </c>
      <c r="E82" s="607" t="s">
        <v>1801</v>
      </c>
      <c r="F82" s="607" t="s">
        <v>1802</v>
      </c>
      <c r="G82" s="607" t="s">
        <v>1803</v>
      </c>
      <c r="H82" s="487"/>
      <c r="I82" s="487"/>
      <c r="J82" s="487"/>
      <c r="K82" s="487"/>
      <c r="L82" s="487"/>
      <c r="M82" s="1127"/>
      <c r="N82" s="2751"/>
      <c r="O82" s="2751"/>
      <c r="P82" s="2741"/>
      <c r="Q82" s="2736"/>
      <c r="R82" s="2722"/>
      <c r="S82" s="2722"/>
      <c r="T82" s="2722"/>
      <c r="U82" s="2722"/>
      <c r="V82" s="2722"/>
      <c r="W82" s="2722"/>
      <c r="X82" s="2722"/>
      <c r="Y82" s="2722"/>
      <c r="Z82" s="2722"/>
      <c r="AA82" s="2722"/>
      <c r="AB82" s="2722"/>
      <c r="AC82" s="2722"/>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7"/>
      <c r="B88" s="486" t="str">
        <f>B26</f>
        <v>平面位置/可视性</v>
      </c>
      <c r="C88" s="502"/>
      <c r="D88" s="502"/>
      <c r="E88" s="502"/>
      <c r="F88" s="1925"/>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4.4"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4.4"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4.4"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4.4"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4.4"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4.4"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4.4"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4.4"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4.4" thickBot="1">
      <c r="A99" s="1926"/>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ht="14.4">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4.4"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4.4"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4.4"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4.4"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4.4"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4.4"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4.4"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4.4" thickBot="1">
      <c r="A131" s="1926"/>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1810</v>
      </c>
      <c r="C1" s="1222" t="s">
        <v>1662</v>
      </c>
      <c r="D1" s="1223"/>
      <c r="E1" s="3424"/>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10.32</v>
      </c>
      <c r="E3" s="1952"/>
      <c r="F3" s="907"/>
      <c r="G3" s="906"/>
      <c r="H3" s="906"/>
      <c r="I3" s="906"/>
      <c r="J3" s="906"/>
      <c r="K3" s="908"/>
      <c r="L3" s="2731"/>
      <c r="M3" s="2732"/>
      <c r="N3" s="2732"/>
      <c r="O3" s="2732"/>
      <c r="P3" s="698"/>
      <c r="Q3" s="698"/>
      <c r="R3" s="698"/>
      <c r="S3" s="698"/>
      <c r="T3" s="698"/>
      <c r="U3" s="698"/>
      <c r="V3" s="698"/>
      <c r="W3" s="698"/>
      <c r="X3" s="698"/>
      <c r="Y3" s="698"/>
      <c r="Z3" s="698"/>
      <c r="AA3" s="698"/>
      <c r="AB3" s="698"/>
      <c r="AC3" s="699"/>
    </row>
    <row r="4" spans="1:29" ht="14.4">
      <c r="A4" s="354" t="s">
        <v>1769</v>
      </c>
      <c r="B4" s="355"/>
      <c r="C4" s="3761" t="s">
        <v>1770</v>
      </c>
      <c r="D4" s="3762"/>
      <c r="E4" s="3763" t="s">
        <v>1771</v>
      </c>
      <c r="F4" s="3764"/>
      <c r="G4" s="3761" t="s">
        <v>1772</v>
      </c>
      <c r="H4" s="3762"/>
      <c r="I4" s="3761" t="s">
        <v>1773</v>
      </c>
      <c r="J4" s="3762"/>
      <c r="K4" s="558" t="s">
        <v>1774</v>
      </c>
      <c r="L4" s="2712"/>
      <c r="M4" s="2713"/>
      <c r="N4" s="2713"/>
      <c r="O4" s="2713"/>
      <c r="P4" s="3795" t="s">
        <v>1775</v>
      </c>
      <c r="Q4" s="3796"/>
      <c r="R4" s="3799" t="s">
        <v>1771</v>
      </c>
      <c r="S4" s="3800"/>
      <c r="T4" s="3799" t="s">
        <v>1772</v>
      </c>
      <c r="U4" s="3800"/>
      <c r="V4" s="3801" t="s">
        <v>1773</v>
      </c>
      <c r="W4" s="3801"/>
      <c r="X4" s="1956"/>
      <c r="Y4" s="3799" t="s">
        <v>1775</v>
      </c>
      <c r="Z4" s="3800"/>
      <c r="AA4" s="3803" t="s">
        <v>1771</v>
      </c>
      <c r="AB4" s="3803" t="s">
        <v>1772</v>
      </c>
      <c r="AC4" s="3792" t="s">
        <v>1773</v>
      </c>
    </row>
    <row r="5" spans="1:29">
      <c r="A5" s="357"/>
      <c r="B5" s="358"/>
      <c r="C5" s="3780" t="s">
        <v>1673</v>
      </c>
      <c r="D5" s="3781"/>
      <c r="E5" s="3787" t="s">
        <v>1674</v>
      </c>
      <c r="F5" s="3788"/>
      <c r="G5" s="3780" t="s">
        <v>1675</v>
      </c>
      <c r="H5" s="3781"/>
      <c r="I5" s="3780" t="s">
        <v>1676</v>
      </c>
      <c r="J5" s="3781"/>
      <c r="K5" s="558"/>
      <c r="L5" s="2712"/>
      <c r="M5" s="2713"/>
      <c r="N5" s="2713"/>
      <c r="O5" s="2713"/>
      <c r="P5" s="3797"/>
      <c r="Q5" s="3768"/>
      <c r="R5" s="3773"/>
      <c r="S5" s="3774"/>
      <c r="T5" s="3773"/>
      <c r="U5" s="3774"/>
      <c r="V5" s="3777"/>
      <c r="W5" s="3777"/>
      <c r="X5" s="1353"/>
      <c r="Y5" s="3773"/>
      <c r="Z5" s="3774"/>
      <c r="AA5" s="3759"/>
      <c r="AB5" s="3759"/>
      <c r="AC5" s="3793"/>
    </row>
    <row r="6" spans="1:29" ht="15" thickBot="1">
      <c r="A6" s="359"/>
      <c r="B6" s="360"/>
      <c r="C6" s="3778" t="s">
        <v>1677</v>
      </c>
      <c r="D6" s="3779"/>
      <c r="E6" s="3785" t="s">
        <v>1677</v>
      </c>
      <c r="F6" s="3786"/>
      <c r="G6" s="3778" t="s">
        <v>1677</v>
      </c>
      <c r="H6" s="3779"/>
      <c r="I6" s="3778" t="s">
        <v>1677</v>
      </c>
      <c r="J6" s="3779"/>
      <c r="K6" s="558" t="s">
        <v>1678</v>
      </c>
      <c r="L6" s="2712"/>
      <c r="M6" s="2713"/>
      <c r="N6" s="2713"/>
      <c r="O6" s="2713"/>
      <c r="P6" s="3798"/>
      <c r="Q6" s="3770"/>
      <c r="R6" s="3773"/>
      <c r="S6" s="3774"/>
      <c r="T6" s="3775"/>
      <c r="U6" s="3776"/>
      <c r="V6" s="3777"/>
      <c r="W6" s="3777"/>
      <c r="X6" s="1353"/>
      <c r="Y6" s="3775"/>
      <c r="Z6" s="3776"/>
      <c r="AA6" s="3760"/>
      <c r="AB6" s="3760"/>
      <c r="AC6" s="3794"/>
    </row>
    <row r="7" spans="1:29" s="108" customFormat="1" ht="15" thickBot="1">
      <c r="A7" s="361" t="s">
        <v>1679</v>
      </c>
      <c r="B7" s="362"/>
      <c r="C7" s="363">
        <f>'数据-取费表'!B2</f>
        <v>45882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802" t="s">
        <v>1680</v>
      </c>
      <c r="Q7" s="3784"/>
      <c r="R7" s="700" t="s">
        <v>14</v>
      </c>
      <c r="S7" s="701">
        <f t="shared" ref="S7:S15" si="0">F7</f>
        <v>0</v>
      </c>
      <c r="T7" s="700" t="s">
        <v>14</v>
      </c>
      <c r="U7" s="701">
        <f t="shared" ref="U7:U15" si="1">H7</f>
        <v>0</v>
      </c>
      <c r="V7" s="700" t="s">
        <v>14</v>
      </c>
      <c r="W7" s="701">
        <f t="shared" ref="W7:W15" si="2">J7</f>
        <v>0</v>
      </c>
      <c r="X7" s="702"/>
      <c r="Y7" s="3782" t="s">
        <v>1680</v>
      </c>
      <c r="Z7" s="3783"/>
      <c r="AA7" s="703" t="e">
        <f>D7/F7</f>
        <v>#DIV/0!</v>
      </c>
      <c r="AB7" s="703" t="e">
        <f>D7/H7</f>
        <v>#DIV/0!</v>
      </c>
      <c r="AC7" s="1957" t="e">
        <f>D7/J7</f>
        <v>#DIV/0!</v>
      </c>
    </row>
    <row r="8" spans="1:29" s="108"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802" t="s">
        <v>1683</v>
      </c>
      <c r="Q8" s="3783"/>
      <c r="R8" s="700" t="s">
        <v>14</v>
      </c>
      <c r="S8" s="701">
        <f t="shared" si="0"/>
        <v>100</v>
      </c>
      <c r="T8" s="700" t="s">
        <v>14</v>
      </c>
      <c r="U8" s="701">
        <f t="shared" si="1"/>
        <v>100</v>
      </c>
      <c r="V8" s="700" t="s">
        <v>14</v>
      </c>
      <c r="W8" s="701">
        <f t="shared" si="2"/>
        <v>100</v>
      </c>
      <c r="X8" s="702"/>
      <c r="Y8" s="3782" t="s">
        <v>1683</v>
      </c>
      <c r="Z8" s="3783"/>
      <c r="AA8" s="703">
        <f t="shared" ref="AA8:AA47" si="3">D8/F8</f>
        <v>1</v>
      </c>
      <c r="AB8" s="703">
        <f t="shared" ref="AB8:AB47" si="4">D8/H8</f>
        <v>1</v>
      </c>
      <c r="AC8" s="1957">
        <f t="shared" ref="AC8:AC47" si="5">D8/J8</f>
        <v>1</v>
      </c>
    </row>
    <row r="9" spans="1:29" s="108" customFormat="1" ht="14.4">
      <c r="A9" s="368" t="s">
        <v>1684</v>
      </c>
      <c r="B9" s="63" t="s">
        <v>1685</v>
      </c>
      <c r="C9" s="369"/>
      <c r="D9" s="126">
        <v>100</v>
      </c>
      <c r="E9" s="372"/>
      <c r="F9" s="126">
        <f>SUMIF(64:64,E9,65:65)-SUMIF(64:64,C9,65:65)+100</f>
        <v>100</v>
      </c>
      <c r="G9" s="370"/>
      <c r="H9" s="126">
        <f>SUMIF(64:64,G9,65:65)-SUMIF(64:64,C9,65:65)+100</f>
        <v>100</v>
      </c>
      <c r="I9" s="370"/>
      <c r="J9" s="126">
        <f>SUMIF(64:64,I9,65:65)-SUMIF(64:64,C9,65:65)+100</f>
        <v>100</v>
      </c>
      <c r="K9" s="559"/>
      <c r="L9" s="2714"/>
      <c r="M9" s="2715"/>
      <c r="N9" s="2715"/>
      <c r="O9" s="2715"/>
      <c r="P9" s="3757" t="s">
        <v>1686</v>
      </c>
      <c r="Q9" s="1341" t="str">
        <f t="shared" ref="Q9:Q15" si="6">B9</f>
        <v>用途</v>
      </c>
      <c r="R9" s="700" t="s">
        <v>14</v>
      </c>
      <c r="S9" s="701">
        <f t="shared" si="0"/>
        <v>100</v>
      </c>
      <c r="T9" s="700" t="s">
        <v>14</v>
      </c>
      <c r="U9" s="701">
        <f t="shared" si="1"/>
        <v>100</v>
      </c>
      <c r="V9" s="700" t="s">
        <v>14</v>
      </c>
      <c r="W9" s="701">
        <f t="shared" si="2"/>
        <v>100</v>
      </c>
      <c r="X9" s="702"/>
      <c r="Y9" s="3602" t="s">
        <v>1687</v>
      </c>
      <c r="Z9" s="52" t="str">
        <f t="shared" ref="Z9:Z15" si="7">Q9</f>
        <v>用途</v>
      </c>
      <c r="AA9" s="703">
        <f t="shared" si="3"/>
        <v>1</v>
      </c>
      <c r="AB9" s="703">
        <f t="shared" si="4"/>
        <v>1</v>
      </c>
      <c r="AC9" s="1957">
        <f t="shared" si="5"/>
        <v>1</v>
      </c>
    </row>
    <row r="10" spans="1:29" s="377" customFormat="1" ht="28.8">
      <c r="A10" s="373"/>
      <c r="B10" s="374" t="s">
        <v>1688</v>
      </c>
      <c r="C10" s="3425"/>
      <c r="D10" s="127">
        <v>100</v>
      </c>
      <c r="E10" s="3425"/>
      <c r="F10" s="127">
        <f>SUMIF(66:66,E10,67:67)-SUMIF(66:66,C10,67:67)+100</f>
        <v>100</v>
      </c>
      <c r="G10" s="3426"/>
      <c r="H10" s="127">
        <f>SUMIF(66:66,G10,67:67)-SUMIF(66:66,C10,67:67)+100</f>
        <v>100</v>
      </c>
      <c r="I10" s="3425"/>
      <c r="J10" s="127">
        <f>SUMIF(66:66,I10,67:67)-SUMIF(66:66,C10,67:67)+100</f>
        <v>100</v>
      </c>
      <c r="K10" s="559"/>
      <c r="L10" s="2716"/>
      <c r="M10" s="2717"/>
      <c r="N10" s="2717"/>
      <c r="O10" s="2717"/>
      <c r="P10" s="3757"/>
      <c r="Q10" s="1341" t="str">
        <f t="shared" si="6"/>
        <v>土地使用年限（年）</v>
      </c>
      <c r="R10" s="700" t="s">
        <v>14</v>
      </c>
      <c r="S10" s="701">
        <f t="shared" si="0"/>
        <v>100</v>
      </c>
      <c r="T10" s="700" t="s">
        <v>14</v>
      </c>
      <c r="U10" s="701">
        <f t="shared" si="1"/>
        <v>100</v>
      </c>
      <c r="V10" s="700" t="s">
        <v>14</v>
      </c>
      <c r="W10" s="701">
        <f t="shared" si="2"/>
        <v>100</v>
      </c>
      <c r="X10" s="702"/>
      <c r="Y10" s="3602"/>
      <c r="Z10" s="52" t="str">
        <f t="shared" si="7"/>
        <v>土地使用年限（年）</v>
      </c>
      <c r="AA10" s="703">
        <f t="shared" si="3"/>
        <v>1</v>
      </c>
      <c r="AB10" s="703">
        <f t="shared" si="4"/>
        <v>1</v>
      </c>
      <c r="AC10" s="195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60"/>
      <c r="L11" s="2718"/>
      <c r="M11" s="2713"/>
      <c r="N11" s="2713"/>
      <c r="O11" s="2713"/>
      <c r="P11" s="3757"/>
      <c r="Q11" s="1341" t="str">
        <f t="shared" si="6"/>
        <v>容积率</v>
      </c>
      <c r="R11" s="700" t="s">
        <v>14</v>
      </c>
      <c r="S11" s="701">
        <f t="shared" si="0"/>
        <v>100</v>
      </c>
      <c r="T11" s="700" t="s">
        <v>14</v>
      </c>
      <c r="U11" s="701">
        <f t="shared" si="1"/>
        <v>100</v>
      </c>
      <c r="V11" s="700" t="s">
        <v>14</v>
      </c>
      <c r="W11" s="701">
        <f t="shared" si="2"/>
        <v>100</v>
      </c>
      <c r="X11" s="702"/>
      <c r="Y11" s="3602"/>
      <c r="Z11" s="52" t="str">
        <f t="shared" si="7"/>
        <v>容积率</v>
      </c>
      <c r="AA11" s="703">
        <f t="shared" si="3"/>
        <v>1</v>
      </c>
      <c r="AB11" s="703">
        <f t="shared" si="4"/>
        <v>1</v>
      </c>
      <c r="AC11" s="1957">
        <f t="shared" si="5"/>
        <v>1</v>
      </c>
    </row>
    <row r="12" spans="1:29" s="108" customFormat="1" ht="15">
      <c r="A12" s="381"/>
      <c r="B12" s="1891">
        <v>111</v>
      </c>
      <c r="C12" s="382"/>
      <c r="D12" s="383">
        <v>100</v>
      </c>
      <c r="E12" s="382"/>
      <c r="F12" s="127">
        <f>SUMIF(71:71,E12,72:72)-SUMIF(71:71,C12,72:72)+100</f>
        <v>100</v>
      </c>
      <c r="G12" s="1958"/>
      <c r="H12" s="127">
        <f>SUMIF(71:71,G12,72:72)-SUMIF(71:71,C12,72:72)+100</f>
        <v>100</v>
      </c>
      <c r="I12" s="382"/>
      <c r="J12" s="127">
        <f>SUMIF(71:71,I12,72:72)-SUMIF(71:71,C12,72:72)+100</f>
        <v>100</v>
      </c>
      <c r="K12" s="561"/>
      <c r="L12" s="2714"/>
      <c r="M12" s="2715"/>
      <c r="N12" s="2715"/>
      <c r="O12" s="2715"/>
      <c r="P12" s="3757"/>
      <c r="Q12" s="1341">
        <f t="shared" si="6"/>
        <v>111</v>
      </c>
      <c r="R12" s="700" t="s">
        <v>14</v>
      </c>
      <c r="S12" s="701">
        <f t="shared" si="0"/>
        <v>100</v>
      </c>
      <c r="T12" s="700" t="s">
        <v>14</v>
      </c>
      <c r="U12" s="701">
        <f t="shared" si="1"/>
        <v>100</v>
      </c>
      <c r="V12" s="700" t="s">
        <v>14</v>
      </c>
      <c r="W12" s="701">
        <f t="shared" si="2"/>
        <v>100</v>
      </c>
      <c r="X12" s="702"/>
      <c r="Y12" s="3602"/>
      <c r="Z12" s="52">
        <f t="shared" si="7"/>
        <v>111</v>
      </c>
      <c r="AA12" s="703">
        <f>D12/F12</f>
        <v>1</v>
      </c>
      <c r="AB12" s="703">
        <f>D12/H12</f>
        <v>1</v>
      </c>
      <c r="AC12" s="1957">
        <f>D12/J12</f>
        <v>1</v>
      </c>
    </row>
    <row r="13" spans="1:29" ht="15">
      <c r="A13" s="378"/>
      <c r="B13" s="1891">
        <v>111</v>
      </c>
      <c r="C13" s="384"/>
      <c r="D13" s="385">
        <v>100</v>
      </c>
      <c r="E13" s="382"/>
      <c r="F13" s="127">
        <f>SUMIF(73:73,E13,74:74)-SUMIF(73:73,C13,74:74)+100</f>
        <v>100</v>
      </c>
      <c r="G13" s="1958"/>
      <c r="H13" s="385">
        <f>SUMIF(73:73,G13,74:74)-SUMIF(73:73,C13,74:74)+100</f>
        <v>100</v>
      </c>
      <c r="I13" s="382"/>
      <c r="J13" s="385">
        <f>SUMIF(73:73,I13,74:74)-SUMIF(73:73,C13,74:74)+100</f>
        <v>100</v>
      </c>
      <c r="K13" s="561"/>
      <c r="L13" s="2719"/>
      <c r="M13" s="2713"/>
      <c r="N13" s="2713"/>
      <c r="O13" s="2713"/>
      <c r="P13" s="3757"/>
      <c r="Q13" s="1341">
        <f t="shared" si="6"/>
        <v>111</v>
      </c>
      <c r="R13" s="700" t="s">
        <v>14</v>
      </c>
      <c r="S13" s="701">
        <f t="shared" si="0"/>
        <v>100</v>
      </c>
      <c r="T13" s="700" t="s">
        <v>14</v>
      </c>
      <c r="U13" s="701">
        <f t="shared" si="1"/>
        <v>100</v>
      </c>
      <c r="V13" s="700" t="s">
        <v>14</v>
      </c>
      <c r="W13" s="701">
        <f t="shared" si="2"/>
        <v>100</v>
      </c>
      <c r="X13" s="702"/>
      <c r="Y13" s="3602"/>
      <c r="Z13" s="52">
        <f t="shared" si="7"/>
        <v>111</v>
      </c>
      <c r="AA13" s="703">
        <f t="shared" si="3"/>
        <v>1</v>
      </c>
      <c r="AB13" s="703">
        <f t="shared" si="4"/>
        <v>1</v>
      </c>
      <c r="AC13" s="1957">
        <f t="shared" si="5"/>
        <v>1</v>
      </c>
    </row>
    <row r="14" spans="1:29" ht="15.6"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57"/>
      <c r="Q14" s="1341">
        <f t="shared" si="6"/>
        <v>111</v>
      </c>
      <c r="R14" s="700" t="s">
        <v>14</v>
      </c>
      <c r="S14" s="701">
        <f t="shared" si="0"/>
        <v>100</v>
      </c>
      <c r="T14" s="700" t="s">
        <v>14</v>
      </c>
      <c r="U14" s="701">
        <f t="shared" si="1"/>
        <v>100</v>
      </c>
      <c r="V14" s="700" t="s">
        <v>14</v>
      </c>
      <c r="W14" s="701">
        <f t="shared" si="2"/>
        <v>100</v>
      </c>
      <c r="X14" s="702"/>
      <c r="Y14" s="3602"/>
      <c r="Z14" s="52">
        <f t="shared" si="7"/>
        <v>111</v>
      </c>
      <c r="AA14" s="703">
        <f t="shared" si="3"/>
        <v>1</v>
      </c>
      <c r="AB14" s="703">
        <f t="shared" si="4"/>
        <v>1</v>
      </c>
      <c r="AC14" s="1957">
        <f t="shared" si="5"/>
        <v>1</v>
      </c>
    </row>
    <row r="15" spans="1:29" ht="69">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55" t="s">
        <v>1691</v>
      </c>
      <c r="Q15" s="1350" t="str">
        <f t="shared" si="6"/>
        <v>办公集聚程度</v>
      </c>
      <c r="R15" s="704" t="s">
        <v>14</v>
      </c>
      <c r="S15" s="705">
        <f t="shared" si="0"/>
        <v>100</v>
      </c>
      <c r="T15" s="704" t="s">
        <v>14</v>
      </c>
      <c r="U15" s="705">
        <f t="shared" si="1"/>
        <v>100</v>
      </c>
      <c r="V15" s="704" t="s">
        <v>14</v>
      </c>
      <c r="W15" s="705">
        <f t="shared" si="2"/>
        <v>100</v>
      </c>
      <c r="X15" s="1353"/>
      <c r="Y15" s="3748"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756"/>
      <c r="Q16" s="1350"/>
      <c r="R16" s="704"/>
      <c r="S16" s="705"/>
      <c r="T16" s="704"/>
      <c r="U16" s="705"/>
      <c r="V16" s="704"/>
      <c r="W16" s="705"/>
      <c r="X16" s="1353"/>
      <c r="Y16" s="3749"/>
      <c r="Z16" s="1354"/>
      <c r="AA16" s="1351">
        <v>1</v>
      </c>
      <c r="AB16" s="1351">
        <v>1</v>
      </c>
      <c r="AC16" s="1960">
        <v>1</v>
      </c>
    </row>
    <row r="17" spans="1:29" ht="82.8">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56"/>
      <c r="Q17" s="1350" t="str">
        <f>B17</f>
        <v>交通便捷度</v>
      </c>
      <c r="R17" s="704" t="s">
        <v>14</v>
      </c>
      <c r="S17" s="705">
        <f>F17</f>
        <v>100</v>
      </c>
      <c r="T17" s="704" t="s">
        <v>14</v>
      </c>
      <c r="U17" s="705">
        <f>H17</f>
        <v>100</v>
      </c>
      <c r="V17" s="704" t="s">
        <v>14</v>
      </c>
      <c r="W17" s="705">
        <f>J17</f>
        <v>100</v>
      </c>
      <c r="X17" s="1353"/>
      <c r="Y17" s="3749"/>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756"/>
      <c r="Q18" s="1350"/>
      <c r="R18" s="704"/>
      <c r="S18" s="705"/>
      <c r="T18" s="704"/>
      <c r="U18" s="705"/>
      <c r="V18" s="704"/>
      <c r="W18" s="705"/>
      <c r="X18" s="1353"/>
      <c r="Y18" s="3749"/>
      <c r="Z18" s="1354"/>
      <c r="AA18" s="1351">
        <v>1</v>
      </c>
      <c r="AB18" s="1351">
        <v>1</v>
      </c>
      <c r="AC18" s="1960">
        <v>1</v>
      </c>
    </row>
    <row r="19" spans="1:29" ht="41.4">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56"/>
      <c r="Q19" s="1350" t="str">
        <f>B19</f>
        <v>公共配套设施</v>
      </c>
      <c r="R19" s="704" t="s">
        <v>14</v>
      </c>
      <c r="S19" s="705">
        <f>F19</f>
        <v>100</v>
      </c>
      <c r="T19" s="704" t="s">
        <v>14</v>
      </c>
      <c r="U19" s="705">
        <f>H19</f>
        <v>100</v>
      </c>
      <c r="V19" s="704" t="s">
        <v>14</v>
      </c>
      <c r="W19" s="705">
        <f>J19</f>
        <v>100</v>
      </c>
      <c r="X19" s="1353"/>
      <c r="Y19" s="3749"/>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756"/>
      <c r="Q20" s="1350"/>
      <c r="R20" s="704"/>
      <c r="S20" s="705"/>
      <c r="T20" s="704"/>
      <c r="U20" s="705"/>
      <c r="V20" s="704"/>
      <c r="W20" s="705"/>
      <c r="X20" s="1353"/>
      <c r="Y20" s="3749"/>
      <c r="Z20" s="1354"/>
      <c r="AA20" s="1351">
        <v>1</v>
      </c>
      <c r="AB20" s="1351">
        <v>1</v>
      </c>
      <c r="AC20" s="1960">
        <v>1</v>
      </c>
    </row>
    <row r="21" spans="1:29" ht="27.6">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56"/>
      <c r="Q21" s="1350" t="str">
        <f>B21</f>
        <v>基础设施水平</v>
      </c>
      <c r="R21" s="704" t="s">
        <v>14</v>
      </c>
      <c r="S21" s="705">
        <f>F21</f>
        <v>100</v>
      </c>
      <c r="T21" s="704" t="s">
        <v>14</v>
      </c>
      <c r="U21" s="705">
        <f>H21</f>
        <v>100</v>
      </c>
      <c r="V21" s="704" t="s">
        <v>14</v>
      </c>
      <c r="W21" s="705">
        <f>J21</f>
        <v>100</v>
      </c>
      <c r="X21" s="1353"/>
      <c r="Y21" s="3749"/>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19"/>
      <c r="M22" s="2713"/>
      <c r="N22" s="2713"/>
      <c r="O22" s="2713"/>
      <c r="P22" s="3756"/>
      <c r="Q22" s="1350"/>
      <c r="R22" s="704"/>
      <c r="S22" s="705"/>
      <c r="T22" s="704"/>
      <c r="U22" s="705"/>
      <c r="V22" s="704"/>
      <c r="W22" s="705"/>
      <c r="X22" s="1353"/>
      <c r="Y22" s="3749"/>
      <c r="Z22" s="1354"/>
      <c r="AA22" s="1351">
        <v>1</v>
      </c>
      <c r="AB22" s="1351">
        <v>1</v>
      </c>
      <c r="AC22" s="1960">
        <v>1</v>
      </c>
    </row>
    <row r="23" spans="1:29" ht="55.2">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56"/>
      <c r="Q23" s="1350" t="str">
        <f>B23</f>
        <v>环境质量</v>
      </c>
      <c r="R23" s="704" t="s">
        <v>14</v>
      </c>
      <c r="S23" s="705">
        <f>F23</f>
        <v>100</v>
      </c>
      <c r="T23" s="704" t="s">
        <v>14</v>
      </c>
      <c r="U23" s="705">
        <f>H23</f>
        <v>100</v>
      </c>
      <c r="V23" s="704" t="s">
        <v>14</v>
      </c>
      <c r="W23" s="705">
        <f>J23</f>
        <v>100</v>
      </c>
      <c r="X23" s="1353"/>
      <c r="Y23" s="3749"/>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756"/>
      <c r="Q24" s="1350"/>
      <c r="R24" s="704"/>
      <c r="S24" s="705"/>
      <c r="T24" s="704"/>
      <c r="U24" s="705"/>
      <c r="V24" s="704"/>
      <c r="W24" s="705"/>
      <c r="X24" s="1353"/>
      <c r="Y24" s="3749"/>
      <c r="Z24" s="1354"/>
      <c r="AA24" s="1351">
        <v>1</v>
      </c>
      <c r="AB24" s="1351">
        <v>1</v>
      </c>
      <c r="AC24" s="1960">
        <v>1</v>
      </c>
    </row>
    <row r="25" spans="1:29" ht="28.8">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756"/>
      <c r="Q25" s="1350" t="str">
        <f>B25</f>
        <v>毗邻道路的类型与等级</v>
      </c>
      <c r="R25" s="704" t="s">
        <v>14</v>
      </c>
      <c r="S25" s="705">
        <f>F25</f>
        <v>100</v>
      </c>
      <c r="T25" s="704" t="s">
        <v>14</v>
      </c>
      <c r="U25" s="705">
        <f>H25</f>
        <v>100</v>
      </c>
      <c r="V25" s="704" t="s">
        <v>14</v>
      </c>
      <c r="W25" s="705">
        <f>J25</f>
        <v>100</v>
      </c>
      <c r="X25" s="1353"/>
      <c r="Y25" s="3749"/>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756"/>
      <c r="Q26" s="1350"/>
      <c r="R26" s="704"/>
      <c r="S26" s="705"/>
      <c r="T26" s="704"/>
      <c r="U26" s="705"/>
      <c r="V26" s="704"/>
      <c r="W26" s="705"/>
      <c r="X26" s="1353"/>
      <c r="Y26" s="3749"/>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56"/>
      <c r="Q27" s="1350" t="str">
        <f t="shared" ref="Q27:Q47" si="11">B27</f>
        <v>楼层</v>
      </c>
      <c r="R27" s="704" t="s">
        <v>14</v>
      </c>
      <c r="S27" s="705">
        <f>F27</f>
        <v>100</v>
      </c>
      <c r="T27" s="704" t="s">
        <v>14</v>
      </c>
      <c r="U27" s="705">
        <f>H27</f>
        <v>100</v>
      </c>
      <c r="V27" s="704" t="s">
        <v>14</v>
      </c>
      <c r="W27" s="705">
        <f>J27</f>
        <v>100</v>
      </c>
      <c r="X27" s="1353"/>
      <c r="Y27" s="3749"/>
      <c r="Z27" s="1354" t="str">
        <f>Q27</f>
        <v>楼层</v>
      </c>
      <c r="AA27" s="1351">
        <f t="shared" si="3"/>
        <v>1</v>
      </c>
      <c r="AB27" s="1351">
        <f t="shared" si="4"/>
        <v>1</v>
      </c>
      <c r="AC27" s="1960">
        <f t="shared" si="5"/>
        <v>1</v>
      </c>
    </row>
    <row r="28" spans="1:29" s="108"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756"/>
      <c r="Q28" s="1341" t="str">
        <f t="shared" si="11"/>
        <v>朝向</v>
      </c>
      <c r="R28" s="700" t="s">
        <v>14</v>
      </c>
      <c r="S28" s="701">
        <f>F28</f>
        <v>100</v>
      </c>
      <c r="T28" s="700" t="s">
        <v>14</v>
      </c>
      <c r="U28" s="701">
        <f>H28</f>
        <v>100</v>
      </c>
      <c r="V28" s="700" t="s">
        <v>14</v>
      </c>
      <c r="W28" s="701">
        <f>J28</f>
        <v>100</v>
      </c>
      <c r="X28" s="702"/>
      <c r="Y28" s="3749"/>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756"/>
      <c r="Q29" s="1350">
        <f t="shared" si="11"/>
        <v>111</v>
      </c>
      <c r="R29" s="704" t="s">
        <v>14</v>
      </c>
      <c r="S29" s="705">
        <f t="shared" ref="S29:S47" si="12">F29</f>
        <v>100</v>
      </c>
      <c r="T29" s="704" t="s">
        <v>14</v>
      </c>
      <c r="U29" s="705">
        <f t="shared" ref="U29:U47" si="13">H29</f>
        <v>100</v>
      </c>
      <c r="V29" s="704" t="s">
        <v>14</v>
      </c>
      <c r="W29" s="705">
        <f t="shared" ref="W29:W47" si="14">J29</f>
        <v>100</v>
      </c>
      <c r="X29" s="1353"/>
      <c r="Y29" s="3749"/>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756"/>
      <c r="Q30" s="1350">
        <f t="shared" si="11"/>
        <v>111</v>
      </c>
      <c r="R30" s="704" t="s">
        <v>14</v>
      </c>
      <c r="S30" s="705">
        <f t="shared" si="12"/>
        <v>100</v>
      </c>
      <c r="T30" s="704" t="s">
        <v>14</v>
      </c>
      <c r="U30" s="705">
        <f t="shared" si="13"/>
        <v>100</v>
      </c>
      <c r="V30" s="704" t="s">
        <v>14</v>
      </c>
      <c r="W30" s="705">
        <f t="shared" si="14"/>
        <v>100</v>
      </c>
      <c r="X30" s="1353"/>
      <c r="Y30" s="3749"/>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756"/>
      <c r="Q31" s="1350">
        <f t="shared" si="11"/>
        <v>111</v>
      </c>
      <c r="R31" s="704" t="s">
        <v>14</v>
      </c>
      <c r="S31" s="705">
        <f t="shared" si="12"/>
        <v>100</v>
      </c>
      <c r="T31" s="704" t="s">
        <v>14</v>
      </c>
      <c r="U31" s="705">
        <f t="shared" si="13"/>
        <v>100</v>
      </c>
      <c r="V31" s="704" t="s">
        <v>14</v>
      </c>
      <c r="W31" s="705">
        <f t="shared" si="14"/>
        <v>100</v>
      </c>
      <c r="X31" s="1353"/>
      <c r="Y31" s="3749"/>
      <c r="Z31" s="1354">
        <f t="shared" si="15"/>
        <v>111</v>
      </c>
      <c r="AA31" s="1351">
        <f t="shared" si="3"/>
        <v>1</v>
      </c>
      <c r="AB31" s="1351">
        <f t="shared" si="4"/>
        <v>1</v>
      </c>
      <c r="AC31" s="1960">
        <f t="shared" si="5"/>
        <v>1</v>
      </c>
    </row>
    <row r="32" spans="1:29" ht="15.6"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756"/>
      <c r="Q32" s="1350">
        <f t="shared" si="11"/>
        <v>111</v>
      </c>
      <c r="R32" s="704" t="s">
        <v>14</v>
      </c>
      <c r="S32" s="705">
        <f t="shared" si="12"/>
        <v>100</v>
      </c>
      <c r="T32" s="704" t="s">
        <v>14</v>
      </c>
      <c r="U32" s="705">
        <f t="shared" si="13"/>
        <v>100</v>
      </c>
      <c r="V32" s="704" t="s">
        <v>14</v>
      </c>
      <c r="W32" s="705">
        <f t="shared" si="14"/>
        <v>100</v>
      </c>
      <c r="X32" s="1353"/>
      <c r="Y32" s="3749"/>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750" t="s">
        <v>1696</v>
      </c>
      <c r="Q33" s="1350" t="str">
        <f t="shared" si="11"/>
        <v>建筑类型</v>
      </c>
      <c r="R33" s="704" t="s">
        <v>14</v>
      </c>
      <c r="S33" s="705">
        <f t="shared" si="12"/>
        <v>100</v>
      </c>
      <c r="T33" s="704" t="s">
        <v>14</v>
      </c>
      <c r="U33" s="705">
        <f t="shared" si="13"/>
        <v>100</v>
      </c>
      <c r="V33" s="704" t="s">
        <v>14</v>
      </c>
      <c r="W33" s="705">
        <f t="shared" si="14"/>
        <v>100</v>
      </c>
      <c r="X33" s="1353"/>
      <c r="Y33" s="3753" t="s">
        <v>1696</v>
      </c>
      <c r="Z33" s="1354" t="str">
        <f t="shared" si="15"/>
        <v>建筑类型</v>
      </c>
      <c r="AA33" s="1351">
        <f t="shared" si="3"/>
        <v>1</v>
      </c>
      <c r="AB33" s="1351">
        <f t="shared" si="4"/>
        <v>1</v>
      </c>
      <c r="AC33" s="1960">
        <f t="shared" si="5"/>
        <v>1</v>
      </c>
    </row>
    <row r="34" spans="1:29" s="421" customFormat="1" ht="15">
      <c r="A34" s="418"/>
      <c r="B34" s="374" t="s">
        <v>1697</v>
      </c>
      <c r="C34" s="419"/>
      <c r="D34" s="127">
        <v>100</v>
      </c>
      <c r="E34" s="380"/>
      <c r="F34" s="375" t="e">
        <f>LOOKUP(E34,104:104,105:105)-LOOKUP(C34,104:104,105:105)+100</f>
        <v>#N/A</v>
      </c>
      <c r="G34" s="379"/>
      <c r="H34" s="127" t="e">
        <f>LOOKUP(G34,104:104,105:105)-LOOKUP(C34,104:104,105:105)+100</f>
        <v>#N/A</v>
      </c>
      <c r="I34" s="379"/>
      <c r="J34" s="127" t="e">
        <f>LOOKUP(I34,104:104,105:105)-LOOKUP(C34,104:104,105:105)+100</f>
        <v>#N/A</v>
      </c>
      <c r="K34" s="561"/>
      <c r="L34" s="2718"/>
      <c r="M34" s="2720"/>
      <c r="N34" s="2720"/>
      <c r="O34" s="2720"/>
      <c r="P34" s="3751"/>
      <c r="Q34" s="706" t="str">
        <f t="shared" si="11"/>
        <v>项目建筑规模</v>
      </c>
      <c r="R34" s="707" t="s">
        <v>14</v>
      </c>
      <c r="S34" s="708" t="e">
        <f t="shared" si="12"/>
        <v>#N/A</v>
      </c>
      <c r="T34" s="707" t="s">
        <v>14</v>
      </c>
      <c r="U34" s="708" t="e">
        <f t="shared" si="13"/>
        <v>#N/A</v>
      </c>
      <c r="V34" s="707" t="s">
        <v>14</v>
      </c>
      <c r="W34" s="708" t="e">
        <f t="shared" si="14"/>
        <v>#N/A</v>
      </c>
      <c r="X34" s="709"/>
      <c r="Y34" s="3753"/>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51"/>
      <c r="Q35" s="1350" t="str">
        <f t="shared" si="11"/>
        <v>建筑结构</v>
      </c>
      <c r="R35" s="704" t="s">
        <v>14</v>
      </c>
      <c r="S35" s="705">
        <f t="shared" si="12"/>
        <v>100</v>
      </c>
      <c r="T35" s="704" t="s">
        <v>14</v>
      </c>
      <c r="U35" s="705">
        <f t="shared" si="13"/>
        <v>100</v>
      </c>
      <c r="V35" s="704" t="s">
        <v>14</v>
      </c>
      <c r="W35" s="705">
        <f t="shared" si="14"/>
        <v>100</v>
      </c>
      <c r="X35" s="1353"/>
      <c r="Y35" s="3753"/>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51"/>
      <c r="Q36" s="1350" t="str">
        <f t="shared" si="11"/>
        <v>公共部分装修</v>
      </c>
      <c r="R36" s="704" t="s">
        <v>14</v>
      </c>
      <c r="S36" s="705">
        <f t="shared" si="12"/>
        <v>100</v>
      </c>
      <c r="T36" s="704" t="s">
        <v>14</v>
      </c>
      <c r="U36" s="705">
        <f t="shared" si="13"/>
        <v>100</v>
      </c>
      <c r="V36" s="704" t="s">
        <v>14</v>
      </c>
      <c r="W36" s="705">
        <f t="shared" si="14"/>
        <v>100</v>
      </c>
      <c r="X36" s="1353"/>
      <c r="Y36" s="3753"/>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51"/>
      <c r="Q37" s="1350" t="str">
        <f t="shared" si="11"/>
        <v>成新度</v>
      </c>
      <c r="R37" s="704" t="s">
        <v>14</v>
      </c>
      <c r="S37" s="705" t="e">
        <f t="shared" si="12"/>
        <v>#N/A</v>
      </c>
      <c r="T37" s="704" t="s">
        <v>14</v>
      </c>
      <c r="U37" s="705" t="e">
        <f t="shared" si="13"/>
        <v>#N/A</v>
      </c>
      <c r="V37" s="704" t="s">
        <v>14</v>
      </c>
      <c r="W37" s="705" t="e">
        <f t="shared" si="14"/>
        <v>#N/A</v>
      </c>
      <c r="X37" s="1353"/>
      <c r="Y37" s="3753"/>
      <c r="Z37" s="1354" t="str">
        <f t="shared" si="15"/>
        <v>成新度</v>
      </c>
      <c r="AA37" s="1351" t="e">
        <f t="shared" si="3"/>
        <v>#N/A</v>
      </c>
      <c r="AB37" s="1351" t="e">
        <f t="shared" si="4"/>
        <v>#N/A</v>
      </c>
      <c r="AC37" s="1960" t="e">
        <f t="shared" si="5"/>
        <v>#N/A</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51"/>
      <c r="Q38" s="1341" t="str">
        <f t="shared" si="11"/>
        <v>写字楼等级</v>
      </c>
      <c r="R38" s="700" t="s">
        <v>14</v>
      </c>
      <c r="S38" s="701">
        <f t="shared" si="12"/>
        <v>100</v>
      </c>
      <c r="T38" s="700" t="s">
        <v>14</v>
      </c>
      <c r="U38" s="701">
        <f t="shared" si="13"/>
        <v>100</v>
      </c>
      <c r="V38" s="700" t="s">
        <v>14</v>
      </c>
      <c r="W38" s="701">
        <f t="shared" si="14"/>
        <v>100</v>
      </c>
      <c r="X38" s="702"/>
      <c r="Y38" s="3753"/>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51" t="s">
        <v>1696</v>
      </c>
      <c r="Q39" s="1350" t="str">
        <f t="shared" si="11"/>
        <v>物业管理</v>
      </c>
      <c r="R39" s="704" t="s">
        <v>14</v>
      </c>
      <c r="S39" s="705">
        <f t="shared" si="12"/>
        <v>100</v>
      </c>
      <c r="T39" s="704" t="s">
        <v>14</v>
      </c>
      <c r="U39" s="705">
        <f t="shared" si="13"/>
        <v>100</v>
      </c>
      <c r="V39" s="704" t="s">
        <v>14</v>
      </c>
      <c r="W39" s="705">
        <f t="shared" si="14"/>
        <v>100</v>
      </c>
      <c r="X39" s="1353"/>
      <c r="Y39" s="3753"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51"/>
      <c r="Q40" s="1350" t="str">
        <f t="shared" si="11"/>
        <v>市政基础设施</v>
      </c>
      <c r="R40" s="704" t="s">
        <v>14</v>
      </c>
      <c r="S40" s="705">
        <f t="shared" si="12"/>
        <v>100</v>
      </c>
      <c r="T40" s="704" t="s">
        <v>14</v>
      </c>
      <c r="U40" s="705">
        <f t="shared" si="13"/>
        <v>100</v>
      </c>
      <c r="V40" s="704" t="s">
        <v>14</v>
      </c>
      <c r="W40" s="705">
        <f t="shared" si="14"/>
        <v>100</v>
      </c>
      <c r="X40" s="1353"/>
      <c r="Y40" s="3753"/>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51"/>
      <c r="Q41" s="1350" t="str">
        <f t="shared" si="11"/>
        <v>层高</v>
      </c>
      <c r="R41" s="704" t="s">
        <v>14</v>
      </c>
      <c r="S41" s="705">
        <f t="shared" si="12"/>
        <v>100</v>
      </c>
      <c r="T41" s="704" t="s">
        <v>14</v>
      </c>
      <c r="U41" s="705">
        <f t="shared" si="13"/>
        <v>100</v>
      </c>
      <c r="V41" s="704" t="s">
        <v>14</v>
      </c>
      <c r="W41" s="705">
        <f t="shared" si="14"/>
        <v>100</v>
      </c>
      <c r="X41" s="1353"/>
      <c r="Y41" s="3753"/>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51"/>
      <c r="Q42" s="706" t="str">
        <f t="shared" si="11"/>
        <v>单套建筑面积</v>
      </c>
      <c r="R42" s="707" t="s">
        <v>14</v>
      </c>
      <c r="S42" s="708">
        <f t="shared" si="12"/>
        <v>100</v>
      </c>
      <c r="T42" s="707" t="s">
        <v>14</v>
      </c>
      <c r="U42" s="708">
        <f t="shared" si="13"/>
        <v>100</v>
      </c>
      <c r="V42" s="707" t="s">
        <v>14</v>
      </c>
      <c r="W42" s="708">
        <f t="shared" si="14"/>
        <v>100</v>
      </c>
      <c r="X42" s="709"/>
      <c r="Y42" s="3753"/>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51"/>
      <c r="Q43" s="1350" t="str">
        <f t="shared" si="11"/>
        <v>内部装修</v>
      </c>
      <c r="R43" s="704" t="s">
        <v>14</v>
      </c>
      <c r="S43" s="705">
        <f t="shared" si="12"/>
        <v>100</v>
      </c>
      <c r="T43" s="704" t="s">
        <v>14</v>
      </c>
      <c r="U43" s="705">
        <f t="shared" si="13"/>
        <v>100</v>
      </c>
      <c r="V43" s="704" t="s">
        <v>14</v>
      </c>
      <c r="W43" s="705">
        <f t="shared" si="14"/>
        <v>100</v>
      </c>
      <c r="X43" s="1353"/>
      <c r="Y43" s="3753"/>
      <c r="Z43" s="1354" t="str">
        <f t="shared" si="15"/>
        <v>内部装修</v>
      </c>
      <c r="AA43" s="1351">
        <f t="shared" si="3"/>
        <v>1</v>
      </c>
      <c r="AB43" s="1351">
        <f t="shared" si="4"/>
        <v>1</v>
      </c>
      <c r="AC43" s="1960">
        <f t="shared" si="5"/>
        <v>1</v>
      </c>
    </row>
    <row r="44" spans="1:29" ht="28.8">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751"/>
      <c r="Q44" s="1350" t="str">
        <f t="shared" si="11"/>
        <v>内部装修维护情况</v>
      </c>
      <c r="R44" s="704" t="s">
        <v>14</v>
      </c>
      <c r="S44" s="705">
        <f t="shared" si="12"/>
        <v>100</v>
      </c>
      <c r="T44" s="704" t="s">
        <v>14</v>
      </c>
      <c r="U44" s="705">
        <f t="shared" si="13"/>
        <v>100</v>
      </c>
      <c r="V44" s="704" t="s">
        <v>14</v>
      </c>
      <c r="W44" s="705">
        <f t="shared" si="14"/>
        <v>100</v>
      </c>
      <c r="X44" s="1353"/>
      <c r="Y44" s="3753"/>
      <c r="Z44" s="1354" t="str">
        <f t="shared" si="15"/>
        <v>内部装修维护情况</v>
      </c>
      <c r="AA44" s="1351">
        <f t="shared" si="3"/>
        <v>1</v>
      </c>
      <c r="AB44" s="1351">
        <f t="shared" si="4"/>
        <v>1</v>
      </c>
      <c r="AC44" s="1960">
        <f t="shared" si="5"/>
        <v>1</v>
      </c>
    </row>
    <row r="45" spans="1:29" s="108" customFormat="1" ht="15">
      <c r="A45" s="423"/>
      <c r="B45" s="1131">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714"/>
      <c r="M45" s="2715"/>
      <c r="N45" s="2715"/>
      <c r="O45" s="2715"/>
      <c r="P45" s="3751"/>
      <c r="Q45" s="1341">
        <f t="shared" si="11"/>
        <v>111</v>
      </c>
      <c r="R45" s="700" t="s">
        <v>14</v>
      </c>
      <c r="S45" s="701">
        <f t="shared" si="12"/>
        <v>100</v>
      </c>
      <c r="T45" s="700" t="s">
        <v>14</v>
      </c>
      <c r="U45" s="701">
        <f t="shared" si="13"/>
        <v>100</v>
      </c>
      <c r="V45" s="700" t="s">
        <v>14</v>
      </c>
      <c r="W45" s="701">
        <f t="shared" si="14"/>
        <v>100</v>
      </c>
      <c r="X45" s="702"/>
      <c r="Y45" s="3753"/>
      <c r="Z45" s="52">
        <f t="shared" si="15"/>
        <v>111</v>
      </c>
      <c r="AA45" s="703">
        <f t="shared" si="3"/>
        <v>1</v>
      </c>
      <c r="AB45" s="703">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51"/>
      <c r="Q46" s="1350">
        <f t="shared" si="11"/>
        <v>111</v>
      </c>
      <c r="R46" s="704" t="s">
        <v>14</v>
      </c>
      <c r="S46" s="705">
        <f t="shared" si="12"/>
        <v>100</v>
      </c>
      <c r="T46" s="704" t="s">
        <v>14</v>
      </c>
      <c r="U46" s="705">
        <f t="shared" si="13"/>
        <v>100</v>
      </c>
      <c r="V46" s="704" t="s">
        <v>14</v>
      </c>
      <c r="W46" s="705">
        <f t="shared" si="14"/>
        <v>100</v>
      </c>
      <c r="X46" s="1353"/>
      <c r="Y46" s="3753"/>
      <c r="Z46" s="1354">
        <f t="shared" si="15"/>
        <v>111</v>
      </c>
      <c r="AA46" s="1351">
        <f t="shared" si="3"/>
        <v>1</v>
      </c>
      <c r="AB46" s="1351">
        <f t="shared" si="4"/>
        <v>1</v>
      </c>
      <c r="AC46" s="1960">
        <f t="shared" si="5"/>
        <v>1</v>
      </c>
    </row>
    <row r="47" spans="1:29" ht="15.6"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52"/>
      <c r="Q47" s="1350">
        <f t="shared" si="11"/>
        <v>111</v>
      </c>
      <c r="R47" s="704" t="s">
        <v>14</v>
      </c>
      <c r="S47" s="705">
        <f t="shared" si="12"/>
        <v>100</v>
      </c>
      <c r="T47" s="704" t="s">
        <v>14</v>
      </c>
      <c r="U47" s="705">
        <f t="shared" si="13"/>
        <v>100</v>
      </c>
      <c r="V47" s="704" t="s">
        <v>14</v>
      </c>
      <c r="W47" s="705">
        <f t="shared" si="14"/>
        <v>100</v>
      </c>
      <c r="X47" s="1353"/>
      <c r="Y47" s="3754"/>
      <c r="Z47" s="1354">
        <f t="shared" si="15"/>
        <v>111</v>
      </c>
      <c r="AA47" s="1351">
        <f t="shared" si="3"/>
        <v>1</v>
      </c>
      <c r="AB47" s="1351">
        <f t="shared" si="4"/>
        <v>1</v>
      </c>
      <c r="AC47" s="1960">
        <f t="shared" si="5"/>
        <v>1</v>
      </c>
    </row>
    <row r="48" spans="1:29" ht="14.4">
      <c r="A48" s="429" t="s">
        <v>1708</v>
      </c>
      <c r="B48" s="430"/>
      <c r="C48" s="1152" t="s">
        <v>0</v>
      </c>
      <c r="D48" s="1153"/>
      <c r="E48" s="1154"/>
      <c r="F48" s="1155"/>
      <c r="G48" s="1156"/>
      <c r="H48" s="1157"/>
      <c r="I48" s="1154"/>
      <c r="J48" s="435"/>
      <c r="K48" s="713"/>
      <c r="L48" s="2721"/>
      <c r="M48" s="2713"/>
      <c r="N48" s="2713"/>
      <c r="O48" s="2713"/>
      <c r="P48" s="3757" t="str">
        <f>A48</f>
        <v>成交单价（元/平方米）</v>
      </c>
      <c r="Q48" s="3746"/>
      <c r="R48" s="3747">
        <f>E48</f>
        <v>0</v>
      </c>
      <c r="S48" s="3747"/>
      <c r="T48" s="3747">
        <f>G48</f>
        <v>0</v>
      </c>
      <c r="U48" s="3747"/>
      <c r="V48" s="3747">
        <f>I48</f>
        <v>0</v>
      </c>
      <c r="W48" s="3747"/>
      <c r="X48" s="396"/>
      <c r="Y48" s="711"/>
      <c r="Z48" s="396"/>
      <c r="AA48" s="396"/>
      <c r="AB48" s="396"/>
      <c r="AC48" s="577"/>
    </row>
    <row r="49" spans="1:29" ht="15" thickBot="1">
      <c r="A49" s="436" t="s">
        <v>1793</v>
      </c>
      <c r="B49" s="437"/>
      <c r="C49" s="1158" t="e">
        <f>R50</f>
        <v>#DIV/0!</v>
      </c>
      <c r="D49" s="2314" t="s">
        <v>2135</v>
      </c>
      <c r="E49" s="1159" t="e">
        <f>R49</f>
        <v>#DIV/0!</v>
      </c>
      <c r="F49" s="2315"/>
      <c r="G49" s="1158" t="e">
        <f>T49</f>
        <v>#DIV/0!</v>
      </c>
      <c r="H49" s="2315"/>
      <c r="I49" s="1159" t="e">
        <f>V49</f>
        <v>#DIV/0!</v>
      </c>
      <c r="J49" s="2315"/>
      <c r="K49" s="2317">
        <f>F49+H49+J49</f>
        <v>0</v>
      </c>
      <c r="L49" s="2721"/>
      <c r="M49" s="2713"/>
      <c r="N49" s="2713"/>
      <c r="O49" s="2713"/>
      <c r="P49" s="3757" t="str">
        <f>A49</f>
        <v>比较价值（元/平方米）</v>
      </c>
      <c r="Q49" s="3746"/>
      <c r="R49" s="3747" t="e">
        <f>IF(F1="售价",ROUND(PRODUCT(R48,AA7:AA47),0),ROUND(PRODUCT(R48,AA7:AA47),1))</f>
        <v>#DIV/0!</v>
      </c>
      <c r="S49" s="3747"/>
      <c r="T49" s="3747" t="e">
        <f>IF(F1="售价",ROUND(PRODUCT(T48,AB7:AB47),0),ROUND(PRODUCT(T48,AB7:AB47),1))</f>
        <v>#DIV/0!</v>
      </c>
      <c r="U49" s="3747"/>
      <c r="V49" s="3747" t="e">
        <f>IF(F1="售价",ROUND(PRODUCT(V48,AC7:AC47),0),ROUND(PRODUCT(V48,AC7:AC47),1))</f>
        <v>#DIV/0!</v>
      </c>
      <c r="W49" s="3747"/>
      <c r="X49" s="396"/>
      <c r="Y49" s="396"/>
      <c r="Z49" s="396"/>
      <c r="AA49" s="396"/>
      <c r="AB49" s="396"/>
      <c r="AC49" s="577"/>
    </row>
    <row r="50" spans="1:29" ht="15" thickBot="1">
      <c r="A50" s="440" t="s">
        <v>1794</v>
      </c>
      <c r="B50" s="441"/>
      <c r="C50" s="1161" t="e">
        <f>R50</f>
        <v>#DIV/0!</v>
      </c>
      <c r="D50" s="1161"/>
      <c r="E50" s="1161"/>
      <c r="F50" s="1161"/>
      <c r="G50" s="1161"/>
      <c r="H50" s="1161"/>
      <c r="I50" s="1161"/>
      <c r="J50" s="442"/>
      <c r="K50" s="714"/>
      <c r="L50" s="2721"/>
      <c r="M50" s="2713"/>
      <c r="N50" s="2713"/>
      <c r="O50" s="2713"/>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3" t="s">
        <v>1798</v>
      </c>
      <c r="B58" s="689"/>
      <c r="C58" s="694"/>
      <c r="D58" s="694"/>
      <c r="E58" s="694"/>
      <c r="F58" s="695"/>
      <c r="G58" s="695"/>
      <c r="H58" s="694"/>
      <c r="I58" s="694"/>
      <c r="J58" s="694"/>
      <c r="K58" s="696"/>
      <c r="L58" s="940"/>
      <c r="M58" s="938"/>
      <c r="N58" s="2766"/>
      <c r="O58" s="2766"/>
      <c r="P58" s="2755"/>
      <c r="Q58" s="2736"/>
      <c r="R58" s="2722"/>
      <c r="S58" s="2722"/>
      <c r="T58" s="2722"/>
      <c r="U58" s="2722"/>
      <c r="V58" s="2722"/>
      <c r="W58" s="2722"/>
      <c r="X58" s="2722"/>
      <c r="Y58" s="2722"/>
      <c r="Z58" s="2722"/>
      <c r="AA58" s="2722"/>
      <c r="AB58" s="2722"/>
      <c r="AC58" s="2722"/>
    </row>
    <row r="59" spans="1:29" s="456" customFormat="1" ht="14.4">
      <c r="A59" s="453" t="s">
        <v>1679</v>
      </c>
      <c r="B59" s="454"/>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6"/>
      <c r="Q59" s="2738"/>
      <c r="R59" s="2738"/>
      <c r="S59" s="2738"/>
      <c r="T59" s="2738"/>
      <c r="U59" s="2738"/>
      <c r="V59" s="2738"/>
      <c r="W59" s="2738"/>
      <c r="X59" s="2738"/>
      <c r="Y59" s="2738"/>
      <c r="Z59" s="2738"/>
      <c r="AA59" s="2738"/>
      <c r="AB59" s="2738"/>
      <c r="AC59" s="2738"/>
    </row>
    <row r="60" spans="1:29" s="108" customFormat="1">
      <c r="A60" s="457"/>
      <c r="B60" s="458"/>
      <c r="C60" s="1181">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4.4">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4.4"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ht="14.4">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4.4"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9.4"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4.4"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4.4"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4.4"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4.4"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4.4"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4.4"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4.4"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ht="14.4">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 thickTop="1">
      <c r="A83" s="482"/>
      <c r="B83" s="494" t="s">
        <v>1813</v>
      </c>
      <c r="C83" s="607" t="s">
        <v>1799</v>
      </c>
      <c r="D83" s="607" t="s">
        <v>1800</v>
      </c>
      <c r="E83" s="607" t="s">
        <v>1801</v>
      </c>
      <c r="F83" s="607" t="s">
        <v>1802</v>
      </c>
      <c r="G83" s="607" t="s">
        <v>1803</v>
      </c>
      <c r="H83" s="487"/>
      <c r="I83" s="487"/>
      <c r="J83" s="487"/>
      <c r="K83" s="487"/>
      <c r="L83" s="487"/>
      <c r="M83" s="1127"/>
      <c r="N83" s="2751"/>
      <c r="O83" s="2751"/>
      <c r="P83" s="2759"/>
      <c r="Q83" s="2736"/>
      <c r="R83" s="2722"/>
      <c r="S83" s="2722"/>
      <c r="T83" s="2722"/>
      <c r="U83" s="2722"/>
      <c r="V83" s="2722"/>
      <c r="W83" s="2722"/>
      <c r="X83" s="2722"/>
      <c r="Y83" s="2722"/>
      <c r="Z83" s="2722"/>
      <c r="AA83" s="2722"/>
      <c r="AB83" s="2722"/>
      <c r="AC83" s="2722"/>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9.4"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7"/>
      <c r="B89" s="486" t="str">
        <f>B27</f>
        <v>楼层</v>
      </c>
      <c r="C89" s="502"/>
      <c r="D89" s="502"/>
      <c r="E89" s="502"/>
      <c r="F89" s="1925"/>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4.4"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4.4"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4.4"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4.4"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4.4"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4.4" thickBot="1">
      <c r="A100" s="1926"/>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ht="14.4">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4.4"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4.4"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4.4"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4.4"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4.4"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4.4"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4.4"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4.4" thickBot="1">
      <c r="A132" s="1926"/>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受贵公司委托，我公司对北京市房地产市场价值进行了预评估。</v>
      </c>
    </row>
    <row r="5" spans="1:1" ht="17.399999999999999">
      <c r="A5" s="1479" t="s">
        <v>899</v>
      </c>
    </row>
    <row r="6" spans="1:1" ht="17.399999999999999">
      <c r="A6" s="1480" t="s">
        <v>900</v>
      </c>
    </row>
    <row r="7" spans="1:1" ht="17.399999999999999">
      <c r="A7" s="14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1" t="s">
        <v>901</v>
      </c>
    </row>
    <row r="9" spans="1:1" ht="17.399999999999999">
      <c r="A9" s="1480" t="s">
        <v>902</v>
      </c>
    </row>
    <row r="10" spans="1:1" ht="17.399999999999999">
      <c r="A10" s="14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1" t="s">
        <v>903</v>
      </c>
    </row>
    <row r="12" spans="1:1" ht="17.399999999999999">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7.399999999999999">
      <c r="A14" s="1483" t="s">
        <v>905</v>
      </c>
    </row>
    <row r="15" spans="1:1" ht="17.399999999999999">
      <c r="A15" s="1484" t="str">
        <f>TEXT(项目基本情况!D3,"yyyy年m月d日;;")&amp;IF(项目基本情况!D3=项目基本情况!B3,"（评估专业人员实地查勘之日）","")</f>
        <v>2025年8月13日（评估专业人员实地查勘之日）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8" t="str">
        <f>IF(项目基本情况!B9="房地产市场价值","——",IF(项目基本情况!E8="房地产抵押价值",定义!C54,IF(项目基本情况!E8="已注销",定义!C55,定义!C56)))</f>
        <v>——</v>
      </c>
    </row>
    <row r="21" spans="1:1" ht="17.399999999999999">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8" t="str">
        <f>IF(项目基本情况!B9="房地产市场价值","——",IF(项目基本情况!E9="——","",定义!C57))</f>
        <v>——</v>
      </c>
    </row>
    <row r="23" spans="1:1" ht="17.399999999999999">
      <c r="A23" s="1483" t="s">
        <v>896</v>
      </c>
    </row>
    <row r="24" spans="1:1" ht="17.399999999999999">
      <c r="A24" s="1485" t="str">
        <f>"本次评估采用的主估价方法为"&amp;结果表!K4&amp;"和"&amp;结果表!L4&amp;"。"</f>
        <v>本次评估采用的主估价方法为成本法和比较法。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1826</v>
      </c>
      <c r="C1" s="1222" t="s">
        <v>1662</v>
      </c>
      <c r="D1" s="1223"/>
      <c r="E1" s="3424"/>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10.32</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4.4">
      <c r="A4" s="354" t="s">
        <v>1769</v>
      </c>
      <c r="B4" s="355"/>
      <c r="C4" s="3761" t="s">
        <v>1770</v>
      </c>
      <c r="D4" s="3762"/>
      <c r="E4" s="3763" t="s">
        <v>1771</v>
      </c>
      <c r="F4" s="3764"/>
      <c r="G4" s="3761" t="s">
        <v>1772</v>
      </c>
      <c r="H4" s="3762"/>
      <c r="I4" s="3761" t="s">
        <v>1773</v>
      </c>
      <c r="J4" s="3762"/>
      <c r="K4" s="558" t="s">
        <v>1774</v>
      </c>
      <c r="L4" s="911"/>
      <c r="M4" s="912"/>
      <c r="N4" s="912"/>
      <c r="O4" s="912"/>
      <c r="P4" s="3765" t="s">
        <v>1775</v>
      </c>
      <c r="Q4" s="3766"/>
      <c r="R4" s="3771" t="s">
        <v>1771</v>
      </c>
      <c r="S4" s="3772"/>
      <c r="T4" s="3771" t="s">
        <v>1772</v>
      </c>
      <c r="U4" s="3772"/>
      <c r="V4" s="3777" t="s">
        <v>1773</v>
      </c>
      <c r="W4" s="3777"/>
      <c r="X4" s="1353"/>
      <c r="Y4" s="3771" t="s">
        <v>1775</v>
      </c>
      <c r="Z4" s="3772"/>
      <c r="AA4" s="3758" t="s">
        <v>1771</v>
      </c>
      <c r="AB4" s="3759" t="s">
        <v>1772</v>
      </c>
      <c r="AC4" s="3758" t="s">
        <v>1773</v>
      </c>
    </row>
    <row r="5" spans="1:29">
      <c r="A5" s="357"/>
      <c r="B5" s="358"/>
      <c r="C5" s="3780" t="s">
        <v>1673</v>
      </c>
      <c r="D5" s="3781"/>
      <c r="E5" s="3787" t="s">
        <v>1674</v>
      </c>
      <c r="F5" s="3788"/>
      <c r="G5" s="3780" t="s">
        <v>1675</v>
      </c>
      <c r="H5" s="3781"/>
      <c r="I5" s="3780" t="s">
        <v>1676</v>
      </c>
      <c r="J5" s="3781"/>
      <c r="K5" s="558"/>
      <c r="L5" s="911"/>
      <c r="M5" s="912"/>
      <c r="N5" s="912"/>
      <c r="O5" s="912"/>
      <c r="P5" s="3767"/>
      <c r="Q5" s="3768"/>
      <c r="R5" s="3773"/>
      <c r="S5" s="3774"/>
      <c r="T5" s="3773"/>
      <c r="U5" s="3774"/>
      <c r="V5" s="3777"/>
      <c r="W5" s="3777"/>
      <c r="X5" s="1353"/>
      <c r="Y5" s="3773"/>
      <c r="Z5" s="3774"/>
      <c r="AA5" s="3759"/>
      <c r="AB5" s="3759"/>
      <c r="AC5" s="3759"/>
    </row>
    <row r="6" spans="1:29" ht="15" thickBot="1">
      <c r="A6" s="359"/>
      <c r="B6" s="360"/>
      <c r="C6" s="3778" t="s">
        <v>1677</v>
      </c>
      <c r="D6" s="3779"/>
      <c r="E6" s="3785" t="s">
        <v>1677</v>
      </c>
      <c r="F6" s="3786"/>
      <c r="G6" s="3778" t="s">
        <v>1677</v>
      </c>
      <c r="H6" s="3779"/>
      <c r="I6" s="3778" t="s">
        <v>1677</v>
      </c>
      <c r="J6" s="3779"/>
      <c r="K6" s="558" t="s">
        <v>1678</v>
      </c>
      <c r="L6" s="911"/>
      <c r="M6" s="912"/>
      <c r="N6" s="912"/>
      <c r="O6" s="912"/>
      <c r="P6" s="3769"/>
      <c r="Q6" s="3770"/>
      <c r="R6" s="3773"/>
      <c r="S6" s="3774"/>
      <c r="T6" s="3775"/>
      <c r="U6" s="3776"/>
      <c r="V6" s="3777"/>
      <c r="W6" s="3777"/>
      <c r="X6" s="1353"/>
      <c r="Y6" s="3775"/>
      <c r="Z6" s="3776"/>
      <c r="AA6" s="3760"/>
      <c r="AB6" s="3760"/>
      <c r="AC6" s="3760"/>
    </row>
    <row r="7" spans="1:29" s="108" customFormat="1" ht="15" thickBot="1">
      <c r="A7" s="361" t="s">
        <v>1679</v>
      </c>
      <c r="B7" s="362"/>
      <c r="C7" s="363">
        <f>'数据-取费表'!B2</f>
        <v>45882</v>
      </c>
      <c r="D7" s="364">
        <v>100</v>
      </c>
      <c r="E7" s="365"/>
      <c r="F7" s="366">
        <f>SUMIF(52:52,YEAR(E7)&amp;"-"&amp;MONTH(E7),53:53)</f>
        <v>0</v>
      </c>
      <c r="G7" s="365"/>
      <c r="H7" s="364">
        <f>SUMIF(52:52,YEAR(G7)&amp;"-"&amp;MONTH(G7),53:53)</f>
        <v>0</v>
      </c>
      <c r="I7" s="365"/>
      <c r="J7" s="364">
        <f>SUMIF(52:52,YEAR(I7)&amp;"-"&amp;MONTH(I7),53:53)</f>
        <v>0</v>
      </c>
      <c r="K7" s="559"/>
      <c r="L7" s="913"/>
      <c r="M7" s="914"/>
      <c r="N7" s="914"/>
      <c r="O7" s="914"/>
      <c r="P7" s="3782" t="s">
        <v>1680</v>
      </c>
      <c r="Q7" s="3784"/>
      <c r="R7" s="700" t="s">
        <v>14</v>
      </c>
      <c r="S7" s="701">
        <f t="shared" ref="S7:S15" si="0">F7</f>
        <v>0</v>
      </c>
      <c r="T7" s="700" t="s">
        <v>14</v>
      </c>
      <c r="U7" s="701">
        <f t="shared" ref="U7:U15" si="1">H7</f>
        <v>0</v>
      </c>
      <c r="V7" s="700" t="s">
        <v>14</v>
      </c>
      <c r="W7" s="701">
        <f t="shared" ref="W7:W15" si="2">J7</f>
        <v>0</v>
      </c>
      <c r="X7" s="702"/>
      <c r="Y7" s="3782" t="s">
        <v>1680</v>
      </c>
      <c r="Z7" s="3783"/>
      <c r="AA7" s="703" t="e">
        <f>D7/F7</f>
        <v>#DIV/0!</v>
      </c>
      <c r="AB7" s="703" t="e">
        <f>D7/H7</f>
        <v>#DIV/0!</v>
      </c>
      <c r="AC7" s="703"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82" t="s">
        <v>1683</v>
      </c>
      <c r="Q8" s="3783"/>
      <c r="R8" s="700" t="s">
        <v>14</v>
      </c>
      <c r="S8" s="701">
        <f t="shared" si="0"/>
        <v>100</v>
      </c>
      <c r="T8" s="700" t="s">
        <v>14</v>
      </c>
      <c r="U8" s="701">
        <f t="shared" si="1"/>
        <v>100</v>
      </c>
      <c r="V8" s="700" t="s">
        <v>14</v>
      </c>
      <c r="W8" s="701">
        <f t="shared" si="2"/>
        <v>100</v>
      </c>
      <c r="X8" s="702"/>
      <c r="Y8" s="3782" t="s">
        <v>1683</v>
      </c>
      <c r="Z8" s="3783"/>
      <c r="AA8" s="703">
        <f t="shared" ref="AA8:AA40" si="3">D8/F8</f>
        <v>1</v>
      </c>
      <c r="AB8" s="703">
        <f t="shared" ref="AB8:AB40" si="4">D8/H8</f>
        <v>1</v>
      </c>
      <c r="AC8" s="703">
        <f t="shared" ref="AC8:AC40" si="5">D8/J8</f>
        <v>1</v>
      </c>
    </row>
    <row r="9" spans="1:29" s="108" customFormat="1" ht="14.4">
      <c r="A9" s="368" t="s">
        <v>1684</v>
      </c>
      <c r="B9" s="63" t="s">
        <v>1685</v>
      </c>
      <c r="C9" s="369"/>
      <c r="D9" s="126">
        <v>100</v>
      </c>
      <c r="E9" s="372"/>
      <c r="F9" s="126">
        <f>SUMIF(57:57,E9,58:58)-SUMIF(57:57,C9,58:58)+100</f>
        <v>100</v>
      </c>
      <c r="G9" s="370"/>
      <c r="H9" s="126">
        <f>SUMIF(57:57,G9,58:58)-SUMIF(57:57,C9,58:58)+100</f>
        <v>100</v>
      </c>
      <c r="I9" s="370"/>
      <c r="J9" s="126">
        <f>SUMIF(57:57,I9,58:58)-SUMIF(57:57,C9,58:58)+100</f>
        <v>100</v>
      </c>
      <c r="K9" s="559"/>
      <c r="L9" s="913"/>
      <c r="M9" s="914"/>
      <c r="N9" s="914"/>
      <c r="O9" s="915"/>
      <c r="P9" s="3746" t="s">
        <v>1686</v>
      </c>
      <c r="Q9" s="1341" t="str">
        <f t="shared" ref="Q9:Q15" si="6">B9</f>
        <v>用途</v>
      </c>
      <c r="R9" s="700" t="s">
        <v>14</v>
      </c>
      <c r="S9" s="701">
        <f t="shared" si="0"/>
        <v>100</v>
      </c>
      <c r="T9" s="700" t="s">
        <v>14</v>
      </c>
      <c r="U9" s="701">
        <f t="shared" si="1"/>
        <v>100</v>
      </c>
      <c r="V9" s="700" t="s">
        <v>14</v>
      </c>
      <c r="W9" s="701">
        <f t="shared" si="2"/>
        <v>100</v>
      </c>
      <c r="X9" s="702"/>
      <c r="Y9" s="3602"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5"/>
      <c r="F10" s="127">
        <f>SUMIF(59:59,E10,60:60)-SUMIF(59:59,C10,60:60)+100</f>
        <v>100</v>
      </c>
      <c r="G10" s="3426"/>
      <c r="H10" s="127">
        <f>SUMIF(59:59,G10,60:60)-SUMIF(59:59,C10,60:60)+100</f>
        <v>100</v>
      </c>
      <c r="I10" s="3425"/>
      <c r="J10" s="127">
        <f>SUMIF(59:59,I10,60:60)-SUMIF(59:59,C10,60:60)+100</f>
        <v>100</v>
      </c>
      <c r="K10" s="559"/>
      <c r="L10" s="916"/>
      <c r="M10" s="917"/>
      <c r="N10" s="917"/>
      <c r="O10" s="918"/>
      <c r="P10" s="3746"/>
      <c r="Q10" s="1341" t="str">
        <f t="shared" si="6"/>
        <v>土地使用年限（年）</v>
      </c>
      <c r="R10" s="700" t="s">
        <v>14</v>
      </c>
      <c r="S10" s="701">
        <f t="shared" si="0"/>
        <v>100</v>
      </c>
      <c r="T10" s="700" t="s">
        <v>14</v>
      </c>
      <c r="U10" s="701">
        <f t="shared" si="1"/>
        <v>100</v>
      </c>
      <c r="V10" s="700" t="s">
        <v>14</v>
      </c>
      <c r="W10" s="701">
        <f t="shared" si="2"/>
        <v>100</v>
      </c>
      <c r="X10" s="702"/>
      <c r="Y10" s="3602"/>
      <c r="Z10" s="52" t="str">
        <f t="shared" si="7"/>
        <v>土地使用年限（年）</v>
      </c>
      <c r="AA10" s="703">
        <f t="shared" si="3"/>
        <v>1</v>
      </c>
      <c r="AB10" s="703">
        <f t="shared" si="4"/>
        <v>1</v>
      </c>
      <c r="AC10" s="703">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60"/>
      <c r="L11" s="919"/>
      <c r="M11" s="912"/>
      <c r="N11" s="912"/>
      <c r="O11" s="920"/>
      <c r="P11" s="3746"/>
      <c r="Q11" s="1341" t="str">
        <f t="shared" si="6"/>
        <v>容积率</v>
      </c>
      <c r="R11" s="700" t="s">
        <v>14</v>
      </c>
      <c r="S11" s="701">
        <f t="shared" si="0"/>
        <v>100</v>
      </c>
      <c r="T11" s="700" t="s">
        <v>14</v>
      </c>
      <c r="U11" s="701">
        <f t="shared" si="1"/>
        <v>100</v>
      </c>
      <c r="V11" s="700" t="s">
        <v>14</v>
      </c>
      <c r="W11" s="701">
        <f t="shared" si="2"/>
        <v>100</v>
      </c>
      <c r="X11" s="702"/>
      <c r="Y11" s="3602"/>
      <c r="Z11" s="52" t="str">
        <f t="shared" si="7"/>
        <v>容积率</v>
      </c>
      <c r="AA11" s="703">
        <f t="shared" si="3"/>
        <v>1</v>
      </c>
      <c r="AB11" s="703">
        <f t="shared" si="4"/>
        <v>1</v>
      </c>
      <c r="AC11" s="703">
        <f t="shared" si="5"/>
        <v>1</v>
      </c>
    </row>
    <row r="12" spans="1:29" s="108" customFormat="1" ht="15">
      <c r="A12" s="381"/>
      <c r="B12" s="1891">
        <v>111</v>
      </c>
      <c r="C12" s="382"/>
      <c r="D12" s="383">
        <v>100</v>
      </c>
      <c r="E12" s="384"/>
      <c r="F12" s="127">
        <f>SUMIF(64:64,E12,65:65)-SUMIF(64:64,C12,65:65)+100</f>
        <v>100</v>
      </c>
      <c r="G12" s="1968"/>
      <c r="H12" s="127">
        <f>SUMIF(64:64,G12,65:65)-SUMIF(64:64,C12,65:65)+100</f>
        <v>100</v>
      </c>
      <c r="I12" s="419"/>
      <c r="J12" s="127">
        <f>SUMIF(64:64,I12,65:65)-SUMIF(64:64,C12,65:65)+100</f>
        <v>100</v>
      </c>
      <c r="K12" s="561"/>
      <c r="L12" s="913"/>
      <c r="M12" s="914"/>
      <c r="N12" s="914"/>
      <c r="O12" s="915"/>
      <c r="P12" s="3746"/>
      <c r="Q12" s="1341">
        <f t="shared" si="6"/>
        <v>111</v>
      </c>
      <c r="R12" s="700" t="s">
        <v>14</v>
      </c>
      <c r="S12" s="701">
        <f t="shared" si="0"/>
        <v>100</v>
      </c>
      <c r="T12" s="700" t="s">
        <v>14</v>
      </c>
      <c r="U12" s="701">
        <f t="shared" si="1"/>
        <v>100</v>
      </c>
      <c r="V12" s="700" t="s">
        <v>14</v>
      </c>
      <c r="W12" s="701">
        <f t="shared" si="2"/>
        <v>100</v>
      </c>
      <c r="X12" s="702"/>
      <c r="Y12" s="3602"/>
      <c r="Z12" s="52">
        <f t="shared" si="7"/>
        <v>111</v>
      </c>
      <c r="AA12" s="703">
        <f>D12/F12</f>
        <v>1</v>
      </c>
      <c r="AB12" s="703">
        <f>D12/H12</f>
        <v>1</v>
      </c>
      <c r="AC12" s="703">
        <f>D12/J12</f>
        <v>1</v>
      </c>
    </row>
    <row r="13" spans="1:29" ht="15">
      <c r="A13" s="378"/>
      <c r="B13" s="1891">
        <v>111</v>
      </c>
      <c r="C13" s="384"/>
      <c r="D13" s="385">
        <v>100</v>
      </c>
      <c r="E13" s="384"/>
      <c r="F13" s="127">
        <f>SUMIF(66:66,E13,67:67)-SUMIF(66:66,C13,67:67)+100</f>
        <v>100</v>
      </c>
      <c r="G13" s="1968"/>
      <c r="H13" s="385">
        <f>SUMIF(66:66,G13,67:67)-SUMIF(66:66,C13,67:67)+100</f>
        <v>100</v>
      </c>
      <c r="I13" s="419"/>
      <c r="J13" s="385">
        <f>SUMIF(66:66,I13,67:67)-SUMIF(66:66,C13,67:67)+100</f>
        <v>100</v>
      </c>
      <c r="K13" s="561"/>
      <c r="L13" s="921"/>
      <c r="M13" s="912"/>
      <c r="N13" s="912"/>
      <c r="O13" s="920"/>
      <c r="P13" s="3746"/>
      <c r="Q13" s="1341">
        <f t="shared" si="6"/>
        <v>111</v>
      </c>
      <c r="R13" s="700" t="s">
        <v>14</v>
      </c>
      <c r="S13" s="701">
        <f t="shared" si="0"/>
        <v>100</v>
      </c>
      <c r="T13" s="700" t="s">
        <v>14</v>
      </c>
      <c r="U13" s="701">
        <f t="shared" si="1"/>
        <v>100</v>
      </c>
      <c r="V13" s="700" t="s">
        <v>14</v>
      </c>
      <c r="W13" s="701">
        <f t="shared" si="2"/>
        <v>100</v>
      </c>
      <c r="X13" s="702"/>
      <c r="Y13" s="3602"/>
      <c r="Z13" s="52">
        <f t="shared" si="7"/>
        <v>111</v>
      </c>
      <c r="AA13" s="703">
        <f t="shared" si="3"/>
        <v>1</v>
      </c>
      <c r="AB13" s="703">
        <f t="shared" si="4"/>
        <v>1</v>
      </c>
      <c r="AC13" s="703">
        <f t="shared" si="5"/>
        <v>1</v>
      </c>
    </row>
    <row r="14" spans="1:29" ht="15.6"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6"/>
      <c r="Q14" s="1341">
        <f t="shared" si="6"/>
        <v>111</v>
      </c>
      <c r="R14" s="700" t="s">
        <v>14</v>
      </c>
      <c r="S14" s="701">
        <f t="shared" si="0"/>
        <v>100</v>
      </c>
      <c r="T14" s="700" t="s">
        <v>14</v>
      </c>
      <c r="U14" s="701">
        <f t="shared" si="1"/>
        <v>100</v>
      </c>
      <c r="V14" s="700" t="s">
        <v>14</v>
      </c>
      <c r="W14" s="701">
        <f t="shared" si="2"/>
        <v>100</v>
      </c>
      <c r="X14" s="702"/>
      <c r="Y14" s="3602"/>
      <c r="Z14" s="52">
        <f t="shared" si="7"/>
        <v>111</v>
      </c>
      <c r="AA14" s="703">
        <f t="shared" si="3"/>
        <v>1</v>
      </c>
      <c r="AB14" s="703">
        <f t="shared" si="4"/>
        <v>1</v>
      </c>
      <c r="AC14" s="703">
        <f t="shared" si="5"/>
        <v>1</v>
      </c>
    </row>
    <row r="15" spans="1:29" ht="69">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48" t="s">
        <v>1691</v>
      </c>
      <c r="Q15" s="1350" t="str">
        <f t="shared" si="6"/>
        <v>产业集聚程度</v>
      </c>
      <c r="R15" s="704" t="s">
        <v>14</v>
      </c>
      <c r="S15" s="705">
        <f t="shared" si="0"/>
        <v>100</v>
      </c>
      <c r="T15" s="704" t="s">
        <v>14</v>
      </c>
      <c r="U15" s="705">
        <f t="shared" si="1"/>
        <v>100</v>
      </c>
      <c r="V15" s="704" t="s">
        <v>14</v>
      </c>
      <c r="W15" s="705">
        <f t="shared" si="2"/>
        <v>100</v>
      </c>
      <c r="X15" s="1353"/>
      <c r="Y15" s="3748"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49"/>
      <c r="Q16" s="1350"/>
      <c r="R16" s="704"/>
      <c r="S16" s="705"/>
      <c r="T16" s="704"/>
      <c r="U16" s="705"/>
      <c r="V16" s="704"/>
      <c r="W16" s="705"/>
      <c r="X16" s="1353"/>
      <c r="Y16" s="3749"/>
      <c r="Z16" s="1354"/>
      <c r="AA16" s="1351">
        <v>1</v>
      </c>
      <c r="AB16" s="1351">
        <v>1</v>
      </c>
      <c r="AC16" s="1351">
        <v>1</v>
      </c>
    </row>
    <row r="17" spans="1:29" ht="96.6">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49"/>
      <c r="Q17" s="1350" t="str">
        <f>B17</f>
        <v>交通便捷度</v>
      </c>
      <c r="R17" s="704" t="s">
        <v>14</v>
      </c>
      <c r="S17" s="705">
        <f>F17</f>
        <v>100</v>
      </c>
      <c r="T17" s="704" t="s">
        <v>14</v>
      </c>
      <c r="U17" s="705">
        <f>H17</f>
        <v>100</v>
      </c>
      <c r="V17" s="704" t="s">
        <v>14</v>
      </c>
      <c r="W17" s="705">
        <f>J17</f>
        <v>100</v>
      </c>
      <c r="X17" s="1353"/>
      <c r="Y17" s="3749"/>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49"/>
      <c r="Q18" s="1350"/>
      <c r="R18" s="704"/>
      <c r="S18" s="705"/>
      <c r="T18" s="704"/>
      <c r="U18" s="705"/>
      <c r="V18" s="704"/>
      <c r="W18" s="705"/>
      <c r="X18" s="1353"/>
      <c r="Y18" s="3749"/>
      <c r="Z18" s="1354"/>
      <c r="AA18" s="1351">
        <v>1</v>
      </c>
      <c r="AB18" s="1351">
        <v>1</v>
      </c>
      <c r="AC18" s="1351">
        <v>1</v>
      </c>
    </row>
    <row r="19" spans="1:29" ht="41.4">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49"/>
      <c r="Q19" s="1350" t="str">
        <f>B19</f>
        <v>公共配套设施</v>
      </c>
      <c r="R19" s="704" t="s">
        <v>14</v>
      </c>
      <c r="S19" s="705">
        <f>F19</f>
        <v>100</v>
      </c>
      <c r="T19" s="704" t="s">
        <v>14</v>
      </c>
      <c r="U19" s="705">
        <f>H19</f>
        <v>100</v>
      </c>
      <c r="V19" s="704" t="s">
        <v>14</v>
      </c>
      <c r="W19" s="705">
        <f>J19</f>
        <v>100</v>
      </c>
      <c r="X19" s="1353"/>
      <c r="Y19" s="3749"/>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49"/>
      <c r="Q20" s="1350"/>
      <c r="R20" s="704"/>
      <c r="S20" s="705"/>
      <c r="T20" s="704"/>
      <c r="U20" s="705"/>
      <c r="V20" s="704"/>
      <c r="W20" s="705"/>
      <c r="X20" s="1353"/>
      <c r="Y20" s="3749"/>
      <c r="Z20" s="1354"/>
      <c r="AA20" s="1351">
        <v>1</v>
      </c>
      <c r="AB20" s="1351">
        <v>1</v>
      </c>
      <c r="AC20" s="1351">
        <v>1</v>
      </c>
    </row>
    <row r="21" spans="1:29" ht="41.4">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49"/>
      <c r="Q21" s="1350" t="str">
        <f>B21</f>
        <v>基础设施水平</v>
      </c>
      <c r="R21" s="704" t="s">
        <v>14</v>
      </c>
      <c r="S21" s="705">
        <f>F21</f>
        <v>100</v>
      </c>
      <c r="T21" s="704" t="s">
        <v>14</v>
      </c>
      <c r="U21" s="705">
        <f>H21</f>
        <v>100</v>
      </c>
      <c r="V21" s="704" t="s">
        <v>14</v>
      </c>
      <c r="W21" s="705">
        <f>J21</f>
        <v>100</v>
      </c>
      <c r="X21" s="1353"/>
      <c r="Y21" s="374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49"/>
      <c r="Q22" s="1350"/>
      <c r="R22" s="704"/>
      <c r="S22" s="705"/>
      <c r="T22" s="704"/>
      <c r="U22" s="705"/>
      <c r="V22" s="704"/>
      <c r="W22" s="705"/>
      <c r="X22" s="1353"/>
      <c r="Y22" s="3749"/>
      <c r="Z22" s="1354"/>
      <c r="AA22" s="1351">
        <v>1</v>
      </c>
      <c r="AB22" s="1351">
        <v>1</v>
      </c>
      <c r="AC22" s="1351">
        <v>1</v>
      </c>
    </row>
    <row r="23" spans="1:29" ht="82.8">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49"/>
      <c r="Q23" s="1350" t="str">
        <f>B23</f>
        <v>环境质量</v>
      </c>
      <c r="R23" s="704" t="s">
        <v>14</v>
      </c>
      <c r="S23" s="705">
        <f>F23</f>
        <v>100</v>
      </c>
      <c r="T23" s="704" t="s">
        <v>14</v>
      </c>
      <c r="U23" s="705">
        <f>H23</f>
        <v>100</v>
      </c>
      <c r="V23" s="704" t="s">
        <v>14</v>
      </c>
      <c r="W23" s="705">
        <f>J23</f>
        <v>100</v>
      </c>
      <c r="X23" s="1353"/>
      <c r="Y23" s="3749"/>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49"/>
      <c r="Q24" s="1350"/>
      <c r="R24" s="704"/>
      <c r="S24" s="705"/>
      <c r="T24" s="704"/>
      <c r="U24" s="705"/>
      <c r="V24" s="704"/>
      <c r="W24" s="705"/>
      <c r="X24" s="1353"/>
      <c r="Y24" s="3749"/>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49"/>
      <c r="Q25" s="1350">
        <f>B25</f>
        <v>111</v>
      </c>
      <c r="R25" s="704" t="s">
        <v>14</v>
      </c>
      <c r="S25" s="705">
        <f>F25</f>
        <v>100</v>
      </c>
      <c r="T25" s="704" t="s">
        <v>14</v>
      </c>
      <c r="U25" s="705">
        <f>H25</f>
        <v>100</v>
      </c>
      <c r="V25" s="704" t="s">
        <v>14</v>
      </c>
      <c r="W25" s="705">
        <f>J25</f>
        <v>100</v>
      </c>
      <c r="X25" s="1353"/>
      <c r="Y25" s="3749"/>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49"/>
      <c r="Q26" s="1350">
        <f t="shared" ref="Q26:Q40" si="11">B26</f>
        <v>111</v>
      </c>
      <c r="R26" s="704" t="s">
        <v>14</v>
      </c>
      <c r="S26" s="705">
        <f>F26</f>
        <v>100</v>
      </c>
      <c r="T26" s="704" t="s">
        <v>14</v>
      </c>
      <c r="U26" s="705">
        <f>H26</f>
        <v>100</v>
      </c>
      <c r="V26" s="704" t="s">
        <v>14</v>
      </c>
      <c r="W26" s="705">
        <f>J26</f>
        <v>100</v>
      </c>
      <c r="X26" s="1353"/>
      <c r="Y26" s="3749"/>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49"/>
      <c r="Q27" s="1341">
        <f t="shared" si="11"/>
        <v>111</v>
      </c>
      <c r="R27" s="700" t="s">
        <v>14</v>
      </c>
      <c r="S27" s="701">
        <f>F27</f>
        <v>100</v>
      </c>
      <c r="T27" s="700" t="s">
        <v>14</v>
      </c>
      <c r="U27" s="701">
        <f>H27</f>
        <v>100</v>
      </c>
      <c r="V27" s="700" t="s">
        <v>14</v>
      </c>
      <c r="W27" s="701">
        <f>J27</f>
        <v>100</v>
      </c>
      <c r="X27" s="702"/>
      <c r="Y27" s="3749"/>
      <c r="Z27" s="52">
        <f>Q27</f>
        <v>111</v>
      </c>
      <c r="AA27" s="1351">
        <f>D27/F27</f>
        <v>1</v>
      </c>
      <c r="AB27" s="1351">
        <f>D27/H27</f>
        <v>1</v>
      </c>
      <c r="AC27" s="1351">
        <f>D27/J27</f>
        <v>1</v>
      </c>
    </row>
    <row r="28" spans="1:29" ht="15.6"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49"/>
      <c r="Q28" s="1350">
        <f t="shared" si="11"/>
        <v>111</v>
      </c>
      <c r="R28" s="704" t="s">
        <v>14</v>
      </c>
      <c r="S28" s="705">
        <f t="shared" ref="S28:S40" si="12">F28</f>
        <v>100</v>
      </c>
      <c r="T28" s="704" t="s">
        <v>14</v>
      </c>
      <c r="U28" s="705">
        <f t="shared" ref="U28:U40" si="13">H28</f>
        <v>100</v>
      </c>
      <c r="V28" s="704" t="s">
        <v>14</v>
      </c>
      <c r="W28" s="705">
        <f t="shared" ref="W28:W40" si="14">J28</f>
        <v>100</v>
      </c>
      <c r="X28" s="1353"/>
      <c r="Y28" s="3749"/>
      <c r="Z28" s="1354">
        <f t="shared" ref="Z28:Z40" si="15">Q28</f>
        <v>111</v>
      </c>
      <c r="AA28" s="1351">
        <f t="shared" si="3"/>
        <v>1</v>
      </c>
      <c r="AB28" s="1351">
        <f t="shared" si="4"/>
        <v>1</v>
      </c>
      <c r="AC28" s="1351">
        <f t="shared" si="5"/>
        <v>1</v>
      </c>
    </row>
    <row r="29" spans="1:29" ht="30">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04" t="s">
        <v>1696</v>
      </c>
      <c r="Q29" s="1350" t="str">
        <f t="shared" si="11"/>
        <v>建筑类型</v>
      </c>
      <c r="R29" s="704" t="s">
        <v>14</v>
      </c>
      <c r="S29" s="705">
        <f t="shared" si="12"/>
        <v>100</v>
      </c>
      <c r="T29" s="704" t="s">
        <v>14</v>
      </c>
      <c r="U29" s="705">
        <f t="shared" si="13"/>
        <v>100</v>
      </c>
      <c r="V29" s="704" t="s">
        <v>14</v>
      </c>
      <c r="W29" s="705">
        <f t="shared" si="14"/>
        <v>100</v>
      </c>
      <c r="X29" s="1353"/>
      <c r="Y29" s="3753" t="s">
        <v>1696</v>
      </c>
      <c r="Z29" s="1354" t="str">
        <f t="shared" si="15"/>
        <v>建筑类型</v>
      </c>
      <c r="AA29" s="1351">
        <f t="shared" si="3"/>
        <v>1</v>
      </c>
      <c r="AB29" s="1351">
        <f t="shared" si="4"/>
        <v>1</v>
      </c>
      <c r="AC29" s="1351">
        <f t="shared" si="5"/>
        <v>1</v>
      </c>
    </row>
    <row r="30" spans="1:29" s="421" customFormat="1" ht="15">
      <c r="A30" s="418"/>
      <c r="B30" s="374" t="s">
        <v>1697</v>
      </c>
      <c r="C30" s="419"/>
      <c r="D30" s="127">
        <v>100</v>
      </c>
      <c r="E30" s="380"/>
      <c r="F30" s="375" t="e">
        <f>LOOKUP(E30,91:91,92:92)-LOOKUP(C30,91:91,92:92)+100</f>
        <v>#N/A</v>
      </c>
      <c r="G30" s="379"/>
      <c r="H30" s="127" t="e">
        <f>LOOKUP(G30,91:91,92:92)-LOOKUP(C30,91:91,92:92)+100</f>
        <v>#N/A</v>
      </c>
      <c r="I30" s="379"/>
      <c r="J30" s="127" t="e">
        <f>LOOKUP(I30,91:91,92:92)-LOOKUP(C30,91:91,92:92)+100</f>
        <v>#N/A</v>
      </c>
      <c r="K30" s="561"/>
      <c r="L30" s="919"/>
      <c r="M30" s="922"/>
      <c r="N30" s="922"/>
      <c r="O30" s="923"/>
      <c r="P30" s="3753"/>
      <c r="Q30" s="706" t="str">
        <f t="shared" si="11"/>
        <v>项目建筑规模</v>
      </c>
      <c r="R30" s="707" t="s">
        <v>14</v>
      </c>
      <c r="S30" s="708" t="e">
        <f t="shared" si="12"/>
        <v>#N/A</v>
      </c>
      <c r="T30" s="707" t="s">
        <v>14</v>
      </c>
      <c r="U30" s="708" t="e">
        <f t="shared" si="13"/>
        <v>#N/A</v>
      </c>
      <c r="V30" s="707" t="s">
        <v>14</v>
      </c>
      <c r="W30" s="708" t="e">
        <f t="shared" si="14"/>
        <v>#N/A</v>
      </c>
      <c r="X30" s="709"/>
      <c r="Y30" s="3753"/>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53"/>
      <c r="Q31" s="1350" t="str">
        <f t="shared" si="11"/>
        <v>建筑结构</v>
      </c>
      <c r="R31" s="704" t="s">
        <v>14</v>
      </c>
      <c r="S31" s="705">
        <f t="shared" si="12"/>
        <v>100</v>
      </c>
      <c r="T31" s="704" t="s">
        <v>14</v>
      </c>
      <c r="U31" s="705">
        <f t="shared" si="13"/>
        <v>100</v>
      </c>
      <c r="V31" s="704" t="s">
        <v>14</v>
      </c>
      <c r="W31" s="705">
        <f t="shared" si="14"/>
        <v>100</v>
      </c>
      <c r="X31" s="1353"/>
      <c r="Y31" s="3753"/>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53"/>
      <c r="Q32" s="1350" t="str">
        <f t="shared" si="11"/>
        <v>公共部分装修</v>
      </c>
      <c r="R32" s="704" t="s">
        <v>14</v>
      </c>
      <c r="S32" s="705">
        <f t="shared" si="12"/>
        <v>100</v>
      </c>
      <c r="T32" s="704" t="s">
        <v>14</v>
      </c>
      <c r="U32" s="705">
        <f t="shared" si="13"/>
        <v>100</v>
      </c>
      <c r="V32" s="704" t="s">
        <v>14</v>
      </c>
      <c r="W32" s="705">
        <f t="shared" si="14"/>
        <v>100</v>
      </c>
      <c r="X32" s="1353"/>
      <c r="Y32" s="3753"/>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53"/>
      <c r="Q33" s="1350" t="str">
        <f t="shared" si="11"/>
        <v>成新度</v>
      </c>
      <c r="R33" s="704" t="s">
        <v>14</v>
      </c>
      <c r="S33" s="705" t="e">
        <f t="shared" si="12"/>
        <v>#N/A</v>
      </c>
      <c r="T33" s="704" t="s">
        <v>14</v>
      </c>
      <c r="U33" s="705" t="e">
        <f t="shared" si="13"/>
        <v>#N/A</v>
      </c>
      <c r="V33" s="704" t="s">
        <v>14</v>
      </c>
      <c r="W33" s="705" t="e">
        <f t="shared" si="14"/>
        <v>#N/A</v>
      </c>
      <c r="X33" s="1353"/>
      <c r="Y33" s="3753"/>
      <c r="Z33" s="1354" t="str">
        <f t="shared" si="15"/>
        <v>成新度</v>
      </c>
      <c r="AA33" s="1351" t="e">
        <f t="shared" si="3"/>
        <v>#N/A</v>
      </c>
      <c r="AB33" s="1351" t="e">
        <f t="shared" si="4"/>
        <v>#N/A</v>
      </c>
      <c r="AC33" s="1351" t="e">
        <f t="shared" si="5"/>
        <v>#N/A</v>
      </c>
    </row>
    <row r="34" spans="1:29" s="108" customFormat="1" ht="15">
      <c r="A34" s="423"/>
      <c r="B34" s="374" t="s">
        <v>1819</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53"/>
      <c r="Q34" s="1341" t="str">
        <f t="shared" si="11"/>
        <v>物业管理</v>
      </c>
      <c r="R34" s="700" t="s">
        <v>14</v>
      </c>
      <c r="S34" s="701">
        <f t="shared" si="12"/>
        <v>100</v>
      </c>
      <c r="T34" s="700" t="s">
        <v>14</v>
      </c>
      <c r="U34" s="701">
        <f t="shared" si="13"/>
        <v>100</v>
      </c>
      <c r="V34" s="700" t="s">
        <v>14</v>
      </c>
      <c r="W34" s="701">
        <f t="shared" si="14"/>
        <v>100</v>
      </c>
      <c r="X34" s="702"/>
      <c r="Y34" s="3753"/>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53" t="s">
        <v>1696</v>
      </c>
      <c r="Q35" s="1350" t="str">
        <f t="shared" si="11"/>
        <v>市政基础设施</v>
      </c>
      <c r="R35" s="704" t="s">
        <v>14</v>
      </c>
      <c r="S35" s="705">
        <f t="shared" si="12"/>
        <v>100</v>
      </c>
      <c r="T35" s="704" t="s">
        <v>14</v>
      </c>
      <c r="U35" s="705">
        <f t="shared" si="13"/>
        <v>100</v>
      </c>
      <c r="V35" s="704" t="s">
        <v>14</v>
      </c>
      <c r="W35" s="705">
        <f t="shared" si="14"/>
        <v>100</v>
      </c>
      <c r="X35" s="1353"/>
      <c r="Y35" s="3753"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53"/>
      <c r="Q36" s="1350" t="str">
        <f t="shared" si="11"/>
        <v>内部装修</v>
      </c>
      <c r="R36" s="704" t="s">
        <v>14</v>
      </c>
      <c r="S36" s="705">
        <f t="shared" si="12"/>
        <v>100</v>
      </c>
      <c r="T36" s="704" t="s">
        <v>14</v>
      </c>
      <c r="U36" s="705">
        <f t="shared" si="13"/>
        <v>100</v>
      </c>
      <c r="V36" s="704" t="s">
        <v>14</v>
      </c>
      <c r="W36" s="705">
        <f t="shared" si="14"/>
        <v>100</v>
      </c>
      <c r="X36" s="1353"/>
      <c r="Y36" s="3753"/>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53"/>
      <c r="Q37" s="1350" t="str">
        <f t="shared" si="11"/>
        <v>内部装修状况</v>
      </c>
      <c r="R37" s="704" t="s">
        <v>14</v>
      </c>
      <c r="S37" s="705">
        <f t="shared" si="12"/>
        <v>100</v>
      </c>
      <c r="T37" s="704" t="s">
        <v>14</v>
      </c>
      <c r="U37" s="705">
        <f t="shared" si="13"/>
        <v>100</v>
      </c>
      <c r="V37" s="704" t="s">
        <v>14</v>
      </c>
      <c r="W37" s="705">
        <f t="shared" si="14"/>
        <v>100</v>
      </c>
      <c r="X37" s="1353"/>
      <c r="Y37" s="3753"/>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53"/>
      <c r="Q38" s="706">
        <f t="shared" si="11"/>
        <v>111</v>
      </c>
      <c r="R38" s="707" t="s">
        <v>14</v>
      </c>
      <c r="S38" s="708">
        <f t="shared" si="12"/>
        <v>100</v>
      </c>
      <c r="T38" s="707" t="s">
        <v>14</v>
      </c>
      <c r="U38" s="708">
        <f t="shared" si="13"/>
        <v>100</v>
      </c>
      <c r="V38" s="707" t="s">
        <v>14</v>
      </c>
      <c r="W38" s="708">
        <f t="shared" si="14"/>
        <v>100</v>
      </c>
      <c r="X38" s="709"/>
      <c r="Y38" s="3753"/>
      <c r="Z38" s="710">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53"/>
      <c r="Q39" s="1350">
        <f t="shared" si="11"/>
        <v>111</v>
      </c>
      <c r="R39" s="704" t="s">
        <v>14</v>
      </c>
      <c r="S39" s="705">
        <f t="shared" si="12"/>
        <v>100</v>
      </c>
      <c r="T39" s="704" t="s">
        <v>14</v>
      </c>
      <c r="U39" s="705">
        <f t="shared" si="13"/>
        <v>100</v>
      </c>
      <c r="V39" s="704" t="s">
        <v>14</v>
      </c>
      <c r="W39" s="705">
        <f t="shared" si="14"/>
        <v>100</v>
      </c>
      <c r="X39" s="1353"/>
      <c r="Y39" s="3753"/>
      <c r="Z39" s="1354">
        <f t="shared" si="15"/>
        <v>111</v>
      </c>
      <c r="AA39" s="1351">
        <f t="shared" si="3"/>
        <v>1</v>
      </c>
      <c r="AB39" s="1351">
        <f t="shared" si="4"/>
        <v>1</v>
      </c>
      <c r="AC39" s="1351">
        <f t="shared" si="5"/>
        <v>1</v>
      </c>
    </row>
    <row r="40" spans="1:29" ht="15.6"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54"/>
      <c r="Q40" s="1350">
        <f t="shared" si="11"/>
        <v>111</v>
      </c>
      <c r="R40" s="704" t="s">
        <v>14</v>
      </c>
      <c r="S40" s="705">
        <f t="shared" si="12"/>
        <v>100</v>
      </c>
      <c r="T40" s="704" t="s">
        <v>14</v>
      </c>
      <c r="U40" s="705">
        <f t="shared" si="13"/>
        <v>100</v>
      </c>
      <c r="V40" s="704" t="s">
        <v>14</v>
      </c>
      <c r="W40" s="705">
        <f t="shared" si="14"/>
        <v>100</v>
      </c>
      <c r="X40" s="1353"/>
      <c r="Y40" s="3754"/>
      <c r="Z40" s="1354">
        <f t="shared" si="15"/>
        <v>111</v>
      </c>
      <c r="AA40" s="1351">
        <f t="shared" si="3"/>
        <v>1</v>
      </c>
      <c r="AB40" s="1351">
        <f t="shared" si="4"/>
        <v>1</v>
      </c>
      <c r="AC40" s="1351">
        <f t="shared" si="5"/>
        <v>1</v>
      </c>
    </row>
    <row r="41" spans="1:29" ht="14.4">
      <c r="A41" s="429" t="s">
        <v>1708</v>
      </c>
      <c r="B41" s="430"/>
      <c r="C41" s="1152" t="s">
        <v>0</v>
      </c>
      <c r="D41" s="1153"/>
      <c r="E41" s="1154"/>
      <c r="F41" s="1155"/>
      <c r="G41" s="1156"/>
      <c r="H41" s="1157"/>
      <c r="I41" s="1154"/>
      <c r="J41" s="1157"/>
      <c r="K41" s="713"/>
      <c r="L41" s="924"/>
      <c r="M41" s="925"/>
      <c r="N41" s="912"/>
      <c r="O41" s="925"/>
      <c r="P41" s="3746" t="str">
        <f>A41</f>
        <v>成交单价（元/平方米）</v>
      </c>
      <c r="Q41" s="3746"/>
      <c r="R41" s="3747">
        <f>E41</f>
        <v>0</v>
      </c>
      <c r="S41" s="3747"/>
      <c r="T41" s="3747">
        <f>G41</f>
        <v>0</v>
      </c>
      <c r="U41" s="3747"/>
      <c r="V41" s="3747">
        <f>I41</f>
        <v>0</v>
      </c>
      <c r="W41" s="3747"/>
      <c r="X41" s="689"/>
      <c r="Y41" s="711"/>
      <c r="Z41" s="689"/>
      <c r="AA41" s="689"/>
      <c r="AB41" s="689"/>
      <c r="AC41" s="689"/>
    </row>
    <row r="42" spans="1:29" ht="15" thickBot="1">
      <c r="A42" s="436" t="s">
        <v>1793</v>
      </c>
      <c r="B42" s="437"/>
      <c r="C42" s="1158" t="e">
        <f>R43</f>
        <v>#DIV/0!</v>
      </c>
      <c r="D42" s="2314" t="s">
        <v>2135</v>
      </c>
      <c r="E42" s="1159" t="e">
        <f>R42</f>
        <v>#DIV/0!</v>
      </c>
      <c r="F42" s="2315"/>
      <c r="G42" s="1158" t="e">
        <f>T42</f>
        <v>#DIV/0!</v>
      </c>
      <c r="H42" s="2315"/>
      <c r="I42" s="1159" t="e">
        <f>V42</f>
        <v>#DIV/0!</v>
      </c>
      <c r="J42" s="2315"/>
      <c r="K42" s="2317">
        <f>F42+H42+J42</f>
        <v>0</v>
      </c>
      <c r="L42" s="924"/>
      <c r="M42" s="925"/>
      <c r="N42" s="912"/>
      <c r="O42" s="925"/>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89"/>
      <c r="Y42" s="689"/>
      <c r="Z42" s="689"/>
      <c r="AA42" s="689"/>
      <c r="AB42" s="689"/>
      <c r="AC42" s="689"/>
    </row>
    <row r="43" spans="1:29" ht="15" thickBot="1">
      <c r="A43" s="440" t="s">
        <v>1794</v>
      </c>
      <c r="B43" s="441"/>
      <c r="C43" s="1161" t="e">
        <f>R43</f>
        <v>#DIV/0!</v>
      </c>
      <c r="D43" s="1161"/>
      <c r="E43" s="1161"/>
      <c r="F43" s="1161"/>
      <c r="G43" s="1161"/>
      <c r="H43" s="1161"/>
      <c r="I43" s="1161"/>
      <c r="J43" s="1161"/>
      <c r="K43" s="714"/>
      <c r="L43" s="924"/>
      <c r="M43" s="925"/>
      <c r="N43" s="925"/>
      <c r="O43" s="925"/>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689"/>
      <c r="Y43" s="689"/>
      <c r="Z43" s="689"/>
      <c r="AA43" s="689"/>
      <c r="AB43" s="689"/>
      <c r="AC43" s="689"/>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7"/>
      <c r="M46" s="925"/>
      <c r="N46" s="925"/>
      <c r="O46" s="925"/>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7"/>
      <c r="M47" s="925"/>
      <c r="N47" s="925"/>
      <c r="O47" s="925"/>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8"/>
      <c r="M48" s="926"/>
      <c r="N48" s="926"/>
      <c r="O48" s="926"/>
    </row>
    <row r="49" spans="1:17" s="450"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3" t="s">
        <v>1798</v>
      </c>
      <c r="B51" s="689"/>
      <c r="C51" s="694"/>
      <c r="D51" s="694"/>
      <c r="E51" s="694"/>
      <c r="F51" s="695"/>
      <c r="G51" s="695"/>
      <c r="H51" s="694"/>
      <c r="I51" s="694"/>
      <c r="J51" s="694"/>
      <c r="K51" s="939"/>
      <c r="L51" s="940"/>
      <c r="M51" s="938"/>
      <c r="N51" s="938"/>
      <c r="O51" s="938"/>
      <c r="P51" s="451"/>
      <c r="Q51" s="452"/>
    </row>
    <row r="52" spans="1:17" s="456" customFormat="1" ht="14.4">
      <c r="A52" s="453" t="s">
        <v>1679</v>
      </c>
      <c r="B52" s="454"/>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5"/>
    </row>
    <row r="53" spans="1:17" s="108" customFormat="1">
      <c r="A53" s="457"/>
      <c r="B53" s="458"/>
      <c r="C53" s="1181">
        <v>100</v>
      </c>
      <c r="D53" s="460"/>
      <c r="E53" s="460"/>
      <c r="F53" s="460"/>
      <c r="G53" s="460"/>
      <c r="H53" s="460"/>
      <c r="I53" s="460"/>
      <c r="J53" s="460"/>
      <c r="K53" s="460"/>
      <c r="L53" s="460"/>
      <c r="M53" s="461"/>
      <c r="N53" s="460"/>
      <c r="O53" s="462"/>
      <c r="P53" s="452"/>
    </row>
    <row r="54" spans="1:17" s="108" customFormat="1" ht="15" thickBot="1">
      <c r="A54" s="463" t="s">
        <v>1716</v>
      </c>
      <c r="B54" s="464"/>
      <c r="C54" s="465"/>
      <c r="D54" s="466"/>
      <c r="E54" s="466"/>
      <c r="F54" s="466"/>
      <c r="G54" s="466"/>
      <c r="H54" s="466"/>
      <c r="I54" s="466"/>
      <c r="J54" s="466"/>
      <c r="K54" s="466"/>
      <c r="L54" s="466"/>
      <c r="M54" s="467"/>
      <c r="N54" s="2767"/>
      <c r="O54" s="2768"/>
      <c r="P54" s="452"/>
      <c r="Q54" s="452"/>
    </row>
    <row r="55" spans="1:17" s="108" customFormat="1" ht="14.4">
      <c r="A55" s="469" t="s">
        <v>1681</v>
      </c>
      <c r="B55" s="458"/>
      <c r="C55" s="470" t="s">
        <v>1776</v>
      </c>
      <c r="D55" s="471"/>
      <c r="E55" s="471"/>
      <c r="F55" s="471"/>
      <c r="G55" s="471"/>
      <c r="H55" s="471"/>
      <c r="I55" s="471"/>
      <c r="J55" s="471"/>
      <c r="K55" s="471"/>
      <c r="L55" s="472"/>
      <c r="M55" s="473"/>
      <c r="N55" s="930"/>
      <c r="O55" s="930"/>
      <c r="P55" s="474"/>
      <c r="Q55" s="452"/>
    </row>
    <row r="56" spans="1:17" s="108" customFormat="1" ht="14.4" thickBot="1">
      <c r="A56" s="469"/>
      <c r="B56" s="458"/>
      <c r="C56" s="586">
        <v>100</v>
      </c>
      <c r="D56" s="460"/>
      <c r="E56" s="460"/>
      <c r="F56" s="460"/>
      <c r="G56" s="460"/>
      <c r="H56" s="460"/>
      <c r="I56" s="460"/>
      <c r="J56" s="460"/>
      <c r="K56" s="460"/>
      <c r="L56" s="460"/>
      <c r="M56" s="462"/>
      <c r="N56" s="930"/>
      <c r="O56" s="930"/>
      <c r="P56" s="452"/>
      <c r="Q56" s="452"/>
    </row>
    <row r="57" spans="1:17" ht="14.4">
      <c r="A57" s="475" t="s">
        <v>1719</v>
      </c>
      <c r="B57" s="476" t="s">
        <v>1685</v>
      </c>
      <c r="C57" s="477">
        <f>C9</f>
        <v>0</v>
      </c>
      <c r="D57" s="478"/>
      <c r="E57" s="478"/>
      <c r="F57" s="478"/>
      <c r="G57" s="478"/>
      <c r="H57" s="478"/>
      <c r="I57" s="478"/>
      <c r="J57" s="478"/>
      <c r="K57" s="479"/>
      <c r="L57" s="480"/>
      <c r="M57" s="481"/>
      <c r="N57" s="931"/>
      <c r="O57" s="931"/>
      <c r="P57" s="42"/>
      <c r="Q57" s="452"/>
    </row>
    <row r="58" spans="1:17" ht="14.4" thickBot="1">
      <c r="A58" s="482"/>
      <c r="B58" s="483"/>
      <c r="C58" s="484">
        <v>100</v>
      </c>
      <c r="D58" s="484"/>
      <c r="E58" s="484"/>
      <c r="F58" s="484"/>
      <c r="G58" s="484"/>
      <c r="H58" s="484"/>
      <c r="I58" s="484"/>
      <c r="J58" s="484"/>
      <c r="K58" s="484"/>
      <c r="L58" s="484"/>
      <c r="M58" s="485"/>
      <c r="N58" s="932"/>
      <c r="O58" s="932"/>
      <c r="P58" s="42"/>
      <c r="Q58" s="452"/>
    </row>
    <row r="59" spans="1:17" ht="29.4" thickTop="1">
      <c r="A59" s="482"/>
      <c r="B59" s="486" t="s">
        <v>1688</v>
      </c>
      <c r="C59" s="531"/>
      <c r="D59" s="531"/>
      <c r="E59" s="531"/>
      <c r="F59" s="531"/>
      <c r="G59" s="531"/>
      <c r="H59" s="531"/>
      <c r="I59" s="531"/>
      <c r="J59" s="531"/>
      <c r="K59" s="532"/>
      <c r="L59" s="533"/>
      <c r="M59" s="534"/>
      <c r="N59" s="931"/>
      <c r="O59" s="931"/>
      <c r="P59" s="42"/>
      <c r="Q59" s="452"/>
    </row>
    <row r="60" spans="1:17" ht="14.4" thickBot="1">
      <c r="A60" s="482"/>
      <c r="B60" s="491"/>
      <c r="C60" s="484"/>
      <c r="D60" s="484"/>
      <c r="E60" s="484"/>
      <c r="F60" s="484"/>
      <c r="G60" s="484"/>
      <c r="H60" s="484"/>
      <c r="I60" s="484"/>
      <c r="J60" s="484"/>
      <c r="K60" s="484"/>
      <c r="L60" s="484"/>
      <c r="M60" s="485"/>
      <c r="N60" s="932"/>
      <c r="O60" s="932"/>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c r="A62" s="482"/>
      <c r="B62" s="496"/>
      <c r="C62" s="497">
        <v>0</v>
      </c>
      <c r="D62" s="497">
        <v>2</v>
      </c>
      <c r="E62" s="497"/>
      <c r="F62" s="497"/>
      <c r="G62" s="497"/>
      <c r="H62" s="497"/>
      <c r="I62" s="497"/>
      <c r="J62" s="497"/>
      <c r="K62" s="498"/>
      <c r="L62" s="499"/>
      <c r="M62" s="500"/>
      <c r="N62" s="931"/>
      <c r="O62" s="931"/>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4.4" thickTop="1">
      <c r="A64" s="501"/>
      <c r="B64" s="486">
        <f>B12</f>
        <v>111</v>
      </c>
      <c r="C64" s="502"/>
      <c r="D64" s="502"/>
      <c r="E64" s="502"/>
      <c r="F64" s="502"/>
      <c r="G64" s="502"/>
      <c r="H64" s="503"/>
      <c r="I64" s="503"/>
      <c r="J64" s="503"/>
      <c r="K64" s="503"/>
      <c r="L64" s="504"/>
      <c r="M64" s="505"/>
      <c r="N64" s="933"/>
      <c r="O64" s="933"/>
      <c r="P64" s="506"/>
      <c r="Q64" s="507"/>
    </row>
    <row r="65" spans="1:17" s="421" customFormat="1" ht="14.4" thickBot="1">
      <c r="A65" s="501"/>
      <c r="B65" s="491"/>
      <c r="C65" s="508"/>
      <c r="D65" s="484"/>
      <c r="E65" s="484"/>
      <c r="F65" s="484"/>
      <c r="G65" s="484"/>
      <c r="H65" s="484"/>
      <c r="I65" s="484"/>
      <c r="J65" s="484"/>
      <c r="K65" s="484"/>
      <c r="L65" s="484"/>
      <c r="M65" s="485"/>
      <c r="N65" s="932"/>
      <c r="O65" s="932"/>
      <c r="P65" s="506"/>
      <c r="Q65" s="507"/>
    </row>
    <row r="66" spans="1:17" s="421" customFormat="1" ht="14.4" thickTop="1">
      <c r="A66" s="501"/>
      <c r="B66" s="486">
        <f>B13</f>
        <v>111</v>
      </c>
      <c r="C66" s="502"/>
      <c r="D66" s="502"/>
      <c r="E66" s="502"/>
      <c r="F66" s="502"/>
      <c r="G66" s="502"/>
      <c r="H66" s="503"/>
      <c r="I66" s="503"/>
      <c r="J66" s="503"/>
      <c r="K66" s="503"/>
      <c r="L66" s="504"/>
      <c r="M66" s="505"/>
      <c r="N66" s="933"/>
      <c r="O66" s="933"/>
      <c r="P66" s="420"/>
      <c r="Q66" s="509"/>
    </row>
    <row r="67" spans="1:17" s="421" customFormat="1" ht="14.4" thickBot="1">
      <c r="A67" s="501"/>
      <c r="B67" s="491"/>
      <c r="C67" s="508"/>
      <c r="D67" s="484"/>
      <c r="E67" s="484"/>
      <c r="F67" s="484"/>
      <c r="G67" s="508"/>
      <c r="H67" s="510"/>
      <c r="I67" s="510"/>
      <c r="J67" s="510"/>
      <c r="K67" s="510"/>
      <c r="L67" s="510"/>
      <c r="M67" s="511"/>
      <c r="N67" s="933"/>
      <c r="O67" s="933"/>
      <c r="P67" s="506"/>
      <c r="Q67" s="507"/>
    </row>
    <row r="68" spans="1:17" s="421" customFormat="1" ht="14.4" thickTop="1">
      <c r="A68" s="501"/>
      <c r="B68" s="494">
        <f>B14</f>
        <v>111</v>
      </c>
      <c r="C68" s="471"/>
      <c r="D68" s="471"/>
      <c r="E68" s="471"/>
      <c r="F68" s="471"/>
      <c r="G68" s="471"/>
      <c r="H68" s="512"/>
      <c r="I68" s="512"/>
      <c r="J68" s="512"/>
      <c r="K68" s="512"/>
      <c r="L68" s="513"/>
      <c r="M68" s="514"/>
      <c r="N68" s="933"/>
      <c r="O68" s="933"/>
      <c r="P68" s="515"/>
      <c r="Q68" s="507"/>
    </row>
    <row r="69" spans="1:17" s="421" customFormat="1" ht="14.4" thickBot="1">
      <c r="A69" s="516"/>
      <c r="B69" s="517"/>
      <c r="C69" s="518"/>
      <c r="D69" s="518"/>
      <c r="E69" s="518"/>
      <c r="F69" s="518"/>
      <c r="G69" s="518"/>
      <c r="H69" s="519"/>
      <c r="I69" s="519"/>
      <c r="J69" s="519"/>
      <c r="K69" s="519"/>
      <c r="L69" s="519"/>
      <c r="M69" s="520"/>
      <c r="N69" s="933"/>
      <c r="O69" s="933"/>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4.4" thickTop="1">
      <c r="A80" s="527"/>
      <c r="B80" s="486">
        <f>B25</f>
        <v>111</v>
      </c>
      <c r="C80" s="502"/>
      <c r="D80" s="502"/>
      <c r="E80" s="502"/>
      <c r="F80" s="502"/>
      <c r="G80" s="502"/>
      <c r="H80" s="502"/>
      <c r="I80" s="502"/>
      <c r="J80" s="502"/>
      <c r="K80" s="502"/>
      <c r="L80" s="528"/>
      <c r="M80" s="529"/>
      <c r="N80" s="930"/>
      <c r="O80" s="930"/>
      <c r="P80" s="42"/>
      <c r="Q80" s="452"/>
    </row>
    <row r="81" spans="1:17" s="108" customFormat="1" ht="14.4" thickBot="1">
      <c r="A81" s="527"/>
      <c r="B81" s="491"/>
      <c r="C81" s="508"/>
      <c r="D81" s="484"/>
      <c r="E81" s="484"/>
      <c r="F81" s="484"/>
      <c r="G81" s="484"/>
      <c r="H81" s="484"/>
      <c r="I81" s="484"/>
      <c r="J81" s="484"/>
      <c r="K81" s="484"/>
      <c r="L81" s="484"/>
      <c r="M81" s="485"/>
      <c r="N81" s="932"/>
      <c r="O81" s="932"/>
      <c r="P81" s="42"/>
      <c r="Q81" s="452"/>
    </row>
    <row r="82" spans="1:17" s="108" customFormat="1" ht="14.4" thickTop="1">
      <c r="A82" s="527"/>
      <c r="B82" s="486">
        <f>B26</f>
        <v>111</v>
      </c>
      <c r="C82" s="502"/>
      <c r="D82" s="502"/>
      <c r="E82" s="502"/>
      <c r="F82" s="502"/>
      <c r="G82" s="502"/>
      <c r="H82" s="502"/>
      <c r="I82" s="502"/>
      <c r="J82" s="502"/>
      <c r="K82" s="502"/>
      <c r="L82" s="528"/>
      <c r="M82" s="529"/>
      <c r="N82" s="930"/>
      <c r="O82" s="930"/>
      <c r="P82" s="42"/>
      <c r="Q82" s="452"/>
    </row>
    <row r="83" spans="1:17" s="108" customFormat="1" ht="14.4" thickBot="1">
      <c r="A83" s="527"/>
      <c r="B83" s="491"/>
      <c r="C83" s="508"/>
      <c r="D83" s="484"/>
      <c r="E83" s="484"/>
      <c r="F83" s="484"/>
      <c r="G83" s="484"/>
      <c r="H83" s="484"/>
      <c r="I83" s="484"/>
      <c r="J83" s="484"/>
      <c r="K83" s="484"/>
      <c r="L83" s="484"/>
      <c r="M83" s="485"/>
      <c r="N83" s="932"/>
      <c r="O83" s="932"/>
      <c r="P83" s="42"/>
      <c r="Q83" s="452"/>
    </row>
    <row r="84" spans="1:17" s="421" customFormat="1" ht="14.4" thickTop="1">
      <c r="A84" s="501"/>
      <c r="B84" s="486">
        <f>B27</f>
        <v>111</v>
      </c>
      <c r="C84" s="502"/>
      <c r="D84" s="502"/>
      <c r="E84" s="502"/>
      <c r="F84" s="502"/>
      <c r="G84" s="502"/>
      <c r="H84" s="502"/>
      <c r="I84" s="502"/>
      <c r="J84" s="502"/>
      <c r="K84" s="502"/>
      <c r="L84" s="528"/>
      <c r="M84" s="529"/>
      <c r="N84" s="933"/>
      <c r="O84" s="933"/>
      <c r="P84" s="506"/>
      <c r="Q84" s="507"/>
    </row>
    <row r="85" spans="1:17" s="421" customFormat="1" ht="14.4" thickBot="1">
      <c r="A85" s="501"/>
      <c r="B85" s="491"/>
      <c r="C85" s="508"/>
      <c r="D85" s="484"/>
      <c r="E85" s="484"/>
      <c r="F85" s="484"/>
      <c r="G85" s="484"/>
      <c r="H85" s="484"/>
      <c r="I85" s="484"/>
      <c r="J85" s="484"/>
      <c r="K85" s="484"/>
      <c r="L85" s="484"/>
      <c r="M85" s="485"/>
      <c r="N85" s="933"/>
      <c r="O85" s="933"/>
      <c r="P85" s="506"/>
      <c r="Q85" s="507"/>
    </row>
    <row r="86" spans="1:17" ht="14.4" thickTop="1">
      <c r="A86" s="482"/>
      <c r="B86" s="494">
        <f>B28</f>
        <v>111</v>
      </c>
      <c r="C86" s="471"/>
      <c r="D86" s="471"/>
      <c r="E86" s="471"/>
      <c r="F86" s="471"/>
      <c r="G86" s="535"/>
      <c r="H86" s="535"/>
      <c r="I86" s="535"/>
      <c r="J86" s="535"/>
      <c r="K86" s="536"/>
      <c r="L86" s="537"/>
      <c r="M86" s="538"/>
      <c r="N86" s="931"/>
      <c r="O86" s="931"/>
      <c r="P86" s="42"/>
      <c r="Q86" s="452"/>
    </row>
    <row r="87" spans="1:17" ht="14.4" thickBot="1">
      <c r="A87" s="1926"/>
      <c r="B87" s="517"/>
      <c r="C87" s="518"/>
      <c r="D87" s="518"/>
      <c r="E87" s="518"/>
      <c r="F87" s="518"/>
      <c r="G87" s="539"/>
      <c r="H87" s="539"/>
      <c r="I87" s="539"/>
      <c r="J87" s="539"/>
      <c r="K87" s="539"/>
      <c r="L87" s="539"/>
      <c r="M87" s="540"/>
      <c r="N87" s="932"/>
      <c r="O87" s="932"/>
      <c r="P87" s="42"/>
      <c r="Q87" s="452"/>
    </row>
    <row r="88" spans="1:17" ht="14.4">
      <c r="A88" s="475" t="s">
        <v>1694</v>
      </c>
      <c r="B88" s="476" t="s">
        <v>1736</v>
      </c>
      <c r="C88" s="478"/>
      <c r="D88" s="478"/>
      <c r="E88" s="478"/>
      <c r="F88" s="478"/>
      <c r="G88" s="478"/>
      <c r="H88" s="478"/>
      <c r="I88" s="478"/>
      <c r="J88" s="478"/>
      <c r="K88" s="479"/>
      <c r="L88" s="480"/>
      <c r="M88" s="481"/>
      <c r="N88" s="931"/>
      <c r="O88" s="931"/>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4.4"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4.4"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4.4" thickBot="1">
      <c r="A109" s="501"/>
      <c r="B109" s="483"/>
      <c r="C109" s="508"/>
      <c r="D109" s="484"/>
      <c r="E109" s="484"/>
      <c r="F109" s="484"/>
      <c r="G109" s="508"/>
      <c r="H109" s="510"/>
      <c r="I109" s="510"/>
      <c r="J109" s="510"/>
      <c r="K109" s="510"/>
      <c r="L109" s="510"/>
      <c r="M109" s="511"/>
      <c r="N109" s="933"/>
      <c r="O109" s="933"/>
      <c r="P109" s="506"/>
      <c r="Q109" s="507"/>
    </row>
    <row r="110" spans="1:17" ht="14.4" thickTop="1">
      <c r="A110" s="547"/>
      <c r="B110" s="486">
        <f>B39</f>
        <v>111</v>
      </c>
      <c r="C110" s="502"/>
      <c r="D110" s="502"/>
      <c r="E110" s="502"/>
      <c r="F110" s="502"/>
      <c r="G110" s="502"/>
      <c r="H110" s="503"/>
      <c r="I110" s="503"/>
      <c r="J110" s="503"/>
      <c r="K110" s="503"/>
      <c r="L110" s="504"/>
      <c r="M110" s="505"/>
      <c r="N110" s="931"/>
      <c r="O110" s="931"/>
      <c r="P110" s="42"/>
      <c r="Q110" s="452"/>
    </row>
    <row r="111" spans="1:17" ht="14.4" thickBot="1">
      <c r="A111" s="482"/>
      <c r="B111" s="491"/>
      <c r="C111" s="508"/>
      <c r="D111" s="484"/>
      <c r="E111" s="484"/>
      <c r="F111" s="484"/>
      <c r="G111" s="508"/>
      <c r="H111" s="510"/>
      <c r="I111" s="510"/>
      <c r="J111" s="510"/>
      <c r="K111" s="510"/>
      <c r="L111" s="510"/>
      <c r="M111" s="511"/>
      <c r="N111" s="932"/>
      <c r="O111" s="932"/>
      <c r="P111" s="42"/>
      <c r="Q111" s="452"/>
    </row>
    <row r="112" spans="1:17" ht="14.4" thickTop="1">
      <c r="A112" s="547"/>
      <c r="B112" s="494">
        <f>B40</f>
        <v>111</v>
      </c>
      <c r="C112" s="471"/>
      <c r="D112" s="471"/>
      <c r="E112" s="471"/>
      <c r="F112" s="471"/>
      <c r="G112" s="535"/>
      <c r="H112" s="535"/>
      <c r="I112" s="535"/>
      <c r="J112" s="535"/>
      <c r="K112" s="471"/>
      <c r="L112" s="472"/>
      <c r="M112" s="538"/>
      <c r="N112" s="931"/>
      <c r="O112" s="931"/>
      <c r="P112" s="42"/>
      <c r="Q112" s="452"/>
    </row>
    <row r="113" spans="1:17" ht="14.4"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3329</v>
      </c>
      <c r="C1" s="1222" t="s">
        <v>1662</v>
      </c>
      <c r="D1" s="1223"/>
      <c r="E1" s="3424"/>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4.4">
      <c r="A4" s="354" t="s">
        <v>1769</v>
      </c>
      <c r="B4" s="355"/>
      <c r="C4" s="3761" t="s">
        <v>1770</v>
      </c>
      <c r="D4" s="3762"/>
      <c r="E4" s="3763" t="s">
        <v>1771</v>
      </c>
      <c r="F4" s="3764"/>
      <c r="G4" s="3761" t="s">
        <v>1772</v>
      </c>
      <c r="H4" s="3762"/>
      <c r="I4" s="3761" t="s">
        <v>1773</v>
      </c>
      <c r="J4" s="3762"/>
      <c r="K4" s="558" t="s">
        <v>1774</v>
      </c>
      <c r="L4" s="2712"/>
      <c r="M4" s="2713"/>
      <c r="N4" s="2713"/>
      <c r="O4" s="2713"/>
      <c r="P4" s="3765" t="s">
        <v>1775</v>
      </c>
      <c r="Q4" s="3766"/>
      <c r="R4" s="3771" t="s">
        <v>1771</v>
      </c>
      <c r="S4" s="3772"/>
      <c r="T4" s="3771" t="s">
        <v>1772</v>
      </c>
      <c r="U4" s="3772"/>
      <c r="V4" s="3777" t="s">
        <v>1773</v>
      </c>
      <c r="W4" s="3777"/>
      <c r="X4" s="1353"/>
      <c r="Y4" s="3771" t="s">
        <v>1775</v>
      </c>
      <c r="Z4" s="3772"/>
      <c r="AA4" s="3758" t="s">
        <v>1771</v>
      </c>
      <c r="AB4" s="3759" t="s">
        <v>1772</v>
      </c>
      <c r="AC4" s="3758" t="s">
        <v>1773</v>
      </c>
    </row>
    <row r="5" spans="1:29">
      <c r="A5" s="357"/>
      <c r="B5" s="358"/>
      <c r="C5" s="3780" t="s">
        <v>1673</v>
      </c>
      <c r="D5" s="3781"/>
      <c r="E5" s="3787" t="s">
        <v>1674</v>
      </c>
      <c r="F5" s="3788"/>
      <c r="G5" s="3780" t="s">
        <v>1675</v>
      </c>
      <c r="H5" s="3781"/>
      <c r="I5" s="3780" t="s">
        <v>1676</v>
      </c>
      <c r="J5" s="3781"/>
      <c r="K5" s="558"/>
      <c r="L5" s="2712"/>
      <c r="M5" s="2713"/>
      <c r="N5" s="2713"/>
      <c r="O5" s="2713"/>
      <c r="P5" s="3767"/>
      <c r="Q5" s="3768"/>
      <c r="R5" s="3773"/>
      <c r="S5" s="3774"/>
      <c r="T5" s="3773"/>
      <c r="U5" s="3774"/>
      <c r="V5" s="3777"/>
      <c r="W5" s="3777"/>
      <c r="X5" s="1353"/>
      <c r="Y5" s="3773"/>
      <c r="Z5" s="3774"/>
      <c r="AA5" s="3759"/>
      <c r="AB5" s="3759"/>
      <c r="AC5" s="3759"/>
    </row>
    <row r="6" spans="1:29" ht="15" thickBot="1">
      <c r="A6" s="359"/>
      <c r="B6" s="360"/>
      <c r="C6" s="3778" t="s">
        <v>1677</v>
      </c>
      <c r="D6" s="3779"/>
      <c r="E6" s="3785" t="s">
        <v>1677</v>
      </c>
      <c r="F6" s="3786"/>
      <c r="G6" s="3778" t="s">
        <v>1677</v>
      </c>
      <c r="H6" s="3779"/>
      <c r="I6" s="3778" t="s">
        <v>1677</v>
      </c>
      <c r="J6" s="3779"/>
      <c r="K6" s="558" t="s">
        <v>1678</v>
      </c>
      <c r="L6" s="2712"/>
      <c r="M6" s="2713"/>
      <c r="N6" s="2713"/>
      <c r="O6" s="2713"/>
      <c r="P6" s="3769"/>
      <c r="Q6" s="3770"/>
      <c r="R6" s="3773"/>
      <c r="S6" s="3774"/>
      <c r="T6" s="3775"/>
      <c r="U6" s="3776"/>
      <c r="V6" s="3777"/>
      <c r="W6" s="3777"/>
      <c r="X6" s="1353"/>
      <c r="Y6" s="3775"/>
      <c r="Z6" s="3776"/>
      <c r="AA6" s="3760"/>
      <c r="AB6" s="3760"/>
      <c r="AC6" s="3760"/>
    </row>
    <row r="7" spans="1:29" s="108" customFormat="1" ht="15" thickBot="1">
      <c r="A7" s="361" t="s">
        <v>1679</v>
      </c>
      <c r="B7" s="362"/>
      <c r="C7" s="363">
        <f>'数据-取费表'!B2</f>
        <v>45882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82" t="s">
        <v>1680</v>
      </c>
      <c r="Q7" s="3784"/>
      <c r="R7" s="700" t="s">
        <v>14</v>
      </c>
      <c r="S7" s="701">
        <f t="shared" ref="S7:S14" si="0">F7</f>
        <v>0</v>
      </c>
      <c r="T7" s="700" t="s">
        <v>14</v>
      </c>
      <c r="U7" s="701">
        <f t="shared" ref="U7:U14" si="1">H7</f>
        <v>0</v>
      </c>
      <c r="V7" s="700" t="s">
        <v>14</v>
      </c>
      <c r="W7" s="701">
        <f t="shared" ref="W7:W14" si="2">J7</f>
        <v>0</v>
      </c>
      <c r="X7" s="702"/>
      <c r="Y7" s="3782" t="s">
        <v>1680</v>
      </c>
      <c r="Z7" s="3783"/>
      <c r="AA7" s="703" t="e">
        <f>D7/F7</f>
        <v>#DIV/0!</v>
      </c>
      <c r="AB7" s="703" t="e">
        <f>D7/H7</f>
        <v>#DIV/0!</v>
      </c>
      <c r="AC7" s="703"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82" t="s">
        <v>1683</v>
      </c>
      <c r="Q8" s="3783"/>
      <c r="R8" s="700" t="s">
        <v>14</v>
      </c>
      <c r="S8" s="701">
        <f t="shared" si="0"/>
        <v>100</v>
      </c>
      <c r="T8" s="700" t="s">
        <v>14</v>
      </c>
      <c r="U8" s="701">
        <f t="shared" si="1"/>
        <v>100</v>
      </c>
      <c r="V8" s="700" t="s">
        <v>14</v>
      </c>
      <c r="W8" s="701">
        <f t="shared" si="2"/>
        <v>100</v>
      </c>
      <c r="X8" s="702"/>
      <c r="Y8" s="3782" t="s">
        <v>1683</v>
      </c>
      <c r="Z8" s="3783"/>
      <c r="AA8" s="703">
        <f t="shared" ref="AA8:AA36" si="3">D8/F8</f>
        <v>1</v>
      </c>
      <c r="AB8" s="703">
        <f t="shared" ref="AB8:AB36" si="4">D8/H8</f>
        <v>1</v>
      </c>
      <c r="AC8" s="703">
        <f t="shared" ref="AC8:AC36" si="5">D8/J8</f>
        <v>1</v>
      </c>
    </row>
    <row r="9" spans="1:29" s="108" customFormat="1" ht="14.4">
      <c r="A9" s="60" t="s">
        <v>1684</v>
      </c>
      <c r="B9" s="587" t="s">
        <v>1685</v>
      </c>
      <c r="C9" s="369"/>
      <c r="D9" s="126">
        <v>100</v>
      </c>
      <c r="E9" s="372"/>
      <c r="F9" s="126">
        <f>SUMIF(53:53,E9,54:54)-SUMIF(53:53,C9,54:54)+100</f>
        <v>100</v>
      </c>
      <c r="G9" s="370"/>
      <c r="H9" s="126">
        <f>SUMIF(53:53,G9,54:54)-SUMIF(53:53,C9,54:54)+100</f>
        <v>100</v>
      </c>
      <c r="I9" s="370"/>
      <c r="J9" s="126">
        <f>SUMIF(53:53,I9,54:54)-SUMIF(53:53,C9,54:54)+100</f>
        <v>100</v>
      </c>
      <c r="K9" s="559"/>
      <c r="L9" s="2714"/>
      <c r="M9" s="2715"/>
      <c r="N9" s="2715"/>
      <c r="O9" s="2715"/>
      <c r="P9" s="3746" t="s">
        <v>1686</v>
      </c>
      <c r="Q9" s="1341" t="str">
        <f t="shared" ref="Q9:Q14" si="6">B9</f>
        <v>用途</v>
      </c>
      <c r="R9" s="700" t="s">
        <v>14</v>
      </c>
      <c r="S9" s="701">
        <f t="shared" si="0"/>
        <v>100</v>
      </c>
      <c r="T9" s="700" t="s">
        <v>14</v>
      </c>
      <c r="U9" s="701">
        <f t="shared" si="1"/>
        <v>100</v>
      </c>
      <c r="V9" s="700" t="s">
        <v>14</v>
      </c>
      <c r="W9" s="701">
        <f t="shared" si="2"/>
        <v>100</v>
      </c>
      <c r="X9" s="702"/>
      <c r="Y9" s="3602" t="s">
        <v>1687</v>
      </c>
      <c r="Z9" s="52" t="str">
        <f t="shared" ref="Z9:Z14" si="7">Q9</f>
        <v>用途</v>
      </c>
      <c r="AA9" s="703">
        <f t="shared" si="3"/>
        <v>1</v>
      </c>
      <c r="AB9" s="703">
        <f t="shared" si="4"/>
        <v>1</v>
      </c>
      <c r="AC9" s="703">
        <f t="shared" si="5"/>
        <v>1</v>
      </c>
    </row>
    <row r="10" spans="1:29" s="377" customFormat="1" ht="28.8">
      <c r="A10" s="588"/>
      <c r="B10" s="589" t="s">
        <v>1688</v>
      </c>
      <c r="C10" s="3425"/>
      <c r="D10" s="127">
        <v>100</v>
      </c>
      <c r="E10" s="3425"/>
      <c r="F10" s="127">
        <f>SUMIF(55:55,E10,56:56)-SUMIF(55:55,C10,56:56)+100</f>
        <v>100</v>
      </c>
      <c r="G10" s="3426"/>
      <c r="H10" s="127">
        <f>SUMIF(55:55,G10,56:56)-SUMIF(55:55,C10,56:56)+100</f>
        <v>100</v>
      </c>
      <c r="I10" s="3425"/>
      <c r="J10" s="127">
        <f>SUMIF(55:55,I10,56:56)-SUMIF(55:55,C10,56:56)+100</f>
        <v>100</v>
      </c>
      <c r="K10" s="559"/>
      <c r="L10" s="2716"/>
      <c r="M10" s="2717"/>
      <c r="N10" s="2717"/>
      <c r="O10" s="2717"/>
      <c r="P10" s="3746"/>
      <c r="Q10" s="1341" t="str">
        <f t="shared" si="6"/>
        <v>土地使用年限（年）</v>
      </c>
      <c r="R10" s="700" t="s">
        <v>14</v>
      </c>
      <c r="S10" s="701">
        <f t="shared" si="0"/>
        <v>100</v>
      </c>
      <c r="T10" s="700" t="s">
        <v>14</v>
      </c>
      <c r="U10" s="701">
        <f t="shared" si="1"/>
        <v>100</v>
      </c>
      <c r="V10" s="700" t="s">
        <v>14</v>
      </c>
      <c r="W10" s="701">
        <f t="shared" si="2"/>
        <v>100</v>
      </c>
      <c r="X10" s="702"/>
      <c r="Y10" s="3602"/>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18"/>
      <c r="M11" s="2713"/>
      <c r="N11" s="2713"/>
      <c r="O11" s="2713"/>
      <c r="P11" s="3746"/>
      <c r="Q11" s="1341">
        <f t="shared" si="6"/>
        <v>111</v>
      </c>
      <c r="R11" s="700" t="s">
        <v>14</v>
      </c>
      <c r="S11" s="701">
        <f t="shared" si="0"/>
        <v>100</v>
      </c>
      <c r="T11" s="700" t="s">
        <v>14</v>
      </c>
      <c r="U11" s="701">
        <f t="shared" si="1"/>
        <v>100</v>
      </c>
      <c r="V11" s="700" t="s">
        <v>14</v>
      </c>
      <c r="W11" s="701">
        <f t="shared" si="2"/>
        <v>100</v>
      </c>
      <c r="X11" s="702"/>
      <c r="Y11" s="3602"/>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714"/>
      <c r="M12" s="2715"/>
      <c r="N12" s="2715"/>
      <c r="O12" s="2715"/>
      <c r="P12" s="3746"/>
      <c r="Q12" s="1341">
        <f t="shared" si="6"/>
        <v>111</v>
      </c>
      <c r="R12" s="700" t="s">
        <v>14</v>
      </c>
      <c r="S12" s="701">
        <f t="shared" si="0"/>
        <v>100</v>
      </c>
      <c r="T12" s="700" t="s">
        <v>14</v>
      </c>
      <c r="U12" s="701">
        <f t="shared" si="1"/>
        <v>100</v>
      </c>
      <c r="V12" s="700" t="s">
        <v>14</v>
      </c>
      <c r="W12" s="701">
        <f t="shared" si="2"/>
        <v>100</v>
      </c>
      <c r="X12" s="702"/>
      <c r="Y12" s="3602"/>
      <c r="Z12" s="52">
        <f t="shared" si="7"/>
        <v>111</v>
      </c>
      <c r="AA12" s="703">
        <f>D12/F12</f>
        <v>1</v>
      </c>
      <c r="AB12" s="703">
        <f>D12/H12</f>
        <v>1</v>
      </c>
      <c r="AC12" s="703">
        <f>D12/J12</f>
        <v>1</v>
      </c>
    </row>
    <row r="13" spans="1:29" ht="15.6"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19"/>
      <c r="M13" s="2713"/>
      <c r="N13" s="2713"/>
      <c r="O13" s="2713"/>
      <c r="P13" s="3746"/>
      <c r="Q13" s="1341">
        <f t="shared" si="6"/>
        <v>111</v>
      </c>
      <c r="R13" s="700" t="s">
        <v>14</v>
      </c>
      <c r="S13" s="701">
        <f t="shared" si="0"/>
        <v>100</v>
      </c>
      <c r="T13" s="700" t="s">
        <v>14</v>
      </c>
      <c r="U13" s="701">
        <f t="shared" si="1"/>
        <v>100</v>
      </c>
      <c r="V13" s="700" t="s">
        <v>14</v>
      </c>
      <c r="W13" s="701">
        <f t="shared" si="2"/>
        <v>100</v>
      </c>
      <c r="X13" s="702"/>
      <c r="Y13" s="3602"/>
      <c r="Z13" s="52">
        <f t="shared" si="7"/>
        <v>111</v>
      </c>
      <c r="AA13" s="703">
        <f t="shared" si="3"/>
        <v>1</v>
      </c>
      <c r="AB13" s="703">
        <f t="shared" si="4"/>
        <v>1</v>
      </c>
      <c r="AC13" s="703">
        <f t="shared" si="5"/>
        <v>1</v>
      </c>
    </row>
    <row r="14" spans="1:29" ht="96.6">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48" t="s">
        <v>1691</v>
      </c>
      <c r="Q14" s="1350" t="str">
        <f t="shared" si="6"/>
        <v>交通便捷度</v>
      </c>
      <c r="R14" s="704" t="s">
        <v>14</v>
      </c>
      <c r="S14" s="705">
        <f t="shared" si="0"/>
        <v>100</v>
      </c>
      <c r="T14" s="704" t="s">
        <v>14</v>
      </c>
      <c r="U14" s="705">
        <f t="shared" si="1"/>
        <v>100</v>
      </c>
      <c r="V14" s="704" t="s">
        <v>14</v>
      </c>
      <c r="W14" s="705">
        <f t="shared" si="2"/>
        <v>100</v>
      </c>
      <c r="X14" s="1353"/>
      <c r="Y14" s="3748"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749"/>
      <c r="Q15" s="1350"/>
      <c r="R15" s="704"/>
      <c r="S15" s="705"/>
      <c r="T15" s="704"/>
      <c r="U15" s="705"/>
      <c r="V15" s="704"/>
      <c r="W15" s="705"/>
      <c r="X15" s="1353"/>
      <c r="Y15" s="3749"/>
      <c r="Z15" s="1354"/>
      <c r="AA15" s="1351">
        <v>1</v>
      </c>
      <c r="AB15" s="1351">
        <v>1</v>
      </c>
      <c r="AC15" s="1351">
        <v>1</v>
      </c>
    </row>
    <row r="16" spans="1:29" ht="41.4">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49"/>
      <c r="Q16" s="1350" t="str">
        <f>B16</f>
        <v>公共配套设施</v>
      </c>
      <c r="R16" s="704" t="s">
        <v>14</v>
      </c>
      <c r="S16" s="705">
        <f>F16</f>
        <v>100</v>
      </c>
      <c r="T16" s="704" t="s">
        <v>14</v>
      </c>
      <c r="U16" s="705">
        <f>H16</f>
        <v>100</v>
      </c>
      <c r="V16" s="704" t="s">
        <v>14</v>
      </c>
      <c r="W16" s="705">
        <f>J16</f>
        <v>100</v>
      </c>
      <c r="X16" s="1353"/>
      <c r="Y16" s="3749"/>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749"/>
      <c r="Q17" s="1350"/>
      <c r="R17" s="704"/>
      <c r="S17" s="705"/>
      <c r="T17" s="704"/>
      <c r="U17" s="705"/>
      <c r="V17" s="704"/>
      <c r="W17" s="705"/>
      <c r="X17" s="1353"/>
      <c r="Y17" s="3749"/>
      <c r="Z17" s="1354"/>
      <c r="AA17" s="1351">
        <v>1</v>
      </c>
      <c r="AB17" s="1351">
        <v>1</v>
      </c>
      <c r="AC17" s="1351">
        <v>1</v>
      </c>
    </row>
    <row r="18" spans="1:29" ht="41.4">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49"/>
      <c r="Q18" s="1350" t="str">
        <f>B18</f>
        <v>基础设施水平</v>
      </c>
      <c r="R18" s="704" t="s">
        <v>14</v>
      </c>
      <c r="S18" s="705">
        <f>F18</f>
        <v>100</v>
      </c>
      <c r="T18" s="704" t="s">
        <v>14</v>
      </c>
      <c r="U18" s="705">
        <f>H18</f>
        <v>100</v>
      </c>
      <c r="V18" s="704" t="s">
        <v>14</v>
      </c>
      <c r="W18" s="705">
        <f>J18</f>
        <v>100</v>
      </c>
      <c r="X18" s="1353"/>
      <c r="Y18" s="3749"/>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9"/>
      <c r="M19" s="2713"/>
      <c r="N19" s="2713"/>
      <c r="O19" s="2713"/>
      <c r="P19" s="3749"/>
      <c r="Q19" s="1350"/>
      <c r="R19" s="704"/>
      <c r="S19" s="705"/>
      <c r="T19" s="704"/>
      <c r="U19" s="705"/>
      <c r="V19" s="704"/>
      <c r="W19" s="705"/>
      <c r="X19" s="1353"/>
      <c r="Y19" s="3749"/>
      <c r="Z19" s="1354"/>
      <c r="AA19" s="1351">
        <v>1</v>
      </c>
      <c r="AB19" s="1351">
        <v>1</v>
      </c>
      <c r="AC19" s="1351">
        <v>1</v>
      </c>
    </row>
    <row r="20" spans="1:29" ht="55.2">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49"/>
      <c r="Q20" s="1350" t="str">
        <f>B20</f>
        <v>自然及人文环境</v>
      </c>
      <c r="R20" s="704" t="s">
        <v>14</v>
      </c>
      <c r="S20" s="705">
        <f>F20</f>
        <v>100</v>
      </c>
      <c r="T20" s="704" t="s">
        <v>14</v>
      </c>
      <c r="U20" s="705">
        <f>H20</f>
        <v>100</v>
      </c>
      <c r="V20" s="704" t="s">
        <v>14</v>
      </c>
      <c r="W20" s="705">
        <f>J20</f>
        <v>100</v>
      </c>
      <c r="X20" s="1353"/>
      <c r="Y20" s="3749"/>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749"/>
      <c r="Q21" s="1350"/>
      <c r="R21" s="704"/>
      <c r="S21" s="705"/>
      <c r="T21" s="704"/>
      <c r="U21" s="705"/>
      <c r="V21" s="704"/>
      <c r="W21" s="705"/>
      <c r="X21" s="1353"/>
      <c r="Y21" s="3749"/>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49"/>
      <c r="Q22" s="1350" t="str">
        <f>B22</f>
        <v>楼层</v>
      </c>
      <c r="R22" s="704" t="s">
        <v>14</v>
      </c>
      <c r="S22" s="705">
        <f>F22</f>
        <v>100</v>
      </c>
      <c r="T22" s="704" t="s">
        <v>14</v>
      </c>
      <c r="U22" s="705">
        <f>H22</f>
        <v>100</v>
      </c>
      <c r="V22" s="704" t="s">
        <v>14</v>
      </c>
      <c r="W22" s="705">
        <f>J22</f>
        <v>100</v>
      </c>
      <c r="X22" s="1353"/>
      <c r="Y22" s="3749"/>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49"/>
      <c r="Q23" s="1350">
        <f>B23</f>
        <v>111</v>
      </c>
      <c r="R23" s="704" t="s">
        <v>14</v>
      </c>
      <c r="S23" s="705">
        <f>F23</f>
        <v>100</v>
      </c>
      <c r="T23" s="704" t="s">
        <v>14</v>
      </c>
      <c r="U23" s="705">
        <f>H23</f>
        <v>100</v>
      </c>
      <c r="V23" s="704" t="s">
        <v>14</v>
      </c>
      <c r="W23" s="705">
        <f>J23</f>
        <v>100</v>
      </c>
      <c r="X23" s="1353"/>
      <c r="Y23" s="3749"/>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49"/>
      <c r="Q24" s="1350">
        <f t="shared" ref="Q24:Q36" si="11">B24</f>
        <v>111</v>
      </c>
      <c r="R24" s="704" t="s">
        <v>14</v>
      </c>
      <c r="S24" s="705">
        <f>F24</f>
        <v>100</v>
      </c>
      <c r="T24" s="704" t="s">
        <v>14</v>
      </c>
      <c r="U24" s="705">
        <f>H24</f>
        <v>100</v>
      </c>
      <c r="V24" s="704" t="s">
        <v>14</v>
      </c>
      <c r="W24" s="705">
        <f>J24</f>
        <v>100</v>
      </c>
      <c r="X24" s="1353"/>
      <c r="Y24" s="3749"/>
      <c r="Z24" s="1354">
        <f>Q24</f>
        <v>111</v>
      </c>
      <c r="AA24" s="1351">
        <f t="shared" si="3"/>
        <v>1</v>
      </c>
      <c r="AB24" s="1351">
        <f t="shared" si="4"/>
        <v>1</v>
      </c>
      <c r="AC24" s="1351">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49"/>
      <c r="Q25" s="1341">
        <f t="shared" si="11"/>
        <v>111</v>
      </c>
      <c r="R25" s="700" t="s">
        <v>14</v>
      </c>
      <c r="S25" s="701">
        <f>F25</f>
        <v>100</v>
      </c>
      <c r="T25" s="700" t="s">
        <v>14</v>
      </c>
      <c r="U25" s="701">
        <f>H25</f>
        <v>100</v>
      </c>
      <c r="V25" s="700" t="s">
        <v>14</v>
      </c>
      <c r="W25" s="701">
        <f>J25</f>
        <v>100</v>
      </c>
      <c r="X25" s="702"/>
      <c r="Y25" s="3749"/>
      <c r="Z25" s="52">
        <f>Q25</f>
        <v>111</v>
      </c>
      <c r="AA25" s="1351">
        <f>D25/F25</f>
        <v>1</v>
      </c>
      <c r="AB25" s="1351">
        <f>D25/H25</f>
        <v>1</v>
      </c>
      <c r="AC25" s="1351">
        <f>D25/J25</f>
        <v>1</v>
      </c>
    </row>
    <row r="26" spans="1:29" ht="30">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804"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53"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7">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53"/>
      <c r="Q27" s="706" t="str">
        <f t="shared" si="11"/>
        <v>项目停车位配比</v>
      </c>
      <c r="R27" s="707" t="s">
        <v>14</v>
      </c>
      <c r="S27" s="708">
        <f t="shared" si="12"/>
        <v>100</v>
      </c>
      <c r="T27" s="707" t="s">
        <v>14</v>
      </c>
      <c r="U27" s="708">
        <f t="shared" si="13"/>
        <v>100</v>
      </c>
      <c r="V27" s="707" t="s">
        <v>14</v>
      </c>
      <c r="W27" s="708">
        <f t="shared" si="14"/>
        <v>100</v>
      </c>
      <c r="X27" s="709"/>
      <c r="Y27" s="3753"/>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53"/>
      <c r="Q28" s="1350" t="str">
        <f t="shared" si="11"/>
        <v>公共部分装修</v>
      </c>
      <c r="R28" s="704" t="s">
        <v>14</v>
      </c>
      <c r="S28" s="705">
        <f t="shared" si="12"/>
        <v>100</v>
      </c>
      <c r="T28" s="704" t="s">
        <v>14</v>
      </c>
      <c r="U28" s="705">
        <f t="shared" si="13"/>
        <v>100</v>
      </c>
      <c r="V28" s="704" t="s">
        <v>14</v>
      </c>
      <c r="W28" s="705">
        <f t="shared" si="14"/>
        <v>100</v>
      </c>
      <c r="X28" s="1353"/>
      <c r="Y28" s="3753"/>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53"/>
      <c r="Q29" s="1350" t="str">
        <f t="shared" si="11"/>
        <v>成新率</v>
      </c>
      <c r="R29" s="704" t="s">
        <v>14</v>
      </c>
      <c r="S29" s="705" t="e">
        <f t="shared" si="12"/>
        <v>#N/A</v>
      </c>
      <c r="T29" s="704" t="s">
        <v>14</v>
      </c>
      <c r="U29" s="705" t="e">
        <f t="shared" si="13"/>
        <v>#N/A</v>
      </c>
      <c r="V29" s="704" t="s">
        <v>14</v>
      </c>
      <c r="W29" s="705" t="e">
        <f t="shared" si="14"/>
        <v>#N/A</v>
      </c>
      <c r="X29" s="1353"/>
      <c r="Y29" s="3753"/>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53"/>
      <c r="Q30" s="1350" t="str">
        <f t="shared" si="11"/>
        <v>物业等级</v>
      </c>
      <c r="R30" s="704" t="s">
        <v>14</v>
      </c>
      <c r="S30" s="705">
        <f t="shared" si="12"/>
        <v>100</v>
      </c>
      <c r="T30" s="704" t="s">
        <v>14</v>
      </c>
      <c r="U30" s="705">
        <f t="shared" si="13"/>
        <v>100</v>
      </c>
      <c r="V30" s="704" t="s">
        <v>14</v>
      </c>
      <c r="W30" s="705">
        <f t="shared" si="14"/>
        <v>100</v>
      </c>
      <c r="X30" s="1353"/>
      <c r="Y30" s="3753"/>
      <c r="Z30" s="1354" t="str">
        <f t="shared" si="15"/>
        <v>物业等级</v>
      </c>
      <c r="AA30" s="1351">
        <f t="shared" si="3"/>
        <v>1</v>
      </c>
      <c r="AB30" s="1351">
        <f t="shared" si="4"/>
        <v>1</v>
      </c>
      <c r="AC30" s="1351">
        <f t="shared" si="5"/>
        <v>1</v>
      </c>
    </row>
    <row r="31" spans="1:29" s="108" customFormat="1" ht="15">
      <c r="A31" s="605"/>
      <c r="B31" s="601" t="s">
        <v>1841</v>
      </c>
      <c r="C31" s="419"/>
      <c r="D31" s="127">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53"/>
      <c r="Q31" s="1341" t="str">
        <f t="shared" si="11"/>
        <v>停车位面积</v>
      </c>
      <c r="R31" s="700" t="s">
        <v>14</v>
      </c>
      <c r="S31" s="701" t="e">
        <f t="shared" si="12"/>
        <v>#N/A</v>
      </c>
      <c r="T31" s="700" t="s">
        <v>14</v>
      </c>
      <c r="U31" s="701" t="e">
        <f t="shared" si="13"/>
        <v>#N/A</v>
      </c>
      <c r="V31" s="700" t="s">
        <v>14</v>
      </c>
      <c r="W31" s="701" t="e">
        <f t="shared" si="14"/>
        <v>#N/A</v>
      </c>
      <c r="X31" s="702"/>
      <c r="Y31" s="3753"/>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53" t="s">
        <v>1696</v>
      </c>
      <c r="Q32" s="1350" t="str">
        <f t="shared" si="11"/>
        <v>车位类型</v>
      </c>
      <c r="R32" s="704" t="s">
        <v>14</v>
      </c>
      <c r="S32" s="705">
        <f t="shared" si="12"/>
        <v>100</v>
      </c>
      <c r="T32" s="704" t="s">
        <v>14</v>
      </c>
      <c r="U32" s="705">
        <f t="shared" si="13"/>
        <v>100</v>
      </c>
      <c r="V32" s="704" t="s">
        <v>14</v>
      </c>
      <c r="W32" s="705">
        <f t="shared" si="14"/>
        <v>100</v>
      </c>
      <c r="X32" s="1353"/>
      <c r="Y32" s="3753"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53"/>
      <c r="Q33" s="1350" t="str">
        <f t="shared" si="11"/>
        <v>是否直接入户</v>
      </c>
      <c r="R33" s="704" t="s">
        <v>14</v>
      </c>
      <c r="S33" s="705">
        <f t="shared" si="12"/>
        <v>100</v>
      </c>
      <c r="T33" s="704" t="s">
        <v>14</v>
      </c>
      <c r="U33" s="705">
        <f t="shared" si="13"/>
        <v>100</v>
      </c>
      <c r="V33" s="704" t="s">
        <v>14</v>
      </c>
      <c r="W33" s="705">
        <f t="shared" si="14"/>
        <v>100</v>
      </c>
      <c r="X33" s="1353"/>
      <c r="Y33" s="3753"/>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53"/>
      <c r="Q34" s="1350">
        <f t="shared" si="11"/>
        <v>111</v>
      </c>
      <c r="R34" s="704" t="s">
        <v>14</v>
      </c>
      <c r="S34" s="705">
        <f t="shared" si="12"/>
        <v>100</v>
      </c>
      <c r="T34" s="704" t="s">
        <v>14</v>
      </c>
      <c r="U34" s="705">
        <f t="shared" si="13"/>
        <v>100</v>
      </c>
      <c r="V34" s="704" t="s">
        <v>14</v>
      </c>
      <c r="W34" s="705">
        <f t="shared" si="14"/>
        <v>100</v>
      </c>
      <c r="X34" s="1353"/>
      <c r="Y34" s="3753"/>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53"/>
      <c r="Q35" s="706">
        <f t="shared" si="11"/>
        <v>111</v>
      </c>
      <c r="R35" s="707" t="s">
        <v>14</v>
      </c>
      <c r="S35" s="708">
        <f t="shared" si="12"/>
        <v>100</v>
      </c>
      <c r="T35" s="707" t="s">
        <v>14</v>
      </c>
      <c r="U35" s="708">
        <f t="shared" si="13"/>
        <v>100</v>
      </c>
      <c r="V35" s="707" t="s">
        <v>14</v>
      </c>
      <c r="W35" s="708">
        <f t="shared" si="14"/>
        <v>100</v>
      </c>
      <c r="X35" s="709"/>
      <c r="Y35" s="3753"/>
      <c r="Z35" s="710">
        <f t="shared" si="15"/>
        <v>111</v>
      </c>
      <c r="AA35" s="1351">
        <f t="shared" si="3"/>
        <v>1</v>
      </c>
      <c r="AB35" s="1351">
        <f t="shared" si="4"/>
        <v>1</v>
      </c>
      <c r="AC35" s="1351">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53"/>
      <c r="Q36" s="1350">
        <f t="shared" si="11"/>
        <v>111</v>
      </c>
      <c r="R36" s="704" t="s">
        <v>14</v>
      </c>
      <c r="S36" s="705">
        <f t="shared" si="12"/>
        <v>100</v>
      </c>
      <c r="T36" s="704" t="s">
        <v>14</v>
      </c>
      <c r="U36" s="705">
        <f t="shared" si="13"/>
        <v>100</v>
      </c>
      <c r="V36" s="704" t="s">
        <v>14</v>
      </c>
      <c r="W36" s="705">
        <f t="shared" si="14"/>
        <v>100</v>
      </c>
      <c r="X36" s="1353"/>
      <c r="Y36" s="3753"/>
      <c r="Z36" s="1354">
        <f t="shared" si="15"/>
        <v>111</v>
      </c>
      <c r="AA36" s="1351">
        <f t="shared" si="3"/>
        <v>1</v>
      </c>
      <c r="AB36" s="1351">
        <f t="shared" si="4"/>
        <v>1</v>
      </c>
      <c r="AC36" s="1351">
        <f t="shared" si="5"/>
        <v>1</v>
      </c>
    </row>
    <row r="37" spans="1:29" ht="14.4">
      <c r="A37" s="429" t="s">
        <v>1844</v>
      </c>
      <c r="B37" s="1971" t="s">
        <v>3350</v>
      </c>
      <c r="C37" s="1152" t="s">
        <v>0</v>
      </c>
      <c r="D37" s="1153"/>
      <c r="E37" s="1154"/>
      <c r="F37" s="1155"/>
      <c r="G37" s="1156"/>
      <c r="H37" s="1157"/>
      <c r="I37" s="1154"/>
      <c r="J37" s="1157"/>
      <c r="K37" s="567"/>
      <c r="L37" s="2721"/>
      <c r="M37" s="2722"/>
      <c r="N37" s="2713"/>
      <c r="O37" s="2722"/>
      <c r="P37" s="3746" t="str">
        <f>A37</f>
        <v>成交单价</v>
      </c>
      <c r="Q37" s="3746"/>
      <c r="R37" s="3747">
        <f>E37</f>
        <v>0</v>
      </c>
      <c r="S37" s="3747"/>
      <c r="T37" s="3747">
        <f>G37</f>
        <v>0</v>
      </c>
      <c r="U37" s="3747"/>
      <c r="V37" s="3747">
        <f>I37</f>
        <v>0</v>
      </c>
      <c r="W37" s="3747"/>
      <c r="X37" s="689"/>
      <c r="Y37" s="711"/>
      <c r="Z37" s="689"/>
      <c r="AA37" s="689"/>
      <c r="AB37" s="689"/>
      <c r="AC37" s="689"/>
    </row>
    <row r="38" spans="1:29" ht="15" thickBot="1">
      <c r="A38" s="436" t="s">
        <v>1845</v>
      </c>
      <c r="B38" s="437" t="str">
        <f>B37</f>
        <v>元/平方米</v>
      </c>
      <c r="C38" s="1158" t="e">
        <f>R39</f>
        <v>#DIV/0!</v>
      </c>
      <c r="D38" s="2314" t="s">
        <v>2135</v>
      </c>
      <c r="E38" s="1159" t="e">
        <f>R38</f>
        <v>#DIV/0!</v>
      </c>
      <c r="F38" s="2315"/>
      <c r="G38" s="1158" t="e">
        <f>T38</f>
        <v>#DIV/0!</v>
      </c>
      <c r="H38" s="2315"/>
      <c r="I38" s="1159" t="e">
        <f>V38</f>
        <v>#DIV/0!</v>
      </c>
      <c r="J38" s="2315"/>
      <c r="K38" s="2317">
        <f>F38+H38+J38</f>
        <v>0</v>
      </c>
      <c r="L38" s="2721"/>
      <c r="M38" s="2722"/>
      <c r="N38" s="2722"/>
      <c r="O38" s="2722"/>
      <c r="P38" s="3746" t="str">
        <f>A38</f>
        <v>比较价值（元/平方米）</v>
      </c>
      <c r="Q38" s="3746"/>
      <c r="R38" s="3747" t="e">
        <f>IF(F1="售价",ROUND(PRODUCT(R37,AA7:AA36),0),ROUND(PRODUCT(R37,AA7:AA36),1))</f>
        <v>#DIV/0!</v>
      </c>
      <c r="S38" s="3747"/>
      <c r="T38" s="3747" t="e">
        <f>IF(F1="售价",ROUND(PRODUCT(T37,AB7:AB36),0),ROUND(PRODUCT(T37,AB7:AB36),1))</f>
        <v>#DIV/0!</v>
      </c>
      <c r="U38" s="3747"/>
      <c r="V38" s="3747" t="e">
        <f>IF(F1="售价",ROUND(PRODUCT(V37,AC7:AC36),0),ROUND(PRODUCT(V37,AC7:AC36),1))</f>
        <v>#DIV/0!</v>
      </c>
      <c r="W38" s="3747"/>
      <c r="X38" s="689"/>
      <c r="Y38" s="689"/>
      <c r="Z38" s="689"/>
      <c r="AA38" s="689"/>
      <c r="AB38" s="689"/>
      <c r="AC38" s="689"/>
    </row>
    <row r="39" spans="1:29" ht="15" thickBot="1">
      <c r="A39" s="440" t="s">
        <v>1846</v>
      </c>
      <c r="B39" s="441"/>
      <c r="C39" s="1161" t="e">
        <f>R39</f>
        <v>#DIV/0!</v>
      </c>
      <c r="D39" s="1161"/>
      <c r="E39" s="1161"/>
      <c r="F39" s="1161"/>
      <c r="G39" s="1161"/>
      <c r="H39" s="1161"/>
      <c r="I39" s="1161"/>
      <c r="J39" s="1161"/>
      <c r="K39" s="568"/>
      <c r="L39" s="2721"/>
      <c r="M39" s="2722"/>
      <c r="N39" s="2722"/>
      <c r="O39" s="2722"/>
      <c r="P39" s="3743" t="str">
        <f>A39</f>
        <v>估价对象XX用房的比较价值（楼面单价，元/平方米）</v>
      </c>
      <c r="Q39" s="3744"/>
      <c r="R39" s="3805" t="e">
        <f>IF(F1="售价",ROUND(IF(D38="简单平均",AVERAGE(R38:W38),R38*F38+T38*H38+V38*J38),0),ROUND(IF(D38="简单平均",AVERAGE(R38:V38),R38*F38+T38*H38+V38*J38),1))</f>
        <v>#DIV/0!</v>
      </c>
      <c r="S39" s="3805"/>
      <c r="T39" s="3805"/>
      <c r="U39" s="3805"/>
      <c r="V39" s="3805"/>
      <c r="W39" s="3805"/>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6" customFormat="1" ht="14.4">
      <c r="A48" s="453" t="s">
        <v>1851</v>
      </c>
      <c r="B48" s="454"/>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6"/>
      <c r="Q48" s="2738"/>
      <c r="R48" s="2738"/>
      <c r="S48" s="2738"/>
      <c r="T48" s="2738"/>
      <c r="U48" s="2738"/>
      <c r="V48" s="2738"/>
      <c r="W48" s="2738"/>
      <c r="X48" s="2738"/>
      <c r="Y48" s="2738"/>
      <c r="Z48" s="2738"/>
      <c r="AA48" s="2738"/>
      <c r="AB48" s="2738"/>
      <c r="AC48" s="2738"/>
    </row>
    <row r="49" spans="1:29" s="108" customFormat="1">
      <c r="A49" s="457"/>
      <c r="B49" s="458"/>
      <c r="C49" s="1175">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4.4">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4.4"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ht="14.4">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4.4"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9.4"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4.4"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4.4"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4.4"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4.4"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4.4"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4.4"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4.4"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 thickTop="1">
      <c r="A67" s="482"/>
      <c r="B67" s="494" t="s">
        <v>1813</v>
      </c>
      <c r="C67" s="607" t="s">
        <v>1799</v>
      </c>
      <c r="D67" s="607" t="s">
        <v>1800</v>
      </c>
      <c r="E67" s="607" t="s">
        <v>1801</v>
      </c>
      <c r="F67" s="607" t="s">
        <v>1802</v>
      </c>
      <c r="G67" s="607" t="s">
        <v>1803</v>
      </c>
      <c r="H67" s="487"/>
      <c r="I67" s="487"/>
      <c r="J67" s="487"/>
      <c r="K67" s="487"/>
      <c r="L67" s="487"/>
      <c r="M67" s="1127"/>
      <c r="N67" s="2751"/>
      <c r="O67" s="2751"/>
      <c r="P67" s="2759"/>
      <c r="Q67" s="2736"/>
      <c r="R67" s="2722"/>
      <c r="S67" s="2722"/>
      <c r="T67" s="2722"/>
      <c r="U67" s="2722"/>
      <c r="V67" s="2722"/>
      <c r="W67" s="2722"/>
      <c r="X67" s="2722"/>
      <c r="Y67" s="2722"/>
      <c r="Z67" s="2722"/>
      <c r="AA67" s="2722"/>
      <c r="AB67" s="2722"/>
      <c r="AC67" s="2722"/>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4.4"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4.4"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4.4"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4.4"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4.4"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4.4"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9.4"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4.4"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4.4"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4.4"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4.4"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4.4"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4.4"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4" zoomScale="85" zoomScaleNormal="70" zoomScaleSheetLayoutView="85" workbookViewId="0">
      <selection activeCell="E7" sqref="E7"/>
    </sheetView>
  </sheetViews>
  <sheetFormatPr defaultColWidth="9" defaultRowHeight="13.8"/>
  <cols>
    <col min="1" max="1" width="10.44140625" style="356" customWidth="1"/>
    <col min="2" max="2" width="15.77734375" style="356" customWidth="1"/>
    <col min="3" max="3" width="16.44140625" style="356" customWidth="1"/>
    <col min="4" max="4" width="12.21875" style="356" customWidth="1"/>
    <col min="5" max="5" width="14.33203125" style="356" customWidth="1"/>
    <col min="6" max="6" width="12.21875" style="356" customWidth="1"/>
    <col min="7" max="7" width="16.7773437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3330</v>
      </c>
      <c r="C1" s="1222" t="s">
        <v>1662</v>
      </c>
      <c r="D1" s="1223" t="s">
        <v>3330</v>
      </c>
      <c r="E1" s="3424" t="s">
        <v>4381</v>
      </c>
      <c r="F1" s="1877" t="s">
        <v>4382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IF(E1="项目模式",IF(C2="——",ROUND(C37*D3/10000,0),ROUND(C37*D3/10000,0)-D2),IF(E1="单套模式",IF(C2="——",ROUND(C37*D3/10000,4),ROUND(C37*D3/10000,4)-D2)))</f>
        <v>5.7306999999999997</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IF(C2="——",C37,ROUND(B2*10000/D3,0))</f>
        <v>5553</v>
      </c>
      <c r="C3" s="353" t="s">
        <v>1768</v>
      </c>
      <c r="D3" s="352">
        <f>SUMIF('数据-汇总表'!$C19:$C33,D1,'数据-汇总表'!$E19:$E33)</f>
        <v>10.32</v>
      </c>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1769</v>
      </c>
      <c r="B4" s="355"/>
      <c r="C4" s="3761" t="s">
        <v>1770</v>
      </c>
      <c r="D4" s="3762"/>
      <c r="E4" s="3763" t="s">
        <v>1771</v>
      </c>
      <c r="F4" s="3764"/>
      <c r="G4" s="3761" t="s">
        <v>1772</v>
      </c>
      <c r="H4" s="3762"/>
      <c r="I4" s="3761" t="s">
        <v>1773</v>
      </c>
      <c r="J4" s="3762"/>
      <c r="K4" s="558" t="s">
        <v>1774</v>
      </c>
      <c r="L4" s="2712"/>
      <c r="M4" s="2713"/>
      <c r="N4" s="2713"/>
      <c r="O4" s="2713"/>
      <c r="P4" s="3765" t="s">
        <v>1775</v>
      </c>
      <c r="Q4" s="3766"/>
      <c r="R4" s="3771" t="s">
        <v>1771</v>
      </c>
      <c r="S4" s="3772"/>
      <c r="T4" s="3771" t="s">
        <v>1772</v>
      </c>
      <c r="U4" s="3772"/>
      <c r="V4" s="3777" t="s">
        <v>1773</v>
      </c>
      <c r="W4" s="3777"/>
      <c r="X4" s="1353"/>
      <c r="Y4" s="3771" t="s">
        <v>1775</v>
      </c>
      <c r="Z4" s="3772"/>
      <c r="AA4" s="3758" t="s">
        <v>1771</v>
      </c>
      <c r="AB4" s="3759" t="s">
        <v>1772</v>
      </c>
      <c r="AC4" s="3758" t="s">
        <v>1773</v>
      </c>
    </row>
    <row r="5" spans="1:29">
      <c r="A5" s="357"/>
      <c r="B5" s="358"/>
      <c r="C5" s="3806" t="s">
        <v>4383</v>
      </c>
      <c r="D5" s="3781"/>
      <c r="E5" s="3807" t="s">
        <v>4384</v>
      </c>
      <c r="F5" s="3788"/>
      <c r="G5" s="3806" t="s">
        <v>4385</v>
      </c>
      <c r="H5" s="3781"/>
      <c r="I5" s="3806" t="s">
        <v>4385</v>
      </c>
      <c r="J5" s="3781"/>
      <c r="K5" s="558"/>
      <c r="L5" s="2712"/>
      <c r="M5" s="2713"/>
      <c r="N5" s="2713"/>
      <c r="O5" s="2713"/>
      <c r="P5" s="3767"/>
      <c r="Q5" s="3768"/>
      <c r="R5" s="3773"/>
      <c r="S5" s="3774"/>
      <c r="T5" s="3773"/>
      <c r="U5" s="3774"/>
      <c r="V5" s="3777"/>
      <c r="W5" s="3777"/>
      <c r="X5" s="1353"/>
      <c r="Y5" s="3773"/>
      <c r="Z5" s="3774"/>
      <c r="AA5" s="3759"/>
      <c r="AB5" s="3759"/>
      <c r="AC5" s="3759"/>
    </row>
    <row r="6" spans="1:29" ht="15" thickBot="1">
      <c r="A6" s="359"/>
      <c r="B6" s="360"/>
      <c r="C6" s="3778" t="s">
        <v>1677</v>
      </c>
      <c r="D6" s="3779"/>
      <c r="E6" s="3785" t="s">
        <v>1677</v>
      </c>
      <c r="F6" s="3786"/>
      <c r="G6" s="3778" t="s">
        <v>1677</v>
      </c>
      <c r="H6" s="3779"/>
      <c r="I6" s="3778" t="s">
        <v>1677</v>
      </c>
      <c r="J6" s="3779"/>
      <c r="K6" s="558" t="s">
        <v>1678</v>
      </c>
      <c r="L6" s="2712"/>
      <c r="M6" s="2713"/>
      <c r="N6" s="2713"/>
      <c r="O6" s="2713"/>
      <c r="P6" s="3769"/>
      <c r="Q6" s="3770"/>
      <c r="R6" s="3773"/>
      <c r="S6" s="3774"/>
      <c r="T6" s="3775"/>
      <c r="U6" s="3776"/>
      <c r="V6" s="3777"/>
      <c r="W6" s="3777"/>
      <c r="X6" s="1353"/>
      <c r="Y6" s="3775"/>
      <c r="Z6" s="3776"/>
      <c r="AA6" s="3760"/>
      <c r="AB6" s="3760"/>
      <c r="AC6" s="3760"/>
    </row>
    <row r="7" spans="1:29" s="108" customFormat="1" ht="15" thickBot="1">
      <c r="A7" s="361" t="s">
        <v>1679</v>
      </c>
      <c r="B7" s="362"/>
      <c r="C7" s="363">
        <f>'数据-取费表'!B2</f>
        <v>45882</v>
      </c>
      <c r="D7" s="364">
        <v>100</v>
      </c>
      <c r="E7" s="365">
        <v>45870</v>
      </c>
      <c r="F7" s="366">
        <f>SUMIF(46:46,YEAR(E7)&amp;"-"&amp;MONTH(E7),47:47)</f>
        <v>100</v>
      </c>
      <c r="G7" s="1972">
        <v>45726</v>
      </c>
      <c r="H7" s="364">
        <f>SUMIF(46:46,YEAR(G7)&amp;"-"&amp;MONTH(G7),47:47)</f>
        <v>100.2</v>
      </c>
      <c r="I7" s="365">
        <v>45721</v>
      </c>
      <c r="J7" s="364">
        <f>SUMIF(46:46,YEAR(I7)&amp;"-"&amp;MONTH(I7),47:47)</f>
        <v>100.2</v>
      </c>
      <c r="K7" s="559"/>
      <c r="L7" s="2714"/>
      <c r="M7" s="2715"/>
      <c r="N7" s="2715"/>
      <c r="O7" s="2715"/>
      <c r="P7" s="3782" t="s">
        <v>1680</v>
      </c>
      <c r="Q7" s="3784"/>
      <c r="R7" s="700" t="s">
        <v>14</v>
      </c>
      <c r="S7" s="701">
        <f t="shared" ref="S7:S14" si="0">F7</f>
        <v>100</v>
      </c>
      <c r="T7" s="700" t="s">
        <v>14</v>
      </c>
      <c r="U7" s="701">
        <f t="shared" ref="U7:U14" si="1">H7</f>
        <v>100.2</v>
      </c>
      <c r="V7" s="700" t="s">
        <v>14</v>
      </c>
      <c r="W7" s="701">
        <f t="shared" ref="W7:W14" si="2">J7</f>
        <v>100.2</v>
      </c>
      <c r="X7" s="702"/>
      <c r="Y7" s="3782" t="s">
        <v>1680</v>
      </c>
      <c r="Z7" s="3783"/>
      <c r="AA7" s="703">
        <f>D7/F7</f>
        <v>1</v>
      </c>
      <c r="AB7" s="703">
        <f>D7/H7</f>
        <v>0.99800399201596801</v>
      </c>
      <c r="AC7" s="703">
        <f>D7/J7</f>
        <v>0.99800399201596801</v>
      </c>
    </row>
    <row r="8" spans="1:29" s="108" customFormat="1" ht="15" thickBot="1">
      <c r="A8" s="361" t="s">
        <v>1681</v>
      </c>
      <c r="B8" s="362"/>
      <c r="C8" s="367" t="s">
        <v>4386</v>
      </c>
      <c r="D8" s="364">
        <v>100</v>
      </c>
      <c r="E8" s="367" t="s">
        <v>4386</v>
      </c>
      <c r="F8" s="366">
        <f>SUMIF(49:49,E8,50:50)-SUMIF(49:49,C8,50:50)+100</f>
        <v>100</v>
      </c>
      <c r="G8" s="367" t="s">
        <v>4386</v>
      </c>
      <c r="H8" s="364">
        <f>SUMIF(49:49,G8,50:50)-SUMIF(49:49,C8,50:50)+100</f>
        <v>100</v>
      </c>
      <c r="I8" s="367" t="s">
        <v>4386</v>
      </c>
      <c r="J8" s="364">
        <f>SUMIF(49:49,I8,50:50)-SUMIF(49:49,C8,50:50)+100</f>
        <v>100</v>
      </c>
      <c r="K8" s="559"/>
      <c r="L8" s="2714"/>
      <c r="M8" s="2715"/>
      <c r="N8" s="2715"/>
      <c r="O8" s="2715"/>
      <c r="P8" s="3782" t="s">
        <v>1683</v>
      </c>
      <c r="Q8" s="3783"/>
      <c r="R8" s="700" t="s">
        <v>14</v>
      </c>
      <c r="S8" s="701">
        <f t="shared" si="0"/>
        <v>100</v>
      </c>
      <c r="T8" s="700" t="s">
        <v>14</v>
      </c>
      <c r="U8" s="701">
        <f t="shared" si="1"/>
        <v>100</v>
      </c>
      <c r="V8" s="700" t="s">
        <v>14</v>
      </c>
      <c r="W8" s="701">
        <f t="shared" si="2"/>
        <v>100</v>
      </c>
      <c r="X8" s="702"/>
      <c r="Y8" s="3782" t="s">
        <v>1683</v>
      </c>
      <c r="Z8" s="3783"/>
      <c r="AA8" s="703">
        <f t="shared" ref="AA8:AA34" si="3">D8/F8</f>
        <v>1</v>
      </c>
      <c r="AB8" s="703">
        <f t="shared" ref="AB8:AB34" si="4">D8/H8</f>
        <v>1</v>
      </c>
      <c r="AC8" s="703">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4"/>
      <c r="M9" s="2715"/>
      <c r="N9" s="2715"/>
      <c r="O9" s="2769"/>
      <c r="P9" s="3746" t="s">
        <v>1686</v>
      </c>
      <c r="Q9" s="1341" t="str">
        <f t="shared" ref="Q9:Q14" si="6">B9</f>
        <v>用途</v>
      </c>
      <c r="R9" s="700" t="s">
        <v>14</v>
      </c>
      <c r="S9" s="701">
        <f t="shared" si="0"/>
        <v>100</v>
      </c>
      <c r="T9" s="700" t="s">
        <v>14</v>
      </c>
      <c r="U9" s="701">
        <f t="shared" si="1"/>
        <v>100</v>
      </c>
      <c r="V9" s="700" t="s">
        <v>14</v>
      </c>
      <c r="W9" s="701">
        <f t="shared" si="2"/>
        <v>100</v>
      </c>
      <c r="X9" s="702"/>
      <c r="Y9" s="3602" t="s">
        <v>1687</v>
      </c>
      <c r="Z9" s="52" t="str">
        <f t="shared" ref="Z9:Z14" si="7">Q9</f>
        <v>用途</v>
      </c>
      <c r="AA9" s="703">
        <f t="shared" si="3"/>
        <v>1</v>
      </c>
      <c r="AB9" s="703">
        <f t="shared" si="4"/>
        <v>1</v>
      </c>
      <c r="AC9" s="703">
        <f t="shared" si="5"/>
        <v>1</v>
      </c>
    </row>
    <row r="10" spans="1:29" s="377" customFormat="1" ht="28.8">
      <c r="A10" s="373"/>
      <c r="B10" s="374" t="s">
        <v>1688</v>
      </c>
      <c r="C10" s="3425"/>
      <c r="D10" s="127">
        <v>100</v>
      </c>
      <c r="E10" s="3425"/>
      <c r="F10" s="375">
        <f>SUMIF(53:53,E10,54:54)-SUMIF(53:53,C10,54:54)+100</f>
        <v>100</v>
      </c>
      <c r="G10" s="3425"/>
      <c r="H10" s="127">
        <f>SUMIF(53:53,G10,54:54)-SUMIF(53:53,C10,54:54)+100</f>
        <v>100</v>
      </c>
      <c r="I10" s="3425"/>
      <c r="J10" s="127">
        <f>SUMIF(53:53,I10,54:54)-SUMIF(53:53,C10,54:54)+100</f>
        <v>100</v>
      </c>
      <c r="K10" s="559"/>
      <c r="L10" s="2716"/>
      <c r="M10" s="2717"/>
      <c r="N10" s="2717"/>
      <c r="O10" s="2770"/>
      <c r="P10" s="3746"/>
      <c r="Q10" s="1341" t="str">
        <f t="shared" si="6"/>
        <v>土地使用年限（年）</v>
      </c>
      <c r="R10" s="700" t="s">
        <v>14</v>
      </c>
      <c r="S10" s="701">
        <f t="shared" si="0"/>
        <v>100</v>
      </c>
      <c r="T10" s="700" t="s">
        <v>14</v>
      </c>
      <c r="U10" s="701">
        <f t="shared" si="1"/>
        <v>100</v>
      </c>
      <c r="V10" s="700" t="s">
        <v>14</v>
      </c>
      <c r="W10" s="701">
        <f t="shared" si="2"/>
        <v>100</v>
      </c>
      <c r="X10" s="702"/>
      <c r="Y10" s="3602"/>
      <c r="Z10" s="52"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718"/>
      <c r="M11" s="2713"/>
      <c r="N11" s="2713"/>
      <c r="O11" s="2771"/>
      <c r="P11" s="3746"/>
      <c r="Q11" s="1341">
        <f t="shared" si="6"/>
        <v>111</v>
      </c>
      <c r="R11" s="700" t="s">
        <v>14</v>
      </c>
      <c r="S11" s="701">
        <f t="shared" si="0"/>
        <v>100</v>
      </c>
      <c r="T11" s="700" t="s">
        <v>14</v>
      </c>
      <c r="U11" s="701">
        <f t="shared" si="1"/>
        <v>100</v>
      </c>
      <c r="V11" s="700" t="s">
        <v>14</v>
      </c>
      <c r="W11" s="701">
        <f t="shared" si="2"/>
        <v>100</v>
      </c>
      <c r="X11" s="702"/>
      <c r="Y11" s="3602"/>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714"/>
      <c r="M12" s="2715"/>
      <c r="N12" s="2715"/>
      <c r="O12" s="2769"/>
      <c r="P12" s="3746"/>
      <c r="Q12" s="1341">
        <f t="shared" si="6"/>
        <v>111</v>
      </c>
      <c r="R12" s="700" t="s">
        <v>14</v>
      </c>
      <c r="S12" s="701">
        <f t="shared" si="0"/>
        <v>100</v>
      </c>
      <c r="T12" s="700" t="s">
        <v>14</v>
      </c>
      <c r="U12" s="701">
        <f t="shared" si="1"/>
        <v>100</v>
      </c>
      <c r="V12" s="700" t="s">
        <v>14</v>
      </c>
      <c r="W12" s="701">
        <f t="shared" si="2"/>
        <v>100</v>
      </c>
      <c r="X12" s="702"/>
      <c r="Y12" s="3602"/>
      <c r="Z12" s="52">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746"/>
      <c r="Q13" s="1341">
        <f t="shared" si="6"/>
        <v>111</v>
      </c>
      <c r="R13" s="700" t="s">
        <v>14</v>
      </c>
      <c r="S13" s="701">
        <f t="shared" si="0"/>
        <v>100</v>
      </c>
      <c r="T13" s="700" t="s">
        <v>14</v>
      </c>
      <c r="U13" s="701">
        <f t="shared" si="1"/>
        <v>100</v>
      </c>
      <c r="V13" s="700" t="s">
        <v>14</v>
      </c>
      <c r="W13" s="701">
        <f t="shared" si="2"/>
        <v>100</v>
      </c>
      <c r="X13" s="702"/>
      <c r="Y13" s="3602"/>
      <c r="Z13" s="52">
        <f t="shared" si="7"/>
        <v>111</v>
      </c>
      <c r="AA13" s="703">
        <f t="shared" si="3"/>
        <v>1</v>
      </c>
      <c r="AB13" s="703">
        <f t="shared" si="4"/>
        <v>1</v>
      </c>
      <c r="AC13" s="703">
        <f t="shared" si="5"/>
        <v>1</v>
      </c>
    </row>
    <row r="14" spans="1:29" ht="82.8">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102</v>
      </c>
      <c r="G14" s="394"/>
      <c r="H14" s="391">
        <f>SUMIF(61:61,G15,62:62)-SUMIF(61:61,C15,62:62)+100</f>
        <v>102</v>
      </c>
      <c r="I14" s="392"/>
      <c r="J14" s="391">
        <f>SUMIF(61:61,I15,62:62)-SUMIF(61:61,C15,62:62)+100</f>
        <v>102</v>
      </c>
      <c r="K14" s="562">
        <v>2</v>
      </c>
      <c r="L14" s="2719"/>
      <c r="M14" s="2713"/>
      <c r="N14" s="2713"/>
      <c r="O14" s="2771"/>
      <c r="P14" s="3748" t="s">
        <v>1691</v>
      </c>
      <c r="Q14" s="1350" t="str">
        <f t="shared" si="6"/>
        <v>交通便捷度</v>
      </c>
      <c r="R14" s="704" t="s">
        <v>14</v>
      </c>
      <c r="S14" s="705">
        <f t="shared" si="0"/>
        <v>102</v>
      </c>
      <c r="T14" s="704" t="s">
        <v>14</v>
      </c>
      <c r="U14" s="705">
        <f t="shared" si="1"/>
        <v>102</v>
      </c>
      <c r="V14" s="704" t="s">
        <v>14</v>
      </c>
      <c r="W14" s="705">
        <f t="shared" si="2"/>
        <v>102</v>
      </c>
      <c r="X14" s="1353"/>
      <c r="Y14" s="3748" t="s">
        <v>1691</v>
      </c>
      <c r="Z14" s="1354" t="str">
        <f t="shared" si="7"/>
        <v>交通便捷度</v>
      </c>
      <c r="AA14" s="1351">
        <f t="shared" si="3"/>
        <v>0.98039215686274506</v>
      </c>
      <c r="AB14" s="1351">
        <f t="shared" si="4"/>
        <v>0.98039215686274506</v>
      </c>
      <c r="AC14" s="1351">
        <f t="shared" si="5"/>
        <v>0.98039215686274506</v>
      </c>
    </row>
    <row r="15" spans="1:29" ht="15">
      <c r="A15" s="378"/>
      <c r="B15" s="396"/>
      <c r="C15" s="397" t="s">
        <v>4389</v>
      </c>
      <c r="D15" s="398"/>
      <c r="E15" s="397" t="s">
        <v>4387</v>
      </c>
      <c r="F15" s="399"/>
      <c r="G15" s="397" t="s">
        <v>4387</v>
      </c>
      <c r="H15" s="400"/>
      <c r="I15" s="397" t="s">
        <v>4387</v>
      </c>
      <c r="J15" s="398"/>
      <c r="K15" s="563"/>
      <c r="L15" s="2719"/>
      <c r="M15" s="2713"/>
      <c r="N15" s="2713"/>
      <c r="O15" s="2771"/>
      <c r="P15" s="3749"/>
      <c r="Q15" s="1350"/>
      <c r="R15" s="704"/>
      <c r="S15" s="705"/>
      <c r="T15" s="704"/>
      <c r="U15" s="705"/>
      <c r="V15" s="704"/>
      <c r="W15" s="705"/>
      <c r="X15" s="1353"/>
      <c r="Y15" s="3749"/>
      <c r="Z15" s="1354"/>
      <c r="AA15" s="1351">
        <v>1</v>
      </c>
      <c r="AB15" s="1351">
        <v>1</v>
      </c>
      <c r="AC15" s="1351">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103</v>
      </c>
      <c r="G16" s="409"/>
      <c r="H16" s="405">
        <f>SUMIF(63:63,G17,64:64)-SUMIF(63:63,C17,64:64)+100</f>
        <v>103</v>
      </c>
      <c r="I16" s="407"/>
      <c r="J16" s="405">
        <f>SUMIF(63:63,I17,64:64)-SUMIF(63:63,C17,64:64)+100</f>
        <v>103</v>
      </c>
      <c r="K16" s="562">
        <v>3</v>
      </c>
      <c r="L16" s="2719"/>
      <c r="M16" s="2713"/>
      <c r="N16" s="2713"/>
      <c r="O16" s="2771"/>
      <c r="P16" s="3749"/>
      <c r="Q16" s="1350" t="str">
        <f>B16</f>
        <v>公共配套设施</v>
      </c>
      <c r="R16" s="704" t="s">
        <v>14</v>
      </c>
      <c r="S16" s="705">
        <f>F16</f>
        <v>103</v>
      </c>
      <c r="T16" s="704" t="s">
        <v>14</v>
      </c>
      <c r="U16" s="705">
        <f>H16</f>
        <v>103</v>
      </c>
      <c r="V16" s="704" t="s">
        <v>14</v>
      </c>
      <c r="W16" s="705">
        <f>J16</f>
        <v>103</v>
      </c>
      <c r="X16" s="1353"/>
      <c r="Y16" s="3749"/>
      <c r="Z16" s="1354" t="str">
        <f>Q16</f>
        <v>公共配套设施</v>
      </c>
      <c r="AA16" s="1351">
        <f t="shared" si="3"/>
        <v>0.970873786407767</v>
      </c>
      <c r="AB16" s="1351">
        <f t="shared" si="4"/>
        <v>0.970873786407767</v>
      </c>
      <c r="AC16" s="1351">
        <f t="shared" si="5"/>
        <v>0.970873786407767</v>
      </c>
    </row>
    <row r="17" spans="1:29" ht="15">
      <c r="A17" s="378"/>
      <c r="B17" s="406"/>
      <c r="C17" s="1899" t="s">
        <v>4387</v>
      </c>
      <c r="D17" s="398"/>
      <c r="E17" s="397" t="s">
        <v>4388</v>
      </c>
      <c r="F17" s="399"/>
      <c r="G17" s="397" t="s">
        <v>4388</v>
      </c>
      <c r="H17" s="398"/>
      <c r="I17" s="397" t="s">
        <v>4388</v>
      </c>
      <c r="J17" s="398"/>
      <c r="K17" s="563"/>
      <c r="L17" s="2719"/>
      <c r="M17" s="2713"/>
      <c r="N17" s="2713"/>
      <c r="O17" s="2771"/>
      <c r="P17" s="3749"/>
      <c r="Q17" s="1350"/>
      <c r="R17" s="704"/>
      <c r="S17" s="705"/>
      <c r="T17" s="704"/>
      <c r="U17" s="705"/>
      <c r="V17" s="704"/>
      <c r="W17" s="705"/>
      <c r="X17" s="1353"/>
      <c r="Y17" s="3749"/>
      <c r="Z17" s="1354"/>
      <c r="AA17" s="1351">
        <v>1</v>
      </c>
      <c r="AB17" s="1351">
        <v>1</v>
      </c>
      <c r="AC17" s="1351">
        <v>1</v>
      </c>
    </row>
    <row r="18" spans="1:29" ht="27.6">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49"/>
      <c r="Q18" s="1350" t="str">
        <f>B18</f>
        <v>基础设施水平</v>
      </c>
      <c r="R18" s="704" t="s">
        <v>14</v>
      </c>
      <c r="S18" s="705">
        <f>F18</f>
        <v>100</v>
      </c>
      <c r="T18" s="704" t="s">
        <v>14</v>
      </c>
      <c r="U18" s="705">
        <f>H18</f>
        <v>100</v>
      </c>
      <c r="V18" s="704" t="s">
        <v>14</v>
      </c>
      <c r="W18" s="705">
        <f>J18</f>
        <v>100</v>
      </c>
      <c r="X18" s="1353"/>
      <c r="Y18" s="3749"/>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9"/>
      <c r="M19" s="2713"/>
      <c r="N19" s="2713"/>
      <c r="O19" s="2771"/>
      <c r="P19" s="3749"/>
      <c r="Q19" s="1350"/>
      <c r="R19" s="704"/>
      <c r="S19" s="705"/>
      <c r="T19" s="704"/>
      <c r="U19" s="705"/>
      <c r="V19" s="704"/>
      <c r="W19" s="705"/>
      <c r="X19" s="1353"/>
      <c r="Y19" s="3749"/>
      <c r="Z19" s="1354"/>
      <c r="AA19" s="1351">
        <v>1</v>
      </c>
      <c r="AB19" s="1351">
        <v>1</v>
      </c>
      <c r="AC19" s="1351">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49"/>
      <c r="Q20" s="1350" t="str">
        <f>B20</f>
        <v>自然及人文环境</v>
      </c>
      <c r="R20" s="704" t="s">
        <v>14</v>
      </c>
      <c r="S20" s="705">
        <f>F20</f>
        <v>100</v>
      </c>
      <c r="T20" s="704" t="s">
        <v>14</v>
      </c>
      <c r="U20" s="705">
        <f>H20</f>
        <v>100</v>
      </c>
      <c r="V20" s="704" t="s">
        <v>14</v>
      </c>
      <c r="W20" s="705">
        <f>J20</f>
        <v>100</v>
      </c>
      <c r="X20" s="1353"/>
      <c r="Y20" s="3749"/>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1"/>
      <c r="P21" s="3749"/>
      <c r="Q21" s="1350"/>
      <c r="R21" s="704"/>
      <c r="S21" s="705"/>
      <c r="T21" s="704"/>
      <c r="U21" s="705"/>
      <c r="V21" s="704"/>
      <c r="W21" s="705"/>
      <c r="X21" s="1353"/>
      <c r="Y21" s="3749"/>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49"/>
      <c r="Q22" s="1350" t="str">
        <f>B22</f>
        <v>楼层</v>
      </c>
      <c r="R22" s="704" t="s">
        <v>14</v>
      </c>
      <c r="S22" s="705">
        <f>F22</f>
        <v>100</v>
      </c>
      <c r="T22" s="704" t="s">
        <v>14</v>
      </c>
      <c r="U22" s="705">
        <f>H22</f>
        <v>100</v>
      </c>
      <c r="V22" s="704" t="s">
        <v>14</v>
      </c>
      <c r="W22" s="705">
        <f>J22</f>
        <v>100</v>
      </c>
      <c r="X22" s="1353"/>
      <c r="Y22" s="3749"/>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49"/>
      <c r="Q23" s="1350">
        <f>B23</f>
        <v>111</v>
      </c>
      <c r="R23" s="704" t="s">
        <v>14</v>
      </c>
      <c r="S23" s="705">
        <f>F23</f>
        <v>100</v>
      </c>
      <c r="T23" s="704" t="s">
        <v>14</v>
      </c>
      <c r="U23" s="705">
        <f>H23</f>
        <v>100</v>
      </c>
      <c r="V23" s="704" t="s">
        <v>14</v>
      </c>
      <c r="W23" s="705">
        <f>J23</f>
        <v>100</v>
      </c>
      <c r="X23" s="1353"/>
      <c r="Y23" s="3749"/>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49"/>
      <c r="Q24" s="1350">
        <f t="shared" ref="Q24:Q34" si="11">B24</f>
        <v>111</v>
      </c>
      <c r="R24" s="704" t="s">
        <v>14</v>
      </c>
      <c r="S24" s="705">
        <f>F24</f>
        <v>100</v>
      </c>
      <c r="T24" s="704" t="s">
        <v>14</v>
      </c>
      <c r="U24" s="705">
        <f>H24</f>
        <v>100</v>
      </c>
      <c r="V24" s="704" t="s">
        <v>14</v>
      </c>
      <c r="W24" s="705">
        <f>J24</f>
        <v>100</v>
      </c>
      <c r="X24" s="1353"/>
      <c r="Y24" s="3749"/>
      <c r="Z24" s="1354">
        <f>Q24</f>
        <v>111</v>
      </c>
      <c r="AA24" s="1351">
        <f t="shared" si="3"/>
        <v>1</v>
      </c>
      <c r="AB24" s="1351">
        <f t="shared" si="4"/>
        <v>1</v>
      </c>
      <c r="AC24" s="1351">
        <f t="shared" si="5"/>
        <v>1</v>
      </c>
    </row>
    <row r="25" spans="1:29" s="108"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749"/>
      <c r="Q25" s="1341">
        <f t="shared" si="11"/>
        <v>111</v>
      </c>
      <c r="R25" s="700" t="s">
        <v>14</v>
      </c>
      <c r="S25" s="701">
        <f>F25</f>
        <v>100</v>
      </c>
      <c r="T25" s="700" t="s">
        <v>14</v>
      </c>
      <c r="U25" s="701">
        <f>H25</f>
        <v>100</v>
      </c>
      <c r="V25" s="700" t="s">
        <v>14</v>
      </c>
      <c r="W25" s="701">
        <f>J25</f>
        <v>100</v>
      </c>
      <c r="X25" s="702"/>
      <c r="Y25" s="3749"/>
      <c r="Z25" s="52">
        <f>Q25</f>
        <v>111</v>
      </c>
      <c r="AA25" s="1351">
        <f>D25/F25</f>
        <v>1</v>
      </c>
      <c r="AB25" s="1351">
        <f>D25/H25</f>
        <v>1</v>
      </c>
      <c r="AC25" s="1351">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804"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53" t="s">
        <v>1696</v>
      </c>
      <c r="Z26" s="1354" t="str">
        <f t="shared" ref="Z26:Z34" si="15">Q26</f>
        <v>公共部分装修</v>
      </c>
      <c r="AA26" s="1351">
        <f t="shared" si="3"/>
        <v>1</v>
      </c>
      <c r="AB26" s="1351">
        <f t="shared" si="4"/>
        <v>1</v>
      </c>
      <c r="AC26" s="1351">
        <f t="shared" si="5"/>
        <v>1</v>
      </c>
    </row>
    <row r="27" spans="1:29" s="421" customFormat="1" ht="15">
      <c r="A27" s="418"/>
      <c r="B27" s="374" t="s">
        <v>1839</v>
      </c>
      <c r="C27" s="424">
        <v>0.9</v>
      </c>
      <c r="D27" s="127">
        <v>100</v>
      </c>
      <c r="E27" s="425">
        <f>C27</f>
        <v>0.9</v>
      </c>
      <c r="F27" s="411">
        <f>LOOKUP(E27,80:80,81:81)-LOOKUP(C27,80:80,81:81)+100</f>
        <v>100</v>
      </c>
      <c r="G27" s="426">
        <f>C27</f>
        <v>0.9</v>
      </c>
      <c r="H27" s="385">
        <f>LOOKUP(G27,80:80,81:81)-LOOKUP(C27,80:80,81:81)+100</f>
        <v>100</v>
      </c>
      <c r="I27" s="426">
        <f>C27</f>
        <v>0.9</v>
      </c>
      <c r="J27" s="385">
        <f>LOOKUP(I27,80:80,81:81)-LOOKUP(C27,80:80,81:81)+100</f>
        <v>100</v>
      </c>
      <c r="K27" s="560"/>
      <c r="L27" s="2718"/>
      <c r="M27" s="2720"/>
      <c r="N27" s="2720"/>
      <c r="O27" s="2772"/>
      <c r="P27" s="3753"/>
      <c r="Q27" s="706" t="str">
        <f t="shared" si="11"/>
        <v>成新率</v>
      </c>
      <c r="R27" s="707" t="s">
        <v>14</v>
      </c>
      <c r="S27" s="708">
        <f t="shared" si="12"/>
        <v>100</v>
      </c>
      <c r="T27" s="707" t="s">
        <v>14</v>
      </c>
      <c r="U27" s="708">
        <f t="shared" si="13"/>
        <v>100</v>
      </c>
      <c r="V27" s="707" t="s">
        <v>14</v>
      </c>
      <c r="W27" s="708">
        <f t="shared" si="14"/>
        <v>100</v>
      </c>
      <c r="X27" s="709"/>
      <c r="Y27" s="3753"/>
      <c r="Z27" s="710" t="str">
        <f t="shared" si="15"/>
        <v>成新率</v>
      </c>
      <c r="AA27" s="1351">
        <f t="shared" si="3"/>
        <v>1</v>
      </c>
      <c r="AB27" s="1351">
        <f t="shared" si="4"/>
        <v>1</v>
      </c>
      <c r="AC27" s="1351">
        <f t="shared" si="5"/>
        <v>1</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53"/>
      <c r="Q28" s="1350" t="str">
        <f t="shared" si="11"/>
        <v>物业等级</v>
      </c>
      <c r="R28" s="704" t="s">
        <v>14</v>
      </c>
      <c r="S28" s="705">
        <f t="shared" si="12"/>
        <v>100</v>
      </c>
      <c r="T28" s="704" t="s">
        <v>14</v>
      </c>
      <c r="U28" s="705">
        <f t="shared" si="13"/>
        <v>100</v>
      </c>
      <c r="V28" s="704" t="s">
        <v>14</v>
      </c>
      <c r="W28" s="705">
        <f t="shared" si="14"/>
        <v>100</v>
      </c>
      <c r="X28" s="1353"/>
      <c r="Y28" s="3753"/>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53"/>
      <c r="Q29" s="1350" t="str">
        <f t="shared" si="11"/>
        <v>有无电梯</v>
      </c>
      <c r="R29" s="704" t="s">
        <v>14</v>
      </c>
      <c r="S29" s="705">
        <f t="shared" si="12"/>
        <v>100</v>
      </c>
      <c r="T29" s="704" t="s">
        <v>14</v>
      </c>
      <c r="U29" s="705">
        <f t="shared" si="13"/>
        <v>100</v>
      </c>
      <c r="V29" s="704" t="s">
        <v>14</v>
      </c>
      <c r="W29" s="705">
        <f t="shared" si="14"/>
        <v>100</v>
      </c>
      <c r="X29" s="1353"/>
      <c r="Y29" s="3753"/>
      <c r="Z29" s="1354" t="str">
        <f t="shared" si="15"/>
        <v>有无电梯</v>
      </c>
      <c r="AA29" s="1351">
        <f t="shared" si="3"/>
        <v>1</v>
      </c>
      <c r="AB29" s="1351">
        <f t="shared" si="4"/>
        <v>1</v>
      </c>
      <c r="AC29" s="1351">
        <f t="shared" si="5"/>
        <v>1</v>
      </c>
    </row>
    <row r="30" spans="1:29" ht="15">
      <c r="A30" s="422"/>
      <c r="B30" s="374" t="s">
        <v>1861</v>
      </c>
      <c r="C30" s="419">
        <f>'数据-汇总表'!G19</f>
        <v>10.32</v>
      </c>
      <c r="D30" s="385">
        <v>100</v>
      </c>
      <c r="E30" s="419">
        <v>15.05</v>
      </c>
      <c r="F30" s="411">
        <f>LOOKUP(E30,87:87,88:88)-LOOKUP(C30,87:87,88:88)+100</f>
        <v>99</v>
      </c>
      <c r="G30" s="419">
        <v>8.36</v>
      </c>
      <c r="H30" s="385">
        <f>LOOKUP(G30,87:87,88:88)-LOOKUP(C30,87:87,88:88)+100</f>
        <v>101</v>
      </c>
      <c r="I30" s="419">
        <v>9.0399999999999991</v>
      </c>
      <c r="J30" s="385">
        <f>LOOKUP(I30,87:87,88:88)-LOOKUP(C30,87:87,88:88)+100</f>
        <v>101</v>
      </c>
      <c r="K30" s="561"/>
      <c r="L30" s="2719"/>
      <c r="M30" s="2713"/>
      <c r="N30" s="2713"/>
      <c r="O30" s="2771"/>
      <c r="P30" s="3753"/>
      <c r="Q30" s="1350" t="str">
        <f t="shared" si="11"/>
        <v>建筑面积</v>
      </c>
      <c r="R30" s="704" t="s">
        <v>14</v>
      </c>
      <c r="S30" s="705">
        <f t="shared" si="12"/>
        <v>99</v>
      </c>
      <c r="T30" s="704" t="s">
        <v>14</v>
      </c>
      <c r="U30" s="705">
        <f t="shared" si="13"/>
        <v>101</v>
      </c>
      <c r="V30" s="704" t="s">
        <v>14</v>
      </c>
      <c r="W30" s="705">
        <f t="shared" si="14"/>
        <v>101</v>
      </c>
      <c r="X30" s="1353"/>
      <c r="Y30" s="3753"/>
      <c r="Z30" s="1354" t="str">
        <f t="shared" si="15"/>
        <v>建筑面积</v>
      </c>
      <c r="AA30" s="1351">
        <f t="shared" si="3"/>
        <v>1.0101010101010102</v>
      </c>
      <c r="AB30" s="1351">
        <f t="shared" si="4"/>
        <v>0.99009900990099009</v>
      </c>
      <c r="AC30" s="1351">
        <f t="shared" si="5"/>
        <v>0.99009900990099009</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53"/>
      <c r="Q31" s="1341" t="str">
        <f t="shared" si="11"/>
        <v>是否封闭</v>
      </c>
      <c r="R31" s="700" t="s">
        <v>14</v>
      </c>
      <c r="S31" s="701">
        <f t="shared" si="12"/>
        <v>100</v>
      </c>
      <c r="T31" s="700" t="s">
        <v>14</v>
      </c>
      <c r="U31" s="701">
        <f t="shared" si="13"/>
        <v>100</v>
      </c>
      <c r="V31" s="700" t="s">
        <v>14</v>
      </c>
      <c r="W31" s="701">
        <f t="shared" si="14"/>
        <v>100</v>
      </c>
      <c r="X31" s="702"/>
      <c r="Y31" s="3753"/>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53" t="s">
        <v>1696</v>
      </c>
      <c r="Q32" s="1350">
        <f t="shared" si="11"/>
        <v>111</v>
      </c>
      <c r="R32" s="704" t="s">
        <v>14</v>
      </c>
      <c r="S32" s="705">
        <f t="shared" si="12"/>
        <v>100</v>
      </c>
      <c r="T32" s="704" t="s">
        <v>14</v>
      </c>
      <c r="U32" s="705">
        <f t="shared" si="13"/>
        <v>100</v>
      </c>
      <c r="V32" s="704" t="s">
        <v>14</v>
      </c>
      <c r="W32" s="705">
        <f t="shared" si="14"/>
        <v>100</v>
      </c>
      <c r="X32" s="1353"/>
      <c r="Y32" s="3753"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53"/>
      <c r="Q33" s="1350">
        <f t="shared" si="11"/>
        <v>111</v>
      </c>
      <c r="R33" s="704" t="s">
        <v>14</v>
      </c>
      <c r="S33" s="705">
        <f t="shared" si="12"/>
        <v>100</v>
      </c>
      <c r="T33" s="704" t="s">
        <v>14</v>
      </c>
      <c r="U33" s="705">
        <f t="shared" si="13"/>
        <v>100</v>
      </c>
      <c r="V33" s="704" t="s">
        <v>14</v>
      </c>
      <c r="W33" s="705">
        <f t="shared" si="14"/>
        <v>100</v>
      </c>
      <c r="X33" s="1353"/>
      <c r="Y33" s="3753"/>
      <c r="Z33" s="1354">
        <f t="shared" si="15"/>
        <v>111</v>
      </c>
      <c r="AA33" s="1351">
        <f t="shared" si="3"/>
        <v>1</v>
      </c>
      <c r="AB33" s="1351">
        <f t="shared" si="4"/>
        <v>1</v>
      </c>
      <c r="AC33" s="1351">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753"/>
      <c r="Q34" s="1350">
        <f t="shared" si="11"/>
        <v>111</v>
      </c>
      <c r="R34" s="704" t="s">
        <v>14</v>
      </c>
      <c r="S34" s="705">
        <f t="shared" si="12"/>
        <v>100</v>
      </c>
      <c r="T34" s="704" t="s">
        <v>14</v>
      </c>
      <c r="U34" s="705">
        <f t="shared" si="13"/>
        <v>100</v>
      </c>
      <c r="V34" s="704" t="s">
        <v>14</v>
      </c>
      <c r="W34" s="705">
        <f t="shared" si="14"/>
        <v>100</v>
      </c>
      <c r="X34" s="1353"/>
      <c r="Y34" s="3753"/>
      <c r="Z34" s="1354">
        <f t="shared" si="15"/>
        <v>111</v>
      </c>
      <c r="AA34" s="1351">
        <f t="shared" si="3"/>
        <v>1</v>
      </c>
      <c r="AB34" s="1351">
        <f t="shared" si="4"/>
        <v>1</v>
      </c>
      <c r="AC34" s="1351">
        <f t="shared" si="5"/>
        <v>1</v>
      </c>
    </row>
    <row r="35" spans="1:30" ht="14.4">
      <c r="A35" s="429" t="s">
        <v>1708</v>
      </c>
      <c r="B35" s="430"/>
      <c r="C35" s="1152" t="s">
        <v>0</v>
      </c>
      <c r="D35" s="1153"/>
      <c r="E35" s="1154">
        <v>5400</v>
      </c>
      <c r="F35" s="1155"/>
      <c r="G35" s="1156">
        <v>5633</v>
      </c>
      <c r="H35" s="1157"/>
      <c r="I35" s="1154">
        <v>6559</v>
      </c>
      <c r="J35" s="1157"/>
      <c r="K35" s="713"/>
      <c r="L35" s="2721"/>
      <c r="M35" s="2722"/>
      <c r="N35" s="2713"/>
      <c r="O35" s="2722"/>
      <c r="P35" s="3746" t="str">
        <f>A35</f>
        <v>成交单价（元/平方米）</v>
      </c>
      <c r="Q35" s="3746"/>
      <c r="R35" s="3747">
        <f>E35</f>
        <v>5400</v>
      </c>
      <c r="S35" s="3747"/>
      <c r="T35" s="3747">
        <f>G35</f>
        <v>5633</v>
      </c>
      <c r="U35" s="3747"/>
      <c r="V35" s="3747">
        <f>I35</f>
        <v>6559</v>
      </c>
      <c r="W35" s="3747"/>
      <c r="X35" s="689"/>
      <c r="Y35" s="711"/>
      <c r="Z35" s="689"/>
      <c r="AA35" s="689"/>
      <c r="AB35" s="689"/>
      <c r="AC35" s="689"/>
    </row>
    <row r="36" spans="1:30" ht="15" thickBot="1">
      <c r="A36" s="436" t="s">
        <v>1793</v>
      </c>
      <c r="B36" s="437"/>
      <c r="C36" s="1158">
        <f>R37</f>
        <v>5553</v>
      </c>
      <c r="D36" s="2314" t="s">
        <v>2135</v>
      </c>
      <c r="E36" s="1159">
        <f>R36</f>
        <v>5192</v>
      </c>
      <c r="F36" s="2315"/>
      <c r="G36" s="1158">
        <f>T36</f>
        <v>5298</v>
      </c>
      <c r="H36" s="2315"/>
      <c r="I36" s="1159">
        <f>V36</f>
        <v>6169</v>
      </c>
      <c r="J36" s="2315"/>
      <c r="K36" s="2317">
        <f>F36+H36+J36</f>
        <v>0</v>
      </c>
      <c r="L36" s="2721"/>
      <c r="M36" s="2722"/>
      <c r="N36" s="2713"/>
      <c r="O36" s="2722"/>
      <c r="P36" s="3746" t="str">
        <f>A36</f>
        <v>比较价值（元/平方米）</v>
      </c>
      <c r="Q36" s="3746"/>
      <c r="R36" s="3747">
        <f>IF(F1="售价",ROUND(PRODUCT(R35,AA7:AA34),0),ROUND(PRODUCT(R35,AA7:AA34),1))</f>
        <v>5192</v>
      </c>
      <c r="S36" s="3747"/>
      <c r="T36" s="3747">
        <f>IF(F1="售价",ROUND(PRODUCT(T35,AB7:AB34),0),ROUND(PRODUCT(T35,AB7:AB34),1))</f>
        <v>5298</v>
      </c>
      <c r="U36" s="3747"/>
      <c r="V36" s="3747">
        <f>IF(F1="售价",ROUND(PRODUCT(V35,AC7:AC34),0),ROUND(PRODUCT(V35,AC7:AC34),1))</f>
        <v>6169</v>
      </c>
      <c r="W36" s="3747"/>
      <c r="X36" s="689"/>
      <c r="Y36" s="689"/>
      <c r="Z36" s="689"/>
      <c r="AA36" s="689"/>
      <c r="AB36" s="689"/>
      <c r="AC36" s="689"/>
    </row>
    <row r="37" spans="1:30" ht="15" thickBot="1">
      <c r="A37" s="440" t="s">
        <v>1794</v>
      </c>
      <c r="B37" s="441"/>
      <c r="C37" s="1161">
        <f>R37</f>
        <v>5553</v>
      </c>
      <c r="D37" s="1161"/>
      <c r="E37" s="1161"/>
      <c r="F37" s="1161"/>
      <c r="G37" s="1161"/>
      <c r="H37" s="1161"/>
      <c r="I37" s="1161"/>
      <c r="J37" s="1161"/>
      <c r="K37" s="714"/>
      <c r="L37" s="2721"/>
      <c r="M37" s="2722"/>
      <c r="N37" s="2722"/>
      <c r="O37" s="2722"/>
      <c r="P37" s="3743" t="str">
        <f>A37</f>
        <v>估价对象XX用房的比较价值（楼面单价，元/平方米）</v>
      </c>
      <c r="Q37" s="3744"/>
      <c r="R37" s="3805">
        <f>IF(F1="售价",ROUND(IF(D36="简单平均",AVERAGE(R36:W36),R36*F36+T36*H36+V36*J36),0),ROUND(IF(D36="简单平均",AVERAGE(R36:V36),R36*F36+T36*H36+V36*J36),1))</f>
        <v>5553</v>
      </c>
      <c r="S37" s="3805"/>
      <c r="T37" s="3805"/>
      <c r="U37" s="3805"/>
      <c r="V37" s="3805"/>
      <c r="W37" s="3805"/>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f>IF(E35&lt;E36,E36/E35-1,E35/E36-1)</f>
        <v>4.006163328197232E-2</v>
      </c>
      <c r="F40" s="448" t="str">
        <f>IF(OR(E40&gt;=0.3,E40&lt;=-0.3),"超过30%","")</f>
        <v/>
      </c>
      <c r="G40" s="447">
        <f>IF(G35&lt;G36,G36/G35-1,G35/G36-1)</f>
        <v>6.3231408078520124E-2</v>
      </c>
      <c r="H40" s="448" t="str">
        <f>IF(OR(G40&gt;=0.3,G40&lt;=-0.3),"超过30%","")</f>
        <v/>
      </c>
      <c r="I40" s="447">
        <f>IF(I35&lt;I36,I36/I35-1,I35/I36-1)</f>
        <v>6.3219322418544444E-2</v>
      </c>
      <c r="J40" s="448" t="str">
        <f>IF(OR(I40&gt;=0.3,I40&lt;=-0.3),"超过30%","")</f>
        <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f>IF(E36&lt;G36,G36/E36-1,E36/G36-1)</f>
        <v>2.0416024653312714E-2</v>
      </c>
      <c r="F41" s="448" t="str">
        <f>IF(OR(E41&gt;=0.2,E41&lt;=-0.2),"超过20%","")</f>
        <v/>
      </c>
      <c r="G41" s="447">
        <f>IF(G36&lt;I36,I36/G36-1,G36/I36-1)</f>
        <v>0.16440166100415254</v>
      </c>
      <c r="H41" s="448" t="str">
        <f>IF(OR(G41&gt;=0.2,G41&lt;=-0.2),"超过20%","")</f>
        <v/>
      </c>
      <c r="I41" s="447">
        <f>IF(I36&lt;E36,E36/I36-1,I36/E36-1)</f>
        <v>0.18817411402157158</v>
      </c>
      <c r="J41" s="448" t="str">
        <f>IF(OR(I41&gt;=0.2,I41&lt;=-0.2),"超过20%","")</f>
        <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f>IF(E35&lt;G35,G35/E35-1,E35/G35-1)</f>
        <v>4.3148148148148158E-2</v>
      </c>
      <c r="F42" s="448" t="str">
        <f>IF(OR(E42&gt;=0.3,E42&lt;=-0.3),"超过30%","")</f>
        <v/>
      </c>
      <c r="G42" s="447">
        <f>IF(G35&lt;I35,I35/G35-1,G35/I35-1)</f>
        <v>0.16438842535061249</v>
      </c>
      <c r="H42" s="448" t="str">
        <f>IF(OR(G42&gt;=0.3,G42&lt;=-0.3),"超过30%","")</f>
        <v/>
      </c>
      <c r="I42" s="447">
        <f>IF(I35&lt;E35,E35/I35-1,I35/E35-1)</f>
        <v>0.21462962962962973</v>
      </c>
      <c r="J42" s="448" t="str">
        <f>IF(OR(I42&gt;=0.3,I42&lt;=-0.3),"超过30%","")</f>
        <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3"/>
      <c r="Q46" s="2738"/>
      <c r="R46" s="2738"/>
      <c r="S46" s="2738"/>
      <c r="T46" s="2738"/>
      <c r="U46" s="2738"/>
      <c r="V46" s="2738"/>
      <c r="W46" s="2738"/>
      <c r="X46" s="2738"/>
      <c r="Y46" s="2738"/>
      <c r="Z46" s="2738"/>
      <c r="AA46" s="2738"/>
      <c r="AB46" s="2738"/>
      <c r="AC46" s="2738"/>
      <c r="AD46" s="2738"/>
    </row>
    <row r="47" spans="1:30" s="108" customFormat="1">
      <c r="A47" s="457"/>
      <c r="B47" s="458"/>
      <c r="C47" s="1181">
        <v>100</v>
      </c>
      <c r="D47" s="460">
        <v>100</v>
      </c>
      <c r="E47" s="460">
        <v>100.1</v>
      </c>
      <c r="F47" s="460">
        <f>E47</f>
        <v>100.1</v>
      </c>
      <c r="G47" s="460">
        <f>F47</f>
        <v>100.1</v>
      </c>
      <c r="H47" s="460">
        <v>100.2</v>
      </c>
      <c r="I47" s="460">
        <f>H47</f>
        <v>100.2</v>
      </c>
      <c r="J47" s="460">
        <f>H47</f>
        <v>100.2</v>
      </c>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98</v>
      </c>
      <c r="E62" s="492">
        <f>D62-$K14</f>
        <v>96</v>
      </c>
      <c r="F62" s="492">
        <f>E62-$K14</f>
        <v>94</v>
      </c>
      <c r="G62" s="492">
        <f>F62-$K14</f>
        <v>92</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97</v>
      </c>
      <c r="E64" s="492">
        <f>D64-$K16</f>
        <v>94</v>
      </c>
      <c r="F64" s="492">
        <f>E64-$K16</f>
        <v>91</v>
      </c>
      <c r="G64" s="492">
        <f>F64-$K16</f>
        <v>88</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0(含)-5</v>
      </c>
      <c r="D86" s="526" t="str">
        <f t="shared" si="21"/>
        <v>5(含)-10</v>
      </c>
      <c r="E86" s="526" t="str">
        <f t="shared" si="21"/>
        <v>10(含)-15</v>
      </c>
      <c r="F86" s="526" t="str">
        <f t="shared" si="21"/>
        <v>15(含)-20</v>
      </c>
      <c r="G86" s="526" t="str">
        <f t="shared" si="21"/>
        <v>20(含)-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v>0</v>
      </c>
      <c r="D87" s="543">
        <v>5</v>
      </c>
      <c r="E87" s="543">
        <v>10</v>
      </c>
      <c r="F87" s="543">
        <v>15</v>
      </c>
      <c r="G87" s="543">
        <v>20</v>
      </c>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v>100</v>
      </c>
      <c r="D88" s="484">
        <v>99</v>
      </c>
      <c r="E88" s="484">
        <v>98</v>
      </c>
      <c r="F88" s="484">
        <v>97</v>
      </c>
      <c r="G88" s="484">
        <v>96</v>
      </c>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4.4"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5"/>
      <c r="D2" s="905"/>
      <c r="E2" s="906"/>
      <c r="F2" s="907"/>
      <c r="G2" s="906"/>
      <c r="H2" s="906"/>
      <c r="I2" s="906"/>
      <c r="J2" s="906"/>
      <c r="K2" s="908"/>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30" ht="14.4">
      <c r="A4" s="354" t="s">
        <v>1769</v>
      </c>
      <c r="B4" s="355"/>
      <c r="C4" s="3761" t="s">
        <v>1770</v>
      </c>
      <c r="D4" s="3762"/>
      <c r="E4" s="3763" t="s">
        <v>1771</v>
      </c>
      <c r="F4" s="3764"/>
      <c r="G4" s="3761" t="s">
        <v>1772</v>
      </c>
      <c r="H4" s="3762"/>
      <c r="I4" s="3761" t="s">
        <v>1773</v>
      </c>
      <c r="J4" s="3762"/>
      <c r="K4" s="558" t="s">
        <v>1774</v>
      </c>
      <c r="L4" s="2712"/>
      <c r="M4" s="2713"/>
      <c r="N4" s="2713"/>
      <c r="O4" s="2713"/>
      <c r="P4" s="3765" t="s">
        <v>1775</v>
      </c>
      <c r="Q4" s="3766"/>
      <c r="R4" s="3771" t="s">
        <v>1771</v>
      </c>
      <c r="S4" s="3772"/>
      <c r="T4" s="3771" t="s">
        <v>1772</v>
      </c>
      <c r="U4" s="3772"/>
      <c r="V4" s="3777" t="s">
        <v>1773</v>
      </c>
      <c r="W4" s="3777"/>
      <c r="X4" s="1353"/>
      <c r="Y4" s="3771" t="s">
        <v>1775</v>
      </c>
      <c r="Z4" s="3772"/>
      <c r="AA4" s="3758" t="s">
        <v>1771</v>
      </c>
      <c r="AB4" s="3759" t="s">
        <v>1772</v>
      </c>
      <c r="AC4" s="3758" t="s">
        <v>1773</v>
      </c>
    </row>
    <row r="5" spans="1:30">
      <c r="A5" s="357"/>
      <c r="B5" s="358"/>
      <c r="C5" s="3780" t="s">
        <v>1673</v>
      </c>
      <c r="D5" s="3781"/>
      <c r="E5" s="3787" t="s">
        <v>1674</v>
      </c>
      <c r="F5" s="3788"/>
      <c r="G5" s="3780" t="s">
        <v>1675</v>
      </c>
      <c r="H5" s="3781"/>
      <c r="I5" s="3780" t="s">
        <v>1676</v>
      </c>
      <c r="J5" s="3781"/>
      <c r="K5" s="558"/>
      <c r="L5" s="2712"/>
      <c r="M5" s="2713"/>
      <c r="N5" s="2713"/>
      <c r="O5" s="2713"/>
      <c r="P5" s="3767"/>
      <c r="Q5" s="3768"/>
      <c r="R5" s="3773"/>
      <c r="S5" s="3774"/>
      <c r="T5" s="3773"/>
      <c r="U5" s="3774"/>
      <c r="V5" s="3777"/>
      <c r="W5" s="3777"/>
      <c r="X5" s="1353"/>
      <c r="Y5" s="3773"/>
      <c r="Z5" s="3774"/>
      <c r="AA5" s="3759"/>
      <c r="AB5" s="3759"/>
      <c r="AC5" s="3759"/>
    </row>
    <row r="6" spans="1:30" ht="15" thickBot="1">
      <c r="A6" s="359"/>
      <c r="B6" s="360"/>
      <c r="C6" s="3778" t="s">
        <v>1677</v>
      </c>
      <c r="D6" s="3779"/>
      <c r="E6" s="3785" t="s">
        <v>1677</v>
      </c>
      <c r="F6" s="3786"/>
      <c r="G6" s="3778" t="s">
        <v>1677</v>
      </c>
      <c r="H6" s="3779"/>
      <c r="I6" s="3778" t="s">
        <v>1677</v>
      </c>
      <c r="J6" s="3779"/>
      <c r="K6" s="558" t="s">
        <v>1678</v>
      </c>
      <c r="L6" s="2712"/>
      <c r="M6" s="2713"/>
      <c r="N6" s="2713"/>
      <c r="O6" s="2713"/>
      <c r="P6" s="3769"/>
      <c r="Q6" s="3770"/>
      <c r="R6" s="3773"/>
      <c r="S6" s="3774"/>
      <c r="T6" s="3775"/>
      <c r="U6" s="3776"/>
      <c r="V6" s="3777"/>
      <c r="W6" s="3777"/>
      <c r="X6" s="1353"/>
      <c r="Y6" s="3775"/>
      <c r="Z6" s="3776"/>
      <c r="AA6" s="3760"/>
      <c r="AB6" s="3760"/>
      <c r="AC6" s="3760"/>
    </row>
    <row r="7" spans="1:30" s="108" customFormat="1" ht="15" thickBot="1">
      <c r="A7" s="361" t="s">
        <v>1679</v>
      </c>
      <c r="B7" s="362"/>
      <c r="C7" s="363">
        <f>'数据-取费表'!B2</f>
        <v>45882</v>
      </c>
      <c r="D7" s="364">
        <v>100</v>
      </c>
      <c r="E7" s="365"/>
      <c r="F7" s="366">
        <f>SUMIF(69:69,YEAR(E7)&amp;"-"&amp;INT((MONTH(E7)+2)/3),70:70)</f>
        <v>0</v>
      </c>
      <c r="G7" s="1972"/>
      <c r="H7" s="364">
        <f>SUMIF(69:69,YEAR(G7)&amp;"-"&amp;INT((MONTH(G7)+2)/3),70:70)</f>
        <v>0</v>
      </c>
      <c r="I7" s="1972"/>
      <c r="J7" s="364">
        <f>SUMIF(69:69,YEAR(I7)&amp;"-"&amp;INT((MONTH(I7)+2)/3),70:70)</f>
        <v>0</v>
      </c>
      <c r="K7" s="559"/>
      <c r="L7" s="2714"/>
      <c r="M7" s="2715"/>
      <c r="N7" s="2715"/>
      <c r="O7" s="2715"/>
      <c r="P7" s="3782" t="s">
        <v>1680</v>
      </c>
      <c r="Q7" s="3784"/>
      <c r="R7" s="700" t="s">
        <v>14</v>
      </c>
      <c r="S7" s="701">
        <f t="shared" ref="S7:S15" si="0">F7</f>
        <v>0</v>
      </c>
      <c r="T7" s="700" t="s">
        <v>14</v>
      </c>
      <c r="U7" s="701">
        <f t="shared" ref="U7:U15" si="1">H7</f>
        <v>0</v>
      </c>
      <c r="V7" s="700" t="s">
        <v>14</v>
      </c>
      <c r="W7" s="701">
        <f t="shared" ref="W7:W15" si="2">J7</f>
        <v>0</v>
      </c>
      <c r="X7" s="702"/>
      <c r="Y7" s="3782" t="s">
        <v>1680</v>
      </c>
      <c r="Z7" s="3783"/>
      <c r="AA7" s="703" t="e">
        <f>D7/F7</f>
        <v>#DIV/0!</v>
      </c>
      <c r="AB7" s="703" t="e">
        <f>D7/H7</f>
        <v>#DIV/0!</v>
      </c>
      <c r="AC7" s="703"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782" t="s">
        <v>1683</v>
      </c>
      <c r="Q8" s="3783"/>
      <c r="R8" s="700" t="s">
        <v>14</v>
      </c>
      <c r="S8" s="701">
        <f t="shared" si="0"/>
        <v>0</v>
      </c>
      <c r="T8" s="700" t="s">
        <v>14</v>
      </c>
      <c r="U8" s="701">
        <f t="shared" si="1"/>
        <v>0</v>
      </c>
      <c r="V8" s="700" t="s">
        <v>14</v>
      </c>
      <c r="W8" s="701">
        <f t="shared" si="2"/>
        <v>0</v>
      </c>
      <c r="X8" s="702"/>
      <c r="Y8" s="3782" t="s">
        <v>1683</v>
      </c>
      <c r="Z8" s="3783"/>
      <c r="AA8" s="703" t="e">
        <f t="shared" ref="AA8:AA45" si="3">D8/F8</f>
        <v>#DIV/0!</v>
      </c>
      <c r="AB8" s="703" t="e">
        <f t="shared" ref="AB8:AB45" si="4">D8/H8</f>
        <v>#DIV/0!</v>
      </c>
      <c r="AC8" s="703" t="e">
        <f t="shared" ref="AC8:AC45" si="5">D8/J8</f>
        <v>#DIV/0!</v>
      </c>
    </row>
    <row r="9" spans="1:30" s="108" customFormat="1" ht="14.4">
      <c r="A9" s="368" t="s">
        <v>1684</v>
      </c>
      <c r="B9" s="63" t="s">
        <v>1685</v>
      </c>
      <c r="C9" s="1975"/>
      <c r="D9" s="126">
        <v>100</v>
      </c>
      <c r="E9" s="1975"/>
      <c r="F9" s="126">
        <f>SUMIF(74:74,E9,75:75)-SUMIF(74:74,C9,75:75)+100</f>
        <v>100</v>
      </c>
      <c r="G9" s="1975"/>
      <c r="H9" s="126">
        <f>SUMIF(74:74,G9,75:75)-SUMIF(74:74,C9,75:75)+100</f>
        <v>100</v>
      </c>
      <c r="I9" s="1975"/>
      <c r="J9" s="126">
        <f>SUMIF(74:74,I9,75:75)-SUMIF(74:74,C9,75:75)+100</f>
        <v>100</v>
      </c>
      <c r="K9" s="559"/>
      <c r="L9" s="2714"/>
      <c r="M9" s="2715"/>
      <c r="N9" s="2715"/>
      <c r="O9" s="2769"/>
      <c r="P9" s="3746" t="s">
        <v>1686</v>
      </c>
      <c r="Q9" s="1341" t="str">
        <f t="shared" ref="Q9:Q15" si="6">B9</f>
        <v>用途</v>
      </c>
      <c r="R9" s="700" t="s">
        <v>14</v>
      </c>
      <c r="S9" s="701">
        <f t="shared" si="0"/>
        <v>100</v>
      </c>
      <c r="T9" s="700" t="s">
        <v>14</v>
      </c>
      <c r="U9" s="701">
        <f t="shared" si="1"/>
        <v>100</v>
      </c>
      <c r="V9" s="700" t="s">
        <v>14</v>
      </c>
      <c r="W9" s="701">
        <f t="shared" si="2"/>
        <v>100</v>
      </c>
      <c r="X9" s="702"/>
      <c r="Y9" s="3602" t="s">
        <v>1687</v>
      </c>
      <c r="Z9" s="52" t="str">
        <f t="shared" ref="Z9:Z15" si="7">Q9</f>
        <v>用途</v>
      </c>
      <c r="AA9" s="703">
        <f t="shared" si="3"/>
        <v>1</v>
      </c>
      <c r="AB9" s="703">
        <f t="shared" si="4"/>
        <v>1</v>
      </c>
      <c r="AC9" s="703">
        <f t="shared" si="5"/>
        <v>1</v>
      </c>
    </row>
    <row r="10" spans="1:30" s="377" customFormat="1" ht="28.8">
      <c r="A10" s="373"/>
      <c r="B10" s="374" t="s">
        <v>1688</v>
      </c>
      <c r="C10" s="382"/>
      <c r="D10" s="127">
        <v>100</v>
      </c>
      <c r="E10" s="415"/>
      <c r="F10" s="127" t="e">
        <f>ROUND(100/'数据-取费表'!G16,0)</f>
        <v>#DIV/0!</v>
      </c>
      <c r="G10" s="413"/>
      <c r="H10" s="127" t="e">
        <f>ROUND(100/'数据-取费表'!G16,0)</f>
        <v>#DIV/0!</v>
      </c>
      <c r="I10" s="413"/>
      <c r="J10" s="127" t="e">
        <f>ROUND(100/'数据-取费表'!G16,0)</f>
        <v>#DIV/0!</v>
      </c>
      <c r="K10" s="619"/>
      <c r="L10" s="2716"/>
      <c r="M10" s="2717"/>
      <c r="N10" s="2717"/>
      <c r="O10" s="2770"/>
      <c r="P10" s="3746"/>
      <c r="Q10" s="1341" t="str">
        <f t="shared" si="6"/>
        <v>土地使用年限（年）</v>
      </c>
      <c r="R10" s="700" t="s">
        <v>14</v>
      </c>
      <c r="S10" s="701" t="e">
        <f t="shared" si="0"/>
        <v>#DIV/0!</v>
      </c>
      <c r="T10" s="700" t="s">
        <v>14</v>
      </c>
      <c r="U10" s="701" t="e">
        <f t="shared" si="1"/>
        <v>#DIV/0!</v>
      </c>
      <c r="V10" s="700" t="s">
        <v>14</v>
      </c>
      <c r="W10" s="701" t="e">
        <f t="shared" si="2"/>
        <v>#DIV/0!</v>
      </c>
      <c r="X10" s="702"/>
      <c r="Y10" s="3602"/>
      <c r="Z10" s="52" t="str">
        <f t="shared" si="7"/>
        <v>土地使用年限（年）</v>
      </c>
      <c r="AA10" s="703" t="e">
        <f t="shared" si="3"/>
        <v>#DIV/0!</v>
      </c>
      <c r="AB10" s="703" t="e">
        <f t="shared" si="4"/>
        <v>#DIV/0!</v>
      </c>
      <c r="AC10" s="703" t="e">
        <f t="shared" si="5"/>
        <v>#DIV/0!</v>
      </c>
    </row>
    <row r="11" spans="1:30" ht="15">
      <c r="A11" s="378"/>
      <c r="B11" s="374" t="s">
        <v>1689</v>
      </c>
      <c r="C11" s="379"/>
      <c r="D11" s="127">
        <v>100</v>
      </c>
      <c r="E11" s="379"/>
      <c r="F11" s="127" t="e">
        <f>LOOKUP(E11,79:79,80:80)-LOOKUP(C11,79:79,80:80)+100</f>
        <v>#N/A</v>
      </c>
      <c r="G11" s="380"/>
      <c r="H11" s="127" t="e">
        <f>LOOKUP(G11,79:79,80:80)-LOOKUP(C11,79:79,80:80)+100</f>
        <v>#N/A</v>
      </c>
      <c r="I11" s="379"/>
      <c r="J11" s="127" t="e">
        <f>LOOKUP(I11,79:79,80:80)-LOOKUP(C11,79:79,80:80)+100</f>
        <v>#N/A</v>
      </c>
      <c r="K11" s="620"/>
      <c r="L11" s="2718"/>
      <c r="M11" s="2713"/>
      <c r="N11" s="2713"/>
      <c r="O11" s="2771"/>
      <c r="P11" s="3746"/>
      <c r="Q11" s="1341" t="str">
        <f t="shared" si="6"/>
        <v>容积率</v>
      </c>
      <c r="R11" s="700" t="s">
        <v>14</v>
      </c>
      <c r="S11" s="701" t="e">
        <f t="shared" si="0"/>
        <v>#N/A</v>
      </c>
      <c r="T11" s="700" t="s">
        <v>14</v>
      </c>
      <c r="U11" s="701" t="e">
        <f t="shared" si="1"/>
        <v>#N/A</v>
      </c>
      <c r="V11" s="700" t="s">
        <v>14</v>
      </c>
      <c r="W11" s="701" t="e">
        <f t="shared" si="2"/>
        <v>#N/A</v>
      </c>
      <c r="X11" s="702"/>
      <c r="Y11" s="3602"/>
      <c r="Z11" s="52" t="str">
        <f t="shared" si="7"/>
        <v>容积率</v>
      </c>
      <c r="AA11" s="703" t="e">
        <f t="shared" si="3"/>
        <v>#N/A</v>
      </c>
      <c r="AB11" s="703" t="e">
        <f t="shared" si="4"/>
        <v>#N/A</v>
      </c>
      <c r="AC11" s="703" t="e">
        <f t="shared" si="5"/>
        <v>#N/A</v>
      </c>
    </row>
    <row r="12" spans="1:30" s="108" customFormat="1" ht="15">
      <c r="A12" s="381"/>
      <c r="B12" s="1891" t="s">
        <v>1870</v>
      </c>
      <c r="C12" s="382"/>
      <c r="D12" s="383">
        <v>100</v>
      </c>
      <c r="E12" s="415"/>
      <c r="F12" s="127">
        <f>SUMIF(81:81,E12,82:82)-SUMIF(81:81,C12,82:82)+100</f>
        <v>100</v>
      </c>
      <c r="G12" s="413"/>
      <c r="H12" s="127">
        <f>SUMIF(81:81,G12,82:82)-SUMIF(81:81,C12,82:82)+100</f>
        <v>100</v>
      </c>
      <c r="I12" s="415"/>
      <c r="J12" s="127">
        <f>SUMIF(81:81,I12,82:82)-SUMIF(81:81,C12,82:82)+100</f>
        <v>100</v>
      </c>
      <c r="K12" s="619"/>
      <c r="L12" s="2714"/>
      <c r="M12" s="2715"/>
      <c r="N12" s="2715"/>
      <c r="O12" s="2769"/>
      <c r="P12" s="3746"/>
      <c r="Q12" s="1341" t="str">
        <f t="shared" si="6"/>
        <v>配建</v>
      </c>
      <c r="R12" s="700" t="s">
        <v>14</v>
      </c>
      <c r="S12" s="701">
        <f t="shared" si="0"/>
        <v>100</v>
      </c>
      <c r="T12" s="700" t="s">
        <v>14</v>
      </c>
      <c r="U12" s="701">
        <f t="shared" si="1"/>
        <v>100</v>
      </c>
      <c r="V12" s="700" t="s">
        <v>14</v>
      </c>
      <c r="W12" s="701">
        <f t="shared" si="2"/>
        <v>100</v>
      </c>
      <c r="X12" s="702"/>
      <c r="Y12" s="3602"/>
      <c r="Z12" s="52" t="str">
        <f t="shared" si="7"/>
        <v>配建</v>
      </c>
      <c r="AA12" s="703">
        <f>D12/F12</f>
        <v>1</v>
      </c>
      <c r="AB12" s="703">
        <f>D12/H12</f>
        <v>1</v>
      </c>
      <c r="AC12" s="703">
        <f>D12/J12</f>
        <v>1</v>
      </c>
    </row>
    <row r="13" spans="1:30" ht="15">
      <c r="A13" s="378"/>
      <c r="B13" s="1891">
        <v>111</v>
      </c>
      <c r="C13" s="384"/>
      <c r="D13" s="385">
        <v>100</v>
      </c>
      <c r="E13" s="497"/>
      <c r="F13" s="127">
        <f>SUMIF(83:83,E13,84:84)-SUMIF(83:83,C13,84:84)+100</f>
        <v>100</v>
      </c>
      <c r="G13" s="621"/>
      <c r="H13" s="385">
        <f>SUMIF(83:83,G13,84:84)-SUMIF(83:83,C13,84:84)+100</f>
        <v>100</v>
      </c>
      <c r="I13" s="621"/>
      <c r="J13" s="385">
        <f>SUMIF(83:83,I13,84:84)-SUMIF(83:83,C13,84:84)+100</f>
        <v>100</v>
      </c>
      <c r="K13" s="619"/>
      <c r="L13" s="2719"/>
      <c r="M13" s="2713"/>
      <c r="N13" s="2713"/>
      <c r="O13" s="2771"/>
      <c r="P13" s="3746"/>
      <c r="Q13" s="1341">
        <f t="shared" si="6"/>
        <v>111</v>
      </c>
      <c r="R13" s="700" t="s">
        <v>14</v>
      </c>
      <c r="S13" s="701">
        <f t="shared" si="0"/>
        <v>100</v>
      </c>
      <c r="T13" s="700" t="s">
        <v>14</v>
      </c>
      <c r="U13" s="701">
        <f t="shared" si="1"/>
        <v>100</v>
      </c>
      <c r="V13" s="700" t="s">
        <v>14</v>
      </c>
      <c r="W13" s="701">
        <f t="shared" si="2"/>
        <v>100</v>
      </c>
      <c r="X13" s="702"/>
      <c r="Y13" s="3602"/>
      <c r="Z13" s="52">
        <f t="shared" si="7"/>
        <v>111</v>
      </c>
      <c r="AA13" s="703">
        <f>D13/F13</f>
        <v>1</v>
      </c>
      <c r="AB13" s="703">
        <f>D13/H13</f>
        <v>1</v>
      </c>
      <c r="AC13" s="703">
        <f>D13/J13</f>
        <v>1</v>
      </c>
    </row>
    <row r="14" spans="1:30" ht="15.6"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46"/>
      <c r="Q14" s="1341">
        <f t="shared" si="6"/>
        <v>111</v>
      </c>
      <c r="R14" s="700" t="s">
        <v>14</v>
      </c>
      <c r="S14" s="701">
        <f t="shared" si="0"/>
        <v>100</v>
      </c>
      <c r="T14" s="700" t="s">
        <v>14</v>
      </c>
      <c r="U14" s="701">
        <f t="shared" si="1"/>
        <v>100</v>
      </c>
      <c r="V14" s="700" t="s">
        <v>14</v>
      </c>
      <c r="W14" s="701">
        <f t="shared" si="2"/>
        <v>100</v>
      </c>
      <c r="X14" s="702"/>
      <c r="Y14" s="3602"/>
      <c r="Z14" s="52">
        <f t="shared" si="7"/>
        <v>111</v>
      </c>
      <c r="AA14" s="703">
        <f>D14/F14</f>
        <v>1</v>
      </c>
      <c r="AB14" s="703">
        <f>D14/H14</f>
        <v>1</v>
      </c>
      <c r="AC14" s="703">
        <f>D14/J14</f>
        <v>1</v>
      </c>
    </row>
    <row r="15" spans="1:30" ht="96.6">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48" t="s">
        <v>1691</v>
      </c>
      <c r="Q15" s="1350" t="str">
        <f t="shared" si="6"/>
        <v>居住社区成熟度</v>
      </c>
      <c r="R15" s="704" t="s">
        <v>14</v>
      </c>
      <c r="S15" s="705">
        <f t="shared" si="0"/>
        <v>100</v>
      </c>
      <c r="T15" s="704" t="s">
        <v>14</v>
      </c>
      <c r="U15" s="705">
        <f t="shared" si="1"/>
        <v>100</v>
      </c>
      <c r="V15" s="704" t="s">
        <v>14</v>
      </c>
      <c r="W15" s="705">
        <f t="shared" si="2"/>
        <v>100</v>
      </c>
      <c r="X15" s="1353"/>
      <c r="Y15" s="3748"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9"/>
      <c r="M16" s="2713"/>
      <c r="N16" s="2713"/>
      <c r="O16" s="2771"/>
      <c r="P16" s="3749"/>
      <c r="Q16" s="1350"/>
      <c r="R16" s="704"/>
      <c r="S16" s="705"/>
      <c r="T16" s="704"/>
      <c r="U16" s="705"/>
      <c r="V16" s="704"/>
      <c r="W16" s="705"/>
      <c r="X16" s="1353"/>
      <c r="Y16" s="3749"/>
      <c r="Z16" s="1354"/>
      <c r="AA16" s="1351">
        <v>1</v>
      </c>
      <c r="AB16" s="1351">
        <v>1</v>
      </c>
      <c r="AC16" s="1351">
        <v>1</v>
      </c>
    </row>
    <row r="17" spans="1:29" ht="82.8">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49"/>
      <c r="Q17" s="1350" t="str">
        <f>B17</f>
        <v>商业繁华度</v>
      </c>
      <c r="R17" s="704" t="s">
        <v>14</v>
      </c>
      <c r="S17" s="705">
        <f>F17</f>
        <v>100</v>
      </c>
      <c r="T17" s="704" t="s">
        <v>14</v>
      </c>
      <c r="U17" s="705">
        <f>H17</f>
        <v>100</v>
      </c>
      <c r="V17" s="704" t="s">
        <v>14</v>
      </c>
      <c r="W17" s="705">
        <f>J17</f>
        <v>100</v>
      </c>
      <c r="X17" s="1353"/>
      <c r="Y17" s="3749"/>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9"/>
      <c r="M18" s="2713"/>
      <c r="N18" s="2713"/>
      <c r="O18" s="2771"/>
      <c r="P18" s="3749"/>
      <c r="Q18" s="1350"/>
      <c r="R18" s="704"/>
      <c r="S18" s="705"/>
      <c r="T18" s="704"/>
      <c r="U18" s="705"/>
      <c r="V18" s="704"/>
      <c r="W18" s="705"/>
      <c r="X18" s="1353"/>
      <c r="Y18" s="3749"/>
      <c r="Z18" s="1354"/>
      <c r="AA18" s="1351">
        <v>1</v>
      </c>
      <c r="AB18" s="1351">
        <v>1</v>
      </c>
      <c r="AC18" s="1351">
        <v>1</v>
      </c>
    </row>
    <row r="19" spans="1:29" ht="82.8">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49"/>
      <c r="Q19" s="1350" t="str">
        <f>B19</f>
        <v>办公集聚程度</v>
      </c>
      <c r="R19" s="704" t="s">
        <v>14</v>
      </c>
      <c r="S19" s="705">
        <f>F19</f>
        <v>100</v>
      </c>
      <c r="T19" s="704" t="s">
        <v>14</v>
      </c>
      <c r="U19" s="705">
        <f>H19</f>
        <v>100</v>
      </c>
      <c r="V19" s="704" t="s">
        <v>14</v>
      </c>
      <c r="W19" s="705">
        <f>J19</f>
        <v>100</v>
      </c>
      <c r="X19" s="1353"/>
      <c r="Y19" s="3749"/>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9"/>
      <c r="M20" s="2713"/>
      <c r="N20" s="2713"/>
      <c r="O20" s="2771"/>
      <c r="P20" s="3749"/>
      <c r="Q20" s="1350"/>
      <c r="R20" s="704"/>
      <c r="S20" s="705"/>
      <c r="T20" s="704"/>
      <c r="U20" s="705"/>
      <c r="V20" s="704"/>
      <c r="W20" s="705"/>
      <c r="X20" s="1353"/>
      <c r="Y20" s="3749"/>
      <c r="Z20" s="1354"/>
      <c r="AA20" s="1351">
        <v>1</v>
      </c>
      <c r="AB20" s="1351">
        <v>1</v>
      </c>
      <c r="AC20" s="1351">
        <v>1</v>
      </c>
    </row>
    <row r="21" spans="1:29" ht="96.6">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49"/>
      <c r="Q21" s="1350" t="str">
        <f>B21</f>
        <v>交通便捷度</v>
      </c>
      <c r="R21" s="704" t="s">
        <v>14</v>
      </c>
      <c r="S21" s="705">
        <f>F21</f>
        <v>100</v>
      </c>
      <c r="T21" s="704" t="s">
        <v>14</v>
      </c>
      <c r="U21" s="705">
        <f>H21</f>
        <v>100</v>
      </c>
      <c r="V21" s="704" t="s">
        <v>14</v>
      </c>
      <c r="W21" s="705">
        <f>J21</f>
        <v>100</v>
      </c>
      <c r="X21" s="1353"/>
      <c r="Y21" s="3749"/>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9"/>
      <c r="M22" s="2713"/>
      <c r="N22" s="2713"/>
      <c r="O22" s="2771"/>
      <c r="P22" s="3749"/>
      <c r="Q22" s="1350"/>
      <c r="R22" s="704"/>
      <c r="S22" s="705"/>
      <c r="T22" s="704"/>
      <c r="U22" s="705"/>
      <c r="V22" s="704"/>
      <c r="W22" s="705"/>
      <c r="X22" s="1353"/>
      <c r="Y22" s="3749"/>
      <c r="Z22" s="1354"/>
      <c r="AA22" s="1351">
        <v>1</v>
      </c>
      <c r="AB22" s="1351">
        <v>1</v>
      </c>
      <c r="AC22" s="1351">
        <v>1</v>
      </c>
    </row>
    <row r="23" spans="1:29" ht="28.8">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49"/>
      <c r="Q23" s="1350" t="str">
        <f t="shared" ref="Q23:Q37" si="8">B23</f>
        <v>区域土地利用方向</v>
      </c>
      <c r="R23" s="704" t="s">
        <v>14</v>
      </c>
      <c r="S23" s="705">
        <f>F23</f>
        <v>100</v>
      </c>
      <c r="T23" s="704" t="s">
        <v>14</v>
      </c>
      <c r="U23" s="705">
        <f>H23</f>
        <v>100</v>
      </c>
      <c r="V23" s="704" t="s">
        <v>14</v>
      </c>
      <c r="W23" s="705">
        <f>J23</f>
        <v>100</v>
      </c>
      <c r="X23" s="1353"/>
      <c r="Y23" s="3749"/>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9"/>
      <c r="L24" s="2719"/>
      <c r="M24" s="2713"/>
      <c r="N24" s="2713"/>
      <c r="O24" s="2771"/>
      <c r="P24" s="3749"/>
      <c r="Q24" s="1350"/>
      <c r="R24" s="704"/>
      <c r="S24" s="705"/>
      <c r="T24" s="704"/>
      <c r="U24" s="705"/>
      <c r="V24" s="704"/>
      <c r="W24" s="705"/>
      <c r="X24" s="1353"/>
      <c r="Y24" s="3749"/>
      <c r="Z24" s="1354"/>
      <c r="AA24" s="1351"/>
      <c r="AB24" s="1351"/>
      <c r="AC24" s="1351"/>
    </row>
    <row r="25" spans="1:29" ht="55.2">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49"/>
      <c r="Q25" s="1350" t="str">
        <f t="shared" si="8"/>
        <v>自然及人文环境状况</v>
      </c>
      <c r="R25" s="704" t="s">
        <v>14</v>
      </c>
      <c r="S25" s="705">
        <f>F25</f>
        <v>100</v>
      </c>
      <c r="T25" s="704" t="s">
        <v>14</v>
      </c>
      <c r="U25" s="705">
        <f>H25</f>
        <v>100</v>
      </c>
      <c r="V25" s="704" t="s">
        <v>14</v>
      </c>
      <c r="W25" s="705">
        <f>J25</f>
        <v>100</v>
      </c>
      <c r="X25" s="1353"/>
      <c r="Y25" s="3749"/>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1"/>
      <c r="P26" s="3749"/>
      <c r="Q26" s="1350"/>
      <c r="R26" s="704"/>
      <c r="S26" s="705"/>
      <c r="T26" s="704"/>
      <c r="U26" s="705"/>
      <c r="V26" s="704"/>
      <c r="W26" s="705"/>
      <c r="X26" s="1353"/>
      <c r="Y26" s="3749"/>
      <c r="Z26" s="1354"/>
      <c r="AA26" s="1351">
        <v>1</v>
      </c>
      <c r="AB26" s="1351">
        <v>1</v>
      </c>
      <c r="AC26" s="1351">
        <v>1</v>
      </c>
    </row>
    <row r="27" spans="1:29" s="108" customFormat="1" ht="41.4">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49"/>
      <c r="Q27" s="1341" t="str">
        <f t="shared" si="8"/>
        <v>公共配套设施</v>
      </c>
      <c r="R27" s="700" t="s">
        <v>14</v>
      </c>
      <c r="S27" s="701">
        <f>F27</f>
        <v>100</v>
      </c>
      <c r="T27" s="700" t="s">
        <v>14</v>
      </c>
      <c r="U27" s="701">
        <f>H27</f>
        <v>100</v>
      </c>
      <c r="V27" s="700" t="s">
        <v>14</v>
      </c>
      <c r="W27" s="701">
        <f>J27</f>
        <v>100</v>
      </c>
      <c r="X27" s="702"/>
      <c r="Y27" s="3749"/>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714"/>
      <c r="M28" s="2715"/>
      <c r="N28" s="2715"/>
      <c r="O28" s="2769"/>
      <c r="P28" s="3749"/>
      <c r="Q28" s="1341"/>
      <c r="R28" s="700"/>
      <c r="S28" s="701"/>
      <c r="T28" s="700"/>
      <c r="U28" s="701"/>
      <c r="V28" s="700"/>
      <c r="W28" s="701"/>
      <c r="X28" s="702"/>
      <c r="Y28" s="3749"/>
      <c r="Z28" s="52"/>
      <c r="AA28" s="1351">
        <v>1</v>
      </c>
      <c r="AB28" s="1351">
        <v>1</v>
      </c>
      <c r="AC28" s="1351">
        <v>1</v>
      </c>
    </row>
    <row r="29" spans="1:29" s="108" customFormat="1" ht="41.4">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49"/>
      <c r="Q29" s="1341" t="str">
        <f t="shared" ref="Q29" si="9">B29</f>
        <v>基础设施水平</v>
      </c>
      <c r="R29" s="700" t="s">
        <v>14</v>
      </c>
      <c r="S29" s="701">
        <f>F29</f>
        <v>100</v>
      </c>
      <c r="T29" s="700" t="s">
        <v>14</v>
      </c>
      <c r="U29" s="701">
        <f>H29</f>
        <v>100</v>
      </c>
      <c r="V29" s="700" t="s">
        <v>14</v>
      </c>
      <c r="W29" s="701">
        <f>J29</f>
        <v>100</v>
      </c>
      <c r="X29" s="702"/>
      <c r="Y29" s="3749"/>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714"/>
      <c r="M30" s="2715"/>
      <c r="N30" s="2715"/>
      <c r="O30" s="2769"/>
      <c r="P30" s="3749"/>
      <c r="Q30" s="1341"/>
      <c r="R30" s="700"/>
      <c r="S30" s="701"/>
      <c r="T30" s="700"/>
      <c r="U30" s="701"/>
      <c r="V30" s="700"/>
      <c r="W30" s="701"/>
      <c r="X30" s="702"/>
      <c r="Y30" s="3749"/>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49"/>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9"/>
      <c r="Z31" s="1354" t="str">
        <f t="shared" ref="Z31:Z45" si="13">Q31</f>
        <v>临街状况</v>
      </c>
      <c r="AA31" s="1351">
        <f t="shared" si="3"/>
        <v>1</v>
      </c>
      <c r="AB31" s="1351">
        <f t="shared" si="4"/>
        <v>1</v>
      </c>
      <c r="AC31" s="1351">
        <f t="shared" si="5"/>
        <v>1</v>
      </c>
    </row>
    <row r="32" spans="1:29" ht="28.8">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49"/>
      <c r="Q32" s="1350" t="str">
        <f t="shared" si="8"/>
        <v>毗邻道路的类型与等级</v>
      </c>
      <c r="R32" s="704" t="s">
        <v>14</v>
      </c>
      <c r="S32" s="705">
        <f t="shared" si="10"/>
        <v>100</v>
      </c>
      <c r="T32" s="704" t="s">
        <v>14</v>
      </c>
      <c r="U32" s="705">
        <f t="shared" si="11"/>
        <v>100</v>
      </c>
      <c r="V32" s="704" t="s">
        <v>14</v>
      </c>
      <c r="W32" s="705">
        <f t="shared" si="12"/>
        <v>100</v>
      </c>
      <c r="X32" s="1353"/>
      <c r="Y32" s="3749"/>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1"/>
      <c r="P33" s="3749"/>
      <c r="Q33" s="1350"/>
      <c r="R33" s="704"/>
      <c r="S33" s="705"/>
      <c r="T33" s="704"/>
      <c r="U33" s="705"/>
      <c r="V33" s="704"/>
      <c r="W33" s="705"/>
      <c r="X33" s="1353"/>
      <c r="Y33" s="3749"/>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49"/>
      <c r="Q34" s="1350" t="str">
        <f t="shared" si="8"/>
        <v>土地级别</v>
      </c>
      <c r="R34" s="704" t="s">
        <v>14</v>
      </c>
      <c r="S34" s="705">
        <f t="shared" si="10"/>
        <v>100</v>
      </c>
      <c r="T34" s="704" t="s">
        <v>14</v>
      </c>
      <c r="U34" s="705">
        <f t="shared" si="11"/>
        <v>100</v>
      </c>
      <c r="V34" s="704" t="s">
        <v>14</v>
      </c>
      <c r="W34" s="705">
        <f t="shared" si="12"/>
        <v>100</v>
      </c>
      <c r="X34" s="1353"/>
      <c r="Y34" s="3749"/>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49"/>
      <c r="Q35" s="1350">
        <f t="shared" si="8"/>
        <v>111</v>
      </c>
      <c r="R35" s="704" t="s">
        <v>14</v>
      </c>
      <c r="S35" s="705">
        <f t="shared" si="10"/>
        <v>100</v>
      </c>
      <c r="T35" s="704" t="s">
        <v>14</v>
      </c>
      <c r="U35" s="705">
        <f t="shared" si="11"/>
        <v>100</v>
      </c>
      <c r="V35" s="704" t="s">
        <v>14</v>
      </c>
      <c r="W35" s="705">
        <f t="shared" si="12"/>
        <v>100</v>
      </c>
      <c r="X35" s="1353"/>
      <c r="Y35" s="3749"/>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804" t="s">
        <v>1696</v>
      </c>
      <c r="Q36" s="1350">
        <f t="shared" si="8"/>
        <v>111</v>
      </c>
      <c r="R36" s="704" t="s">
        <v>14</v>
      </c>
      <c r="S36" s="705">
        <f t="shared" si="10"/>
        <v>100</v>
      </c>
      <c r="T36" s="704" t="s">
        <v>14</v>
      </c>
      <c r="U36" s="705">
        <f t="shared" si="11"/>
        <v>100</v>
      </c>
      <c r="V36" s="704" t="s">
        <v>14</v>
      </c>
      <c r="W36" s="705">
        <f t="shared" si="12"/>
        <v>100</v>
      </c>
      <c r="X36" s="1353"/>
      <c r="Y36" s="3753" t="s">
        <v>1696</v>
      </c>
      <c r="Z36" s="1354">
        <f t="shared" si="13"/>
        <v>111</v>
      </c>
      <c r="AA36" s="1351">
        <f t="shared" si="3"/>
        <v>1</v>
      </c>
      <c r="AB36" s="1351">
        <f t="shared" si="4"/>
        <v>1</v>
      </c>
      <c r="AC36" s="1351">
        <f t="shared" si="5"/>
        <v>1</v>
      </c>
    </row>
    <row r="37" spans="1:29" s="421" customFormat="1" ht="15.6" thickBot="1">
      <c r="A37" s="623"/>
      <c r="B37" s="1133">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53"/>
      <c r="Q37" s="1350">
        <f t="shared" si="8"/>
        <v>111</v>
      </c>
      <c r="R37" s="707" t="s">
        <v>14</v>
      </c>
      <c r="S37" s="708">
        <f t="shared" si="10"/>
        <v>100</v>
      </c>
      <c r="T37" s="707" t="s">
        <v>14</v>
      </c>
      <c r="U37" s="708">
        <f t="shared" si="11"/>
        <v>100</v>
      </c>
      <c r="V37" s="707" t="s">
        <v>14</v>
      </c>
      <c r="W37" s="708">
        <f t="shared" si="12"/>
        <v>100</v>
      </c>
      <c r="X37" s="709"/>
      <c r="Y37" s="3753"/>
      <c r="Z37" s="710">
        <f t="shared" si="13"/>
        <v>111</v>
      </c>
      <c r="AA37" s="1351">
        <f t="shared" si="3"/>
        <v>1</v>
      </c>
      <c r="AB37" s="1351">
        <f t="shared" si="4"/>
        <v>1</v>
      </c>
      <c r="AC37" s="1351">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53"/>
      <c r="Q38" s="1350" t="str">
        <f>B38</f>
        <v>宗地面积</v>
      </c>
      <c r="R38" s="704" t="s">
        <v>14</v>
      </c>
      <c r="S38" s="705" t="e">
        <f t="shared" si="10"/>
        <v>#N/A</v>
      </c>
      <c r="T38" s="704" t="s">
        <v>14</v>
      </c>
      <c r="U38" s="705" t="e">
        <f t="shared" si="11"/>
        <v>#N/A</v>
      </c>
      <c r="V38" s="704" t="s">
        <v>14</v>
      </c>
      <c r="W38" s="705" t="e">
        <f t="shared" si="12"/>
        <v>#N/A</v>
      </c>
      <c r="X38" s="1353"/>
      <c r="Y38" s="3753"/>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1"/>
      <c r="P39" s="3753"/>
      <c r="Q39" s="1350" t="str">
        <f t="shared" ref="Q39:Q45" si="14">B39</f>
        <v>宗地形状</v>
      </c>
      <c r="R39" s="704" t="s">
        <v>14</v>
      </c>
      <c r="S39" s="705">
        <f t="shared" si="10"/>
        <v>100</v>
      </c>
      <c r="T39" s="704" t="s">
        <v>14</v>
      </c>
      <c r="U39" s="705">
        <f t="shared" si="11"/>
        <v>100</v>
      </c>
      <c r="V39" s="704" t="s">
        <v>14</v>
      </c>
      <c r="W39" s="705">
        <f t="shared" si="12"/>
        <v>100</v>
      </c>
      <c r="X39" s="1353"/>
      <c r="Y39" s="3753"/>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1"/>
      <c r="P40" s="3753"/>
      <c r="Q40" s="1350" t="str">
        <f t="shared" si="14"/>
        <v>临街宽度及深度</v>
      </c>
      <c r="R40" s="704" t="s">
        <v>14</v>
      </c>
      <c r="S40" s="705">
        <f t="shared" si="10"/>
        <v>100</v>
      </c>
      <c r="T40" s="704" t="s">
        <v>14</v>
      </c>
      <c r="U40" s="705">
        <f t="shared" si="11"/>
        <v>100</v>
      </c>
      <c r="V40" s="704" t="s">
        <v>14</v>
      </c>
      <c r="W40" s="705">
        <f t="shared" si="12"/>
        <v>100</v>
      </c>
      <c r="X40" s="1353"/>
      <c r="Y40" s="3753"/>
      <c r="Z40" s="1354" t="str">
        <f t="shared" si="13"/>
        <v>临街宽度及深度</v>
      </c>
      <c r="AA40" s="1351">
        <f t="shared" si="3"/>
        <v>1</v>
      </c>
      <c r="AB40" s="1351">
        <f t="shared" si="4"/>
        <v>1</v>
      </c>
      <c r="AC40" s="1351">
        <f t="shared" si="5"/>
        <v>1</v>
      </c>
    </row>
    <row r="41" spans="1:29" s="108" customFormat="1" ht="15">
      <c r="A41" s="423"/>
      <c r="B41" s="374" t="s">
        <v>1877</v>
      </c>
      <c r="C41" s="1978"/>
      <c r="D41" s="127">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9"/>
      <c r="P41" s="3753"/>
      <c r="Q41" s="1350" t="str">
        <f t="shared" si="14"/>
        <v>宗地开发程度</v>
      </c>
      <c r="R41" s="700" t="s">
        <v>14</v>
      </c>
      <c r="S41" s="701">
        <f t="shared" si="10"/>
        <v>100</v>
      </c>
      <c r="T41" s="700" t="s">
        <v>14</v>
      </c>
      <c r="U41" s="701">
        <f t="shared" si="11"/>
        <v>100</v>
      </c>
      <c r="V41" s="700" t="s">
        <v>14</v>
      </c>
      <c r="W41" s="701">
        <f t="shared" si="12"/>
        <v>100</v>
      </c>
      <c r="X41" s="702"/>
      <c r="Y41" s="3753"/>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1"/>
      <c r="P42" s="3753" t="s">
        <v>1696</v>
      </c>
      <c r="Q42" s="1350" t="str">
        <f t="shared" si="14"/>
        <v>工程地质条件</v>
      </c>
      <c r="R42" s="704" t="s">
        <v>14</v>
      </c>
      <c r="S42" s="705">
        <f t="shared" si="10"/>
        <v>100</v>
      </c>
      <c r="T42" s="704" t="s">
        <v>14</v>
      </c>
      <c r="U42" s="705">
        <f t="shared" si="11"/>
        <v>100</v>
      </c>
      <c r="V42" s="704" t="s">
        <v>14</v>
      </c>
      <c r="W42" s="705">
        <f t="shared" si="12"/>
        <v>100</v>
      </c>
      <c r="X42" s="1353"/>
      <c r="Y42" s="3753"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53"/>
      <c r="Q43" s="1350">
        <f t="shared" si="14"/>
        <v>111</v>
      </c>
      <c r="R43" s="704" t="s">
        <v>14</v>
      </c>
      <c r="S43" s="705">
        <f t="shared" si="10"/>
        <v>100</v>
      </c>
      <c r="T43" s="704" t="s">
        <v>14</v>
      </c>
      <c r="U43" s="705">
        <f t="shared" si="11"/>
        <v>100</v>
      </c>
      <c r="V43" s="704" t="s">
        <v>14</v>
      </c>
      <c r="W43" s="705">
        <f t="shared" si="12"/>
        <v>100</v>
      </c>
      <c r="X43" s="1353"/>
      <c r="Y43" s="3753"/>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53"/>
      <c r="Q44" s="1350">
        <f t="shared" si="14"/>
        <v>111</v>
      </c>
      <c r="R44" s="704" t="s">
        <v>14</v>
      </c>
      <c r="S44" s="705">
        <f t="shared" si="10"/>
        <v>100</v>
      </c>
      <c r="T44" s="704" t="s">
        <v>14</v>
      </c>
      <c r="U44" s="705">
        <f t="shared" si="11"/>
        <v>100</v>
      </c>
      <c r="V44" s="704" t="s">
        <v>14</v>
      </c>
      <c r="W44" s="705">
        <f t="shared" si="12"/>
        <v>100</v>
      </c>
      <c r="X44" s="1353"/>
      <c r="Y44" s="3753"/>
      <c r="Z44" s="1354">
        <f t="shared" si="13"/>
        <v>111</v>
      </c>
      <c r="AA44" s="1351">
        <f t="shared" si="3"/>
        <v>1</v>
      </c>
      <c r="AB44" s="1351">
        <f t="shared" si="4"/>
        <v>1</v>
      </c>
      <c r="AC44" s="1351">
        <f t="shared" si="5"/>
        <v>1</v>
      </c>
    </row>
    <row r="45" spans="1:29" s="421" customFormat="1" ht="15.6"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53"/>
      <c r="Q45" s="1350">
        <f t="shared" si="14"/>
        <v>111</v>
      </c>
      <c r="R45" s="707" t="s">
        <v>14</v>
      </c>
      <c r="S45" s="708">
        <f t="shared" si="10"/>
        <v>100</v>
      </c>
      <c r="T45" s="707" t="s">
        <v>14</v>
      </c>
      <c r="U45" s="708">
        <f t="shared" si="11"/>
        <v>100</v>
      </c>
      <c r="V45" s="707" t="s">
        <v>14</v>
      </c>
      <c r="W45" s="708">
        <f t="shared" si="12"/>
        <v>100</v>
      </c>
      <c r="X45" s="709"/>
      <c r="Y45" s="3753"/>
      <c r="Z45" s="710">
        <f t="shared" si="13"/>
        <v>111</v>
      </c>
      <c r="AA45" s="1351">
        <f t="shared" si="3"/>
        <v>1</v>
      </c>
      <c r="AB45" s="1351">
        <f t="shared" si="4"/>
        <v>1</v>
      </c>
      <c r="AC45" s="1351">
        <f t="shared" si="5"/>
        <v>1</v>
      </c>
    </row>
    <row r="46" spans="1:29" ht="14.4">
      <c r="A46" s="429" t="s">
        <v>1844</v>
      </c>
      <c r="B46" s="1980" t="s">
        <v>1879</v>
      </c>
      <c r="C46" s="629" t="s">
        <v>0</v>
      </c>
      <c r="D46" s="431"/>
      <c r="E46" s="432"/>
      <c r="F46" s="433"/>
      <c r="G46" s="434"/>
      <c r="H46" s="435"/>
      <c r="I46" s="432"/>
      <c r="J46" s="435"/>
      <c r="K46" s="713"/>
      <c r="L46" s="2721"/>
      <c r="M46" s="2722"/>
      <c r="N46" s="2713"/>
      <c r="O46" s="2722"/>
      <c r="P46" s="3746" t="str">
        <f>A46</f>
        <v>成交单价</v>
      </c>
      <c r="Q46" s="3746"/>
      <c r="R46" s="3777">
        <f>E46</f>
        <v>0</v>
      </c>
      <c r="S46" s="3777"/>
      <c r="T46" s="3777">
        <f>G46</f>
        <v>0</v>
      </c>
      <c r="U46" s="3777"/>
      <c r="V46" s="3777">
        <f>I46</f>
        <v>0</v>
      </c>
      <c r="W46" s="3777"/>
      <c r="X46" s="689"/>
      <c r="Y46" s="711"/>
      <c r="Z46" s="689"/>
      <c r="AA46" s="689"/>
      <c r="AB46" s="689"/>
      <c r="AC46" s="689"/>
    </row>
    <row r="47" spans="1:29" ht="15" thickBot="1">
      <c r="A47" s="436" t="s">
        <v>1793</v>
      </c>
      <c r="B47" s="630"/>
      <c r="C47" s="439" t="e">
        <f>R48</f>
        <v>#DIV/0!</v>
      </c>
      <c r="D47" s="2314" t="s">
        <v>2135</v>
      </c>
      <c r="E47" s="439" t="e">
        <f>R47</f>
        <v>#DIV/0!</v>
      </c>
      <c r="F47" s="2315"/>
      <c r="G47" s="438" t="e">
        <f>T47</f>
        <v>#DIV/0!</v>
      </c>
      <c r="H47" s="2315"/>
      <c r="I47" s="439" t="e">
        <f>V47</f>
        <v>#DIV/0!</v>
      </c>
      <c r="J47" s="2315"/>
      <c r="K47" s="2317">
        <f>F47+H47+J47</f>
        <v>0</v>
      </c>
      <c r="L47" s="2721"/>
      <c r="M47" s="2722"/>
      <c r="N47" s="2722"/>
      <c r="O47" s="2722"/>
      <c r="P47" s="3746" t="str">
        <f>A47</f>
        <v>比较价值（元/平方米）</v>
      </c>
      <c r="Q47" s="3746"/>
      <c r="R47" s="3808" t="e">
        <f>ROUND(PRODUCT(R46,AA7:AA45),0)</f>
        <v>#DIV/0!</v>
      </c>
      <c r="S47" s="3808"/>
      <c r="T47" s="3808" t="e">
        <f>ROUND(PRODUCT(T46,AB7:AB45),0)</f>
        <v>#DIV/0!</v>
      </c>
      <c r="U47" s="3808"/>
      <c r="V47" s="3808" t="e">
        <f>ROUND(PRODUCT(V46,AC7:AC45),0)</f>
        <v>#DIV/0!</v>
      </c>
      <c r="W47" s="3808"/>
      <c r="X47" s="689"/>
      <c r="Y47" s="689"/>
      <c r="Z47" s="689"/>
      <c r="AA47" s="689"/>
      <c r="AB47" s="689"/>
      <c r="AC47" s="689"/>
    </row>
    <row r="48" spans="1:29" ht="15" thickBot="1">
      <c r="A48" s="440" t="s">
        <v>1880</v>
      </c>
      <c r="B48" s="441"/>
      <c r="C48" s="442" t="e">
        <f>R48</f>
        <v>#DIV/0!</v>
      </c>
      <c r="D48" s="442"/>
      <c r="E48" s="442"/>
      <c r="F48" s="442"/>
      <c r="G48" s="442"/>
      <c r="H48" s="442"/>
      <c r="I48" s="442"/>
      <c r="J48" s="442"/>
      <c r="K48" s="714"/>
      <c r="L48" s="2721"/>
      <c r="M48" s="2722"/>
      <c r="N48" s="2722"/>
      <c r="O48" s="2722"/>
      <c r="P48" s="3743" t="str">
        <f>A48</f>
        <v>估价对象XX用房的比较价值（楼面单价，元/平方米）</v>
      </c>
      <c r="Q48" s="3744"/>
      <c r="R48" s="3809" t="e">
        <f>ROUND(IF(D47="简单平均",AVERAGE(R47:W47),R47*F47+T47*H47+V47*J47),0)</f>
        <v>#DIV/0!</v>
      </c>
      <c r="S48" s="3809"/>
      <c r="T48" s="3809"/>
      <c r="U48" s="3809"/>
      <c r="V48" s="3809"/>
      <c r="W48" s="3809"/>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4.4"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8" t="s">
        <v>1886</v>
      </c>
      <c r="G55" s="3761" t="s">
        <v>1887</v>
      </c>
      <c r="H55" s="3810"/>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2">
        <v>1</v>
      </c>
      <c r="E56" s="637">
        <f>'数据-汇总表'!E8+'数据-汇总表'!E9</f>
        <v>0</v>
      </c>
      <c r="F56" s="884" t="e">
        <f t="shared" ref="F56:F64" si="15">ROUND(B56*E56/10000,0)</f>
        <v>#DIV/0!</v>
      </c>
      <c r="G56" s="3757"/>
      <c r="H56" s="3746"/>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1">
        <f t="shared" ref="C57:C64" si="16">IF($C$55="北京市系数",I57,J57)</f>
        <v>0</v>
      </c>
      <c r="D57" s="943">
        <v>0.25</v>
      </c>
      <c r="E57" s="641"/>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1">
        <f t="shared" si="16"/>
        <v>0</v>
      </c>
      <c r="D58" s="943">
        <v>0.25</v>
      </c>
      <c r="E58" s="641"/>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1">
        <f t="shared" si="16"/>
        <v>0</v>
      </c>
      <c r="D59" s="943">
        <v>0.25</v>
      </c>
      <c r="E59" s="641"/>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1">
        <f t="shared" si="16"/>
        <v>0</v>
      </c>
      <c r="D60" s="943">
        <v>0.25</v>
      </c>
      <c r="E60" s="216">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1">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1">
        <f t="shared" si="16"/>
        <v>0.1</v>
      </c>
      <c r="D62" s="943">
        <v>0.25</v>
      </c>
      <c r="E62" s="216">
        <f>'数据-汇总表'!E13</f>
        <v>0</v>
      </c>
      <c r="F62" s="884" t="e">
        <f t="shared" si="15"/>
        <v>#DIV/0!</v>
      </c>
      <c r="G62" s="890" t="s">
        <v>1900</v>
      </c>
      <c r="H62" s="885" t="str">
        <f>IF(G62="商业",项目基本情况!B37,IF(G62="办公",项目基本情况!C37,IF(G62="住宅",项目基本情况!D37,项目基本情况!E37)))</f>
        <v>十级</v>
      </c>
      <c r="I62" s="889">
        <f>SUMIF(修正!A57:A68,H62,修正!G57:G68)</f>
        <v>0.1</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1">
        <f t="shared" si="16"/>
        <v>0</v>
      </c>
      <c r="D63" s="943">
        <v>0.25</v>
      </c>
      <c r="E63" s="216">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4.4" thickBot="1">
      <c r="A64" s="640" t="s">
        <v>1902</v>
      </c>
      <c r="B64" s="217" t="e">
        <f t="shared" si="17"/>
        <v>#DIV/0!</v>
      </c>
      <c r="C64" s="171">
        <f t="shared" si="16"/>
        <v>0</v>
      </c>
      <c r="D64" s="943">
        <v>0.25</v>
      </c>
      <c r="E64" s="216">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thickBot="1">
      <c r="A65" s="642" t="s">
        <v>1903</v>
      </c>
      <c r="B65" s="643" t="s">
        <v>22</v>
      </c>
      <c r="C65" s="643" t="s">
        <v>23</v>
      </c>
      <c r="D65" s="643" t="s">
        <v>392</v>
      </c>
      <c r="E65" s="643">
        <f>IF(B46="楼面地价",SUM(E56:E64),'数据-汇总表'!D3)</f>
        <v>0</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9"/>
      <c r="B67" s="691"/>
      <c r="C67" s="691" t="str">
        <f>YEAR(C7)&amp;"-"&amp;MONTH(C7)&amp;"-1"</f>
        <v>2025-8-1</v>
      </c>
      <c r="D67" s="691">
        <f>EDATE(C67,-3)</f>
        <v>45778</v>
      </c>
      <c r="E67" s="691">
        <f>EDATE(D67,-3)</f>
        <v>45689</v>
      </c>
      <c r="F67" s="691">
        <f t="shared" ref="F67:O67" si="18">EDATE(E67,-3)</f>
        <v>45597</v>
      </c>
      <c r="G67" s="691">
        <f t="shared" si="18"/>
        <v>45505</v>
      </c>
      <c r="H67" s="691">
        <f t="shared" si="18"/>
        <v>45413</v>
      </c>
      <c r="I67" s="691">
        <f t="shared" si="18"/>
        <v>45323</v>
      </c>
      <c r="J67" s="691">
        <f t="shared" si="18"/>
        <v>45231</v>
      </c>
      <c r="K67" s="691">
        <f t="shared" si="18"/>
        <v>45139</v>
      </c>
      <c r="L67" s="691">
        <f t="shared" si="18"/>
        <v>45047</v>
      </c>
      <c r="M67" s="691">
        <f t="shared" si="18"/>
        <v>44958</v>
      </c>
      <c r="N67" s="691">
        <f t="shared" si="18"/>
        <v>44866</v>
      </c>
      <c r="O67" s="691">
        <f t="shared" si="18"/>
        <v>44774</v>
      </c>
      <c r="P67" s="2722"/>
      <c r="Q67" s="2722"/>
      <c r="R67" s="2722"/>
      <c r="S67" s="2722"/>
      <c r="T67" s="2722"/>
      <c r="U67" s="2722"/>
      <c r="V67" s="2722"/>
      <c r="W67" s="2722"/>
      <c r="X67" s="2722"/>
      <c r="Y67" s="2722"/>
      <c r="Z67" s="2722"/>
      <c r="AA67" s="2722"/>
      <c r="AB67" s="2722"/>
      <c r="AC67" s="2722"/>
    </row>
    <row r="68" spans="1:29" ht="22.2" thickBot="1">
      <c r="A68" s="693" t="s">
        <v>1798</v>
      </c>
      <c r="B68" s="689"/>
      <c r="C68" s="694"/>
      <c r="D68" s="694"/>
      <c r="E68" s="694"/>
      <c r="F68" s="695"/>
      <c r="G68" s="695"/>
      <c r="H68" s="694"/>
      <c r="I68" s="694"/>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6" customFormat="1" ht="14.4">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8" customFormat="1" ht="15" thickBot="1">
      <c r="A71" s="463" t="s">
        <v>1716</v>
      </c>
      <c r="B71" s="464"/>
      <c r="C71" s="465"/>
      <c r="D71" s="466"/>
      <c r="E71" s="466"/>
      <c r="F71" s="466"/>
      <c r="G71" s="466"/>
      <c r="H71" s="466"/>
      <c r="I71" s="466"/>
      <c r="J71" s="466"/>
      <c r="K71" s="466"/>
      <c r="L71" s="466"/>
      <c r="M71" s="467"/>
      <c r="N71" s="466"/>
      <c r="O71" s="941"/>
      <c r="P71" s="2736"/>
      <c r="Q71" s="2736"/>
      <c r="R71" s="2658"/>
      <c r="S71" s="2658"/>
      <c r="T71" s="2658"/>
      <c r="U71" s="2658"/>
      <c r="V71" s="2658"/>
      <c r="W71" s="2658"/>
      <c r="X71" s="2658"/>
      <c r="Y71" s="2658"/>
      <c r="Z71" s="2658"/>
      <c r="AA71" s="2658"/>
      <c r="AB71" s="2658"/>
      <c r="AC71" s="2658"/>
    </row>
    <row r="72" spans="1:29" s="108" customFormat="1" ht="14.4">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4.4"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ht="14.4">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4.4"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9.4"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4.4"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4.4"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4.4"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4.4"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4.4"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4.4"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4.4"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ht="14.4">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29.4"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9.4"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30"/>
      <c r="N101" s="2752"/>
      <c r="O101" s="2752"/>
      <c r="P101" s="2776"/>
      <c r="Q101" s="2743"/>
      <c r="R101" s="2744"/>
      <c r="S101" s="2744"/>
      <c r="T101" s="2744"/>
      <c r="U101" s="2744"/>
      <c r="V101" s="2744"/>
      <c r="W101" s="2744"/>
      <c r="X101" s="2744"/>
      <c r="Y101" s="2744"/>
      <c r="Z101" s="2744"/>
      <c r="AA101" s="2744"/>
      <c r="AB101" s="2744"/>
      <c r="AC101" s="2744"/>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0"/>
      <c r="N102" s="2752"/>
      <c r="O102" s="2752"/>
      <c r="P102" s="2776"/>
      <c r="Q102" s="2743"/>
      <c r="R102" s="2744"/>
      <c r="S102" s="2744"/>
      <c r="T102" s="2744"/>
      <c r="U102" s="2744"/>
      <c r="V102" s="2744"/>
      <c r="W102" s="2744"/>
      <c r="X102" s="2744"/>
      <c r="Y102" s="2744"/>
      <c r="Z102" s="2744"/>
      <c r="AA102" s="2744"/>
      <c r="AB102" s="2744"/>
      <c r="AC102" s="2744"/>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4.4"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4.4"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4.4"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4.4"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4.4"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4.4"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4.4"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4.4"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4.4"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4.4"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4.4"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6"/>
      <c r="D2" s="906"/>
      <c r="E2" s="906"/>
      <c r="F2" s="907"/>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1769</v>
      </c>
      <c r="B4" s="355"/>
      <c r="C4" s="3761" t="s">
        <v>1770</v>
      </c>
      <c r="D4" s="3762"/>
      <c r="E4" s="3763" t="s">
        <v>1771</v>
      </c>
      <c r="F4" s="3764"/>
      <c r="G4" s="3761" t="s">
        <v>1772</v>
      </c>
      <c r="H4" s="3762"/>
      <c r="I4" s="3761" t="s">
        <v>1773</v>
      </c>
      <c r="J4" s="3762"/>
      <c r="K4" s="558" t="s">
        <v>1774</v>
      </c>
      <c r="L4" s="2712"/>
      <c r="M4" s="2713"/>
      <c r="N4" s="2713"/>
      <c r="O4" s="2713"/>
      <c r="P4" s="3765" t="s">
        <v>1775</v>
      </c>
      <c r="Q4" s="3766"/>
      <c r="R4" s="3771" t="s">
        <v>1771</v>
      </c>
      <c r="S4" s="3772"/>
      <c r="T4" s="3771" t="s">
        <v>1772</v>
      </c>
      <c r="U4" s="3772"/>
      <c r="V4" s="3777" t="s">
        <v>1773</v>
      </c>
      <c r="W4" s="3777"/>
      <c r="X4" s="1353"/>
      <c r="Y4" s="3771" t="s">
        <v>1775</v>
      </c>
      <c r="Z4" s="3772"/>
      <c r="AA4" s="3758" t="s">
        <v>1771</v>
      </c>
      <c r="AB4" s="3759" t="s">
        <v>1772</v>
      </c>
      <c r="AC4" s="3758" t="s">
        <v>1773</v>
      </c>
    </row>
    <row r="5" spans="1:29">
      <c r="A5" s="357"/>
      <c r="B5" s="358"/>
      <c r="C5" s="3780" t="s">
        <v>1673</v>
      </c>
      <c r="D5" s="3781"/>
      <c r="E5" s="3787" t="s">
        <v>1674</v>
      </c>
      <c r="F5" s="3788"/>
      <c r="G5" s="3780" t="s">
        <v>1675</v>
      </c>
      <c r="H5" s="3781"/>
      <c r="I5" s="3780" t="s">
        <v>1676</v>
      </c>
      <c r="J5" s="3781"/>
      <c r="K5" s="558"/>
      <c r="L5" s="2712"/>
      <c r="M5" s="2713"/>
      <c r="N5" s="2713"/>
      <c r="O5" s="2713"/>
      <c r="P5" s="3767"/>
      <c r="Q5" s="3768"/>
      <c r="R5" s="3773"/>
      <c r="S5" s="3774"/>
      <c r="T5" s="3773"/>
      <c r="U5" s="3774"/>
      <c r="V5" s="3777"/>
      <c r="W5" s="3777"/>
      <c r="X5" s="1353"/>
      <c r="Y5" s="3773"/>
      <c r="Z5" s="3774"/>
      <c r="AA5" s="3759"/>
      <c r="AB5" s="3759"/>
      <c r="AC5" s="3759"/>
    </row>
    <row r="6" spans="1:29" ht="15" thickBot="1">
      <c r="A6" s="359"/>
      <c r="B6" s="360"/>
      <c r="C6" s="3811" t="s">
        <v>1919</v>
      </c>
      <c r="D6" s="3812"/>
      <c r="E6" s="3813" t="s">
        <v>1919</v>
      </c>
      <c r="F6" s="3814"/>
      <c r="G6" s="3811" t="s">
        <v>1919</v>
      </c>
      <c r="H6" s="3812"/>
      <c r="I6" s="3811" t="s">
        <v>1919</v>
      </c>
      <c r="J6" s="3812"/>
      <c r="K6" s="558" t="s">
        <v>1678</v>
      </c>
      <c r="L6" s="2712"/>
      <c r="M6" s="2713"/>
      <c r="N6" s="2713"/>
      <c r="O6" s="2713"/>
      <c r="P6" s="3769"/>
      <c r="Q6" s="3770"/>
      <c r="R6" s="3773"/>
      <c r="S6" s="3774"/>
      <c r="T6" s="3775"/>
      <c r="U6" s="3776"/>
      <c r="V6" s="3777"/>
      <c r="W6" s="3777"/>
      <c r="X6" s="1353"/>
      <c r="Y6" s="3775"/>
      <c r="Z6" s="3776"/>
      <c r="AA6" s="3760"/>
      <c r="AB6" s="3760"/>
      <c r="AC6" s="3760"/>
    </row>
    <row r="7" spans="1:29" s="108" customFormat="1" ht="15" thickBot="1">
      <c r="A7" s="361" t="s">
        <v>1679</v>
      </c>
      <c r="B7" s="362"/>
      <c r="C7" s="363">
        <f>'数据-取费表'!B2</f>
        <v>45882</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782" t="s">
        <v>1680</v>
      </c>
      <c r="Q7" s="3784"/>
      <c r="R7" s="700" t="s">
        <v>14</v>
      </c>
      <c r="S7" s="701">
        <f t="shared" ref="S7:S15" si="0">F7</f>
        <v>0</v>
      </c>
      <c r="T7" s="700" t="s">
        <v>14</v>
      </c>
      <c r="U7" s="701">
        <f t="shared" ref="U7:U15" si="1">H7</f>
        <v>0</v>
      </c>
      <c r="V7" s="700" t="s">
        <v>14</v>
      </c>
      <c r="W7" s="701">
        <f t="shared" ref="W7:W15" si="2">J7</f>
        <v>0</v>
      </c>
      <c r="X7" s="702"/>
      <c r="Y7" s="3782" t="s">
        <v>1680</v>
      </c>
      <c r="Z7" s="3783"/>
      <c r="AA7" s="703" t="e">
        <f>D7/F7</f>
        <v>#DIV/0!</v>
      </c>
      <c r="AB7" s="703" t="e">
        <f>D7/H7</f>
        <v>#DIV/0!</v>
      </c>
      <c r="AC7" s="703" t="e">
        <f>D7/J7</f>
        <v>#DIV/0!</v>
      </c>
    </row>
    <row r="8" spans="1:29" s="108"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82" t="s">
        <v>1683</v>
      </c>
      <c r="Q8" s="3783"/>
      <c r="R8" s="700" t="s">
        <v>14</v>
      </c>
      <c r="S8" s="701">
        <f t="shared" si="0"/>
        <v>0</v>
      </c>
      <c r="T8" s="700" t="s">
        <v>14</v>
      </c>
      <c r="U8" s="701">
        <f t="shared" si="1"/>
        <v>0</v>
      </c>
      <c r="V8" s="700" t="s">
        <v>14</v>
      </c>
      <c r="W8" s="701">
        <f t="shared" si="2"/>
        <v>0</v>
      </c>
      <c r="X8" s="702"/>
      <c r="Y8" s="3782" t="s">
        <v>1683</v>
      </c>
      <c r="Z8" s="3783"/>
      <c r="AA8" s="703" t="e">
        <f t="shared" ref="AA8:AA40" si="3">D8/F8</f>
        <v>#DIV/0!</v>
      </c>
      <c r="AB8" s="703" t="e">
        <f t="shared" ref="AB8:AB40" si="4">D8/H8</f>
        <v>#DIV/0!</v>
      </c>
      <c r="AC8" s="703" t="e">
        <f t="shared" ref="AC8:AC40" si="5">D8/J8</f>
        <v>#DIV/0!</v>
      </c>
    </row>
    <row r="9" spans="1:29" s="108" customFormat="1" ht="14.4">
      <c r="A9" s="368" t="s">
        <v>1684</v>
      </c>
      <c r="B9" s="63" t="s">
        <v>1685</v>
      </c>
      <c r="C9" s="1975"/>
      <c r="D9" s="126">
        <v>100</v>
      </c>
      <c r="E9" s="1975"/>
      <c r="F9" s="126">
        <f>SUMIF(70:70,E9,71:71)-SUMIF(70:70,C9,71:71)+100</f>
        <v>100</v>
      </c>
      <c r="G9" s="1975"/>
      <c r="H9" s="126">
        <f>SUMIF(70:70,G9,71:71)-SUMIF(70:70,C9,71:71)+100</f>
        <v>100</v>
      </c>
      <c r="I9" s="1975"/>
      <c r="J9" s="126">
        <f>SUMIF(70:70,I9,71:71)-SUMIF(70:70,C9,71:71)+100</f>
        <v>100</v>
      </c>
      <c r="K9" s="559"/>
      <c r="L9" s="2714"/>
      <c r="M9" s="2715"/>
      <c r="N9" s="2715"/>
      <c r="O9" s="2769"/>
      <c r="P9" s="3746" t="s">
        <v>1686</v>
      </c>
      <c r="Q9" s="1341" t="str">
        <f t="shared" ref="Q9:Q15" si="6">B9</f>
        <v>用途</v>
      </c>
      <c r="R9" s="700" t="s">
        <v>14</v>
      </c>
      <c r="S9" s="701">
        <f t="shared" si="0"/>
        <v>100</v>
      </c>
      <c r="T9" s="700" t="s">
        <v>14</v>
      </c>
      <c r="U9" s="701">
        <f t="shared" si="1"/>
        <v>100</v>
      </c>
      <c r="V9" s="700" t="s">
        <v>14</v>
      </c>
      <c r="W9" s="701">
        <f t="shared" si="2"/>
        <v>100</v>
      </c>
      <c r="X9" s="702"/>
      <c r="Y9" s="3602" t="s">
        <v>1687</v>
      </c>
      <c r="Z9" s="52" t="str">
        <f t="shared" ref="Z9:Z15" si="7">Q9</f>
        <v>用途</v>
      </c>
      <c r="AA9" s="703">
        <f t="shared" si="3"/>
        <v>1</v>
      </c>
      <c r="AB9" s="703">
        <f t="shared" si="4"/>
        <v>1</v>
      </c>
      <c r="AC9" s="703">
        <f t="shared" si="5"/>
        <v>1</v>
      </c>
    </row>
    <row r="10" spans="1:29" s="377" customFormat="1" ht="28.8">
      <c r="A10" s="373"/>
      <c r="B10" s="374" t="s">
        <v>1688</v>
      </c>
      <c r="C10" s="382"/>
      <c r="D10" s="127">
        <v>100</v>
      </c>
      <c r="E10" s="382"/>
      <c r="F10" s="127" t="e">
        <f>ROUND(100/'数据-取费表'!G16,0)</f>
        <v>#DIV/0!</v>
      </c>
      <c r="G10" s="382"/>
      <c r="H10" s="127" t="e">
        <f>ROUND(100/'数据-取费表'!G16,0)</f>
        <v>#DIV/0!</v>
      </c>
      <c r="I10" s="382"/>
      <c r="J10" s="127" t="e">
        <f>ROUND(100/'数据-取费表'!G16,0)</f>
        <v>#DIV/0!</v>
      </c>
      <c r="K10" s="619"/>
      <c r="L10" s="2716"/>
      <c r="M10" s="2717"/>
      <c r="N10" s="2717"/>
      <c r="O10" s="2770"/>
      <c r="P10" s="3746"/>
      <c r="Q10" s="1341" t="str">
        <f t="shared" si="6"/>
        <v>土地使用年限（年）</v>
      </c>
      <c r="R10" s="700" t="s">
        <v>14</v>
      </c>
      <c r="S10" s="701" t="e">
        <f t="shared" si="0"/>
        <v>#DIV/0!</v>
      </c>
      <c r="T10" s="700" t="s">
        <v>14</v>
      </c>
      <c r="U10" s="701" t="e">
        <f t="shared" si="1"/>
        <v>#DIV/0!</v>
      </c>
      <c r="V10" s="700" t="s">
        <v>14</v>
      </c>
      <c r="W10" s="701" t="e">
        <f t="shared" si="2"/>
        <v>#DIV/0!</v>
      </c>
      <c r="X10" s="702"/>
      <c r="Y10" s="3602"/>
      <c r="Z10" s="52" t="str">
        <f t="shared" si="7"/>
        <v>土地使用年限（年）</v>
      </c>
      <c r="AA10" s="703" t="e">
        <f t="shared" si="3"/>
        <v>#DIV/0!</v>
      </c>
      <c r="AB10" s="703" t="e">
        <f t="shared" si="4"/>
        <v>#DIV/0!</v>
      </c>
      <c r="AC10" s="703" t="e">
        <f t="shared" si="5"/>
        <v>#DIV/0!</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20"/>
      <c r="L11" s="2718"/>
      <c r="M11" s="2713"/>
      <c r="N11" s="2713"/>
      <c r="O11" s="2771"/>
      <c r="P11" s="3746"/>
      <c r="Q11" s="1341" t="str">
        <f t="shared" si="6"/>
        <v>容积率</v>
      </c>
      <c r="R11" s="700" t="s">
        <v>14</v>
      </c>
      <c r="S11" s="701" t="e">
        <f t="shared" si="0"/>
        <v>#N/A</v>
      </c>
      <c r="T11" s="700" t="s">
        <v>14</v>
      </c>
      <c r="U11" s="701" t="e">
        <f t="shared" si="1"/>
        <v>#N/A</v>
      </c>
      <c r="V11" s="700" t="s">
        <v>14</v>
      </c>
      <c r="W11" s="701" t="e">
        <f t="shared" si="2"/>
        <v>#N/A</v>
      </c>
      <c r="X11" s="702"/>
      <c r="Y11" s="3602"/>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7">
        <f>SUMIF(77:77,E12,78:78)-SUMIF(77:77,C12,78:78)+100</f>
        <v>100</v>
      </c>
      <c r="G12" s="621"/>
      <c r="H12" s="127">
        <f>SUMIF(77:77,G12,78:78)-SUMIF(77:77,C12,78:78)+100</f>
        <v>100</v>
      </c>
      <c r="I12" s="497"/>
      <c r="J12" s="127">
        <f>SUMIF(77:77,I12,78:78)-SUMIF(77:77,C12,78:78)+100</f>
        <v>100</v>
      </c>
      <c r="K12" s="619"/>
      <c r="L12" s="2714"/>
      <c r="M12" s="2715"/>
      <c r="N12" s="2715"/>
      <c r="O12" s="2769"/>
      <c r="P12" s="3746"/>
      <c r="Q12" s="1341">
        <f t="shared" si="6"/>
        <v>111</v>
      </c>
      <c r="R12" s="700" t="s">
        <v>14</v>
      </c>
      <c r="S12" s="701">
        <f t="shared" si="0"/>
        <v>100</v>
      </c>
      <c r="T12" s="700" t="s">
        <v>14</v>
      </c>
      <c r="U12" s="701">
        <f t="shared" si="1"/>
        <v>100</v>
      </c>
      <c r="V12" s="700" t="s">
        <v>14</v>
      </c>
      <c r="W12" s="701">
        <f t="shared" si="2"/>
        <v>100</v>
      </c>
      <c r="X12" s="702"/>
      <c r="Y12" s="3602"/>
      <c r="Z12" s="52">
        <f t="shared" si="7"/>
        <v>111</v>
      </c>
      <c r="AA12" s="703">
        <f>D12/F12</f>
        <v>1</v>
      </c>
      <c r="AB12" s="703">
        <f>D12/H12</f>
        <v>1</v>
      </c>
      <c r="AC12" s="703">
        <f>D12/J12</f>
        <v>1</v>
      </c>
    </row>
    <row r="13" spans="1:29" ht="15">
      <c r="A13" s="378"/>
      <c r="B13" s="1891">
        <v>111</v>
      </c>
      <c r="C13" s="384"/>
      <c r="D13" s="385">
        <v>100</v>
      </c>
      <c r="E13" s="497"/>
      <c r="F13" s="127">
        <f>SUMIF(79:79,E13,80:80)-SUMIF(79:79,C13,80:80)+100</f>
        <v>100</v>
      </c>
      <c r="G13" s="621"/>
      <c r="H13" s="385">
        <f>SUMIF(79:79,G13,80:80)-SUMIF(79:79,C13,80:80)+100</f>
        <v>100</v>
      </c>
      <c r="I13" s="497"/>
      <c r="J13" s="385">
        <f>SUMIF(79:79,I13,80:80)-SUMIF(79:79,C13,80:80)+100</f>
        <v>100</v>
      </c>
      <c r="K13" s="619"/>
      <c r="L13" s="2719"/>
      <c r="M13" s="2713"/>
      <c r="N13" s="2713"/>
      <c r="O13" s="2771"/>
      <c r="P13" s="3746"/>
      <c r="Q13" s="1341">
        <f t="shared" si="6"/>
        <v>111</v>
      </c>
      <c r="R13" s="700" t="s">
        <v>14</v>
      </c>
      <c r="S13" s="701">
        <f t="shared" si="0"/>
        <v>100</v>
      </c>
      <c r="T13" s="700" t="s">
        <v>14</v>
      </c>
      <c r="U13" s="701">
        <f t="shared" si="1"/>
        <v>100</v>
      </c>
      <c r="V13" s="700" t="s">
        <v>14</v>
      </c>
      <c r="W13" s="701">
        <f t="shared" si="2"/>
        <v>100</v>
      </c>
      <c r="X13" s="702"/>
      <c r="Y13" s="3602"/>
      <c r="Z13" s="52">
        <f t="shared" si="7"/>
        <v>111</v>
      </c>
      <c r="AA13" s="703">
        <f t="shared" si="3"/>
        <v>1</v>
      </c>
      <c r="AB13" s="703">
        <f t="shared" si="4"/>
        <v>1</v>
      </c>
      <c r="AC13" s="703">
        <f t="shared" si="5"/>
        <v>1</v>
      </c>
    </row>
    <row r="14" spans="1:29" ht="15.6"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46"/>
      <c r="Q14" s="1341">
        <f t="shared" si="6"/>
        <v>111</v>
      </c>
      <c r="R14" s="700" t="s">
        <v>14</v>
      </c>
      <c r="S14" s="701">
        <f t="shared" si="0"/>
        <v>100</v>
      </c>
      <c r="T14" s="700" t="s">
        <v>14</v>
      </c>
      <c r="U14" s="701">
        <f t="shared" si="1"/>
        <v>100</v>
      </c>
      <c r="V14" s="700" t="s">
        <v>14</v>
      </c>
      <c r="W14" s="701">
        <f t="shared" si="2"/>
        <v>100</v>
      </c>
      <c r="X14" s="702"/>
      <c r="Y14" s="3602"/>
      <c r="Z14" s="52">
        <f t="shared" si="7"/>
        <v>111</v>
      </c>
      <c r="AA14" s="703">
        <f t="shared" si="3"/>
        <v>1</v>
      </c>
      <c r="AB14" s="703">
        <f t="shared" si="4"/>
        <v>1</v>
      </c>
      <c r="AC14" s="703">
        <f t="shared" si="5"/>
        <v>1</v>
      </c>
    </row>
    <row r="15" spans="1:29" ht="69">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48" t="s">
        <v>1691</v>
      </c>
      <c r="Q15" s="1350" t="str">
        <f t="shared" si="6"/>
        <v>产业集聚程度</v>
      </c>
      <c r="R15" s="704" t="s">
        <v>14</v>
      </c>
      <c r="S15" s="705">
        <f t="shared" si="0"/>
        <v>100</v>
      </c>
      <c r="T15" s="704" t="s">
        <v>14</v>
      </c>
      <c r="U15" s="705">
        <f t="shared" si="1"/>
        <v>100</v>
      </c>
      <c r="V15" s="704" t="s">
        <v>14</v>
      </c>
      <c r="W15" s="705">
        <f t="shared" si="2"/>
        <v>100</v>
      </c>
      <c r="X15" s="1353"/>
      <c r="Y15" s="3748"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1"/>
      <c r="P16" s="3749"/>
      <c r="Q16" s="1350"/>
      <c r="R16" s="704"/>
      <c r="S16" s="705"/>
      <c r="T16" s="704"/>
      <c r="U16" s="705"/>
      <c r="V16" s="704"/>
      <c r="W16" s="705"/>
      <c r="X16" s="1353"/>
      <c r="Y16" s="3749"/>
      <c r="Z16" s="1354"/>
      <c r="AA16" s="1351">
        <v>1</v>
      </c>
      <c r="AB16" s="1351">
        <v>1</v>
      </c>
      <c r="AC16" s="1351">
        <v>1</v>
      </c>
    </row>
    <row r="17" spans="1:29" ht="96.6">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49"/>
      <c r="Q17" s="1350" t="str">
        <f>B17</f>
        <v>交通便捷度</v>
      </c>
      <c r="R17" s="704" t="s">
        <v>14</v>
      </c>
      <c r="S17" s="705">
        <f>F17</f>
        <v>100</v>
      </c>
      <c r="T17" s="704" t="s">
        <v>14</v>
      </c>
      <c r="U17" s="705">
        <f>H17</f>
        <v>100</v>
      </c>
      <c r="V17" s="704" t="s">
        <v>14</v>
      </c>
      <c r="W17" s="705">
        <f>J17</f>
        <v>100</v>
      </c>
      <c r="X17" s="1353"/>
      <c r="Y17" s="3749"/>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1"/>
      <c r="P18" s="3749"/>
      <c r="Q18" s="1350"/>
      <c r="R18" s="704"/>
      <c r="S18" s="705"/>
      <c r="T18" s="704"/>
      <c r="U18" s="705"/>
      <c r="V18" s="704"/>
      <c r="W18" s="705"/>
      <c r="X18" s="1353"/>
      <c r="Y18" s="3749"/>
      <c r="Z18" s="1354"/>
      <c r="AA18" s="1351">
        <v>1</v>
      </c>
      <c r="AB18" s="1351">
        <v>1</v>
      </c>
      <c r="AC18" s="1351">
        <v>1</v>
      </c>
    </row>
    <row r="19" spans="1:29" ht="28.8">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49"/>
      <c r="Q19" s="1350" t="str">
        <f t="shared" ref="Q19:Q33" si="8">B19</f>
        <v>区域土地利用方向</v>
      </c>
      <c r="R19" s="704" t="s">
        <v>14</v>
      </c>
      <c r="S19" s="705">
        <f>F19</f>
        <v>100</v>
      </c>
      <c r="T19" s="704" t="s">
        <v>14</v>
      </c>
      <c r="U19" s="705">
        <f>H19</f>
        <v>100</v>
      </c>
      <c r="V19" s="704" t="s">
        <v>14</v>
      </c>
      <c r="W19" s="705">
        <f>J19</f>
        <v>100</v>
      </c>
      <c r="X19" s="1353"/>
      <c r="Y19" s="3749"/>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1"/>
      <c r="P20" s="3749"/>
      <c r="Q20" s="1350"/>
      <c r="R20" s="704"/>
      <c r="S20" s="705"/>
      <c r="T20" s="704"/>
      <c r="U20" s="705"/>
      <c r="V20" s="704"/>
      <c r="W20" s="705"/>
      <c r="X20" s="1353"/>
      <c r="Y20" s="3749"/>
      <c r="Z20" s="1354"/>
      <c r="AA20" s="1351"/>
      <c r="AB20" s="1351"/>
      <c r="AC20" s="1351"/>
    </row>
    <row r="21" spans="1:29" ht="82.8">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49"/>
      <c r="Q21" s="1350" t="str">
        <f t="shared" si="8"/>
        <v>环境状况</v>
      </c>
      <c r="R21" s="704" t="s">
        <v>14</v>
      </c>
      <c r="S21" s="705">
        <f>F21</f>
        <v>100</v>
      </c>
      <c r="T21" s="704" t="s">
        <v>14</v>
      </c>
      <c r="U21" s="705">
        <f>H21</f>
        <v>100</v>
      </c>
      <c r="V21" s="704" t="s">
        <v>14</v>
      </c>
      <c r="W21" s="705">
        <f>J21</f>
        <v>100</v>
      </c>
      <c r="X21" s="1353"/>
      <c r="Y21" s="3749"/>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1"/>
      <c r="P22" s="3749"/>
      <c r="Q22" s="1350"/>
      <c r="R22" s="704"/>
      <c r="S22" s="705"/>
      <c r="T22" s="704"/>
      <c r="U22" s="705"/>
      <c r="V22" s="704"/>
      <c r="W22" s="705"/>
      <c r="X22" s="1353"/>
      <c r="Y22" s="3749"/>
      <c r="Z22" s="1354"/>
      <c r="AA22" s="1351">
        <v>1</v>
      </c>
      <c r="AB22" s="1351">
        <v>1</v>
      </c>
      <c r="AC22" s="1351">
        <v>1</v>
      </c>
    </row>
    <row r="23" spans="1:29" s="108" customFormat="1" ht="41.4">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49"/>
      <c r="Q23" s="1341" t="str">
        <f t="shared" si="8"/>
        <v>公共配套设施</v>
      </c>
      <c r="R23" s="700" t="s">
        <v>14</v>
      </c>
      <c r="S23" s="701">
        <f>F23</f>
        <v>100</v>
      </c>
      <c r="T23" s="700" t="s">
        <v>14</v>
      </c>
      <c r="U23" s="701">
        <f>H23</f>
        <v>100</v>
      </c>
      <c r="V23" s="700" t="s">
        <v>14</v>
      </c>
      <c r="W23" s="701">
        <f>J23</f>
        <v>100</v>
      </c>
      <c r="X23" s="702"/>
      <c r="Y23" s="3749"/>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4"/>
      <c r="M24" s="2715"/>
      <c r="N24" s="2715"/>
      <c r="O24" s="2769"/>
      <c r="P24" s="3749"/>
      <c r="Q24" s="1341"/>
      <c r="R24" s="700"/>
      <c r="S24" s="701"/>
      <c r="T24" s="700"/>
      <c r="U24" s="701"/>
      <c r="V24" s="700"/>
      <c r="W24" s="701"/>
      <c r="X24" s="702"/>
      <c r="Y24" s="3749"/>
      <c r="Z24" s="52"/>
      <c r="AA24" s="703">
        <v>1</v>
      </c>
      <c r="AB24" s="703">
        <v>1</v>
      </c>
      <c r="AC24" s="703">
        <v>1</v>
      </c>
    </row>
    <row r="25" spans="1:29" s="108" customFormat="1" ht="41.4">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49"/>
      <c r="Q25" s="1341" t="str">
        <f t="shared" ref="Q25" si="9">B25</f>
        <v>基础设施水平</v>
      </c>
      <c r="R25" s="700" t="s">
        <v>14</v>
      </c>
      <c r="S25" s="701">
        <f>F25</f>
        <v>100</v>
      </c>
      <c r="T25" s="700" t="s">
        <v>14</v>
      </c>
      <c r="U25" s="701">
        <f>H25</f>
        <v>100</v>
      </c>
      <c r="V25" s="700" t="s">
        <v>14</v>
      </c>
      <c r="W25" s="701">
        <f>J25</f>
        <v>100</v>
      </c>
      <c r="X25" s="702"/>
      <c r="Y25" s="3749"/>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4"/>
      <c r="M26" s="2715"/>
      <c r="N26" s="2715"/>
      <c r="O26" s="2769"/>
      <c r="P26" s="3749"/>
      <c r="Q26" s="1341"/>
      <c r="R26" s="700"/>
      <c r="S26" s="701"/>
      <c r="T26" s="700"/>
      <c r="U26" s="701"/>
      <c r="V26" s="700"/>
      <c r="W26" s="701"/>
      <c r="X26" s="702"/>
      <c r="Y26" s="3749"/>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49"/>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9"/>
      <c r="Z27" s="1354" t="str">
        <f t="shared" ref="Z27:Z40" si="13">Q27</f>
        <v>临街状况</v>
      </c>
      <c r="AA27" s="1351">
        <f t="shared" si="3"/>
        <v>1</v>
      </c>
      <c r="AB27" s="1351">
        <f t="shared" si="4"/>
        <v>1</v>
      </c>
      <c r="AC27" s="1351">
        <f t="shared" si="5"/>
        <v>1</v>
      </c>
    </row>
    <row r="28" spans="1:29" ht="28.8">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49"/>
      <c r="Q28" s="1350" t="str">
        <f t="shared" si="8"/>
        <v>毗邻道路的类型与等级</v>
      </c>
      <c r="R28" s="704" t="s">
        <v>14</v>
      </c>
      <c r="S28" s="705">
        <f t="shared" si="10"/>
        <v>100</v>
      </c>
      <c r="T28" s="704" t="s">
        <v>14</v>
      </c>
      <c r="U28" s="705">
        <f t="shared" si="11"/>
        <v>100</v>
      </c>
      <c r="V28" s="704" t="s">
        <v>14</v>
      </c>
      <c r="W28" s="705">
        <f t="shared" si="12"/>
        <v>100</v>
      </c>
      <c r="X28" s="1353"/>
      <c r="Y28" s="3749"/>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1"/>
      <c r="P29" s="3749"/>
      <c r="Q29" s="1350"/>
      <c r="R29" s="704"/>
      <c r="S29" s="705"/>
      <c r="T29" s="704"/>
      <c r="U29" s="705"/>
      <c r="V29" s="704"/>
      <c r="W29" s="705"/>
      <c r="X29" s="1353"/>
      <c r="Y29" s="3749"/>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49"/>
      <c r="Q30" s="1350" t="str">
        <f t="shared" si="8"/>
        <v>土地级别</v>
      </c>
      <c r="R30" s="704" t="s">
        <v>14</v>
      </c>
      <c r="S30" s="705">
        <f t="shared" si="10"/>
        <v>100</v>
      </c>
      <c r="T30" s="704" t="s">
        <v>14</v>
      </c>
      <c r="U30" s="705">
        <f t="shared" si="11"/>
        <v>100</v>
      </c>
      <c r="V30" s="704" t="s">
        <v>14</v>
      </c>
      <c r="W30" s="705">
        <f t="shared" si="12"/>
        <v>100</v>
      </c>
      <c r="X30" s="1353"/>
      <c r="Y30" s="3749"/>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49"/>
      <c r="Q31" s="1350">
        <f t="shared" si="8"/>
        <v>111</v>
      </c>
      <c r="R31" s="704" t="s">
        <v>14</v>
      </c>
      <c r="S31" s="705">
        <f t="shared" si="10"/>
        <v>100</v>
      </c>
      <c r="T31" s="704" t="s">
        <v>14</v>
      </c>
      <c r="U31" s="705">
        <f t="shared" si="11"/>
        <v>100</v>
      </c>
      <c r="V31" s="704" t="s">
        <v>14</v>
      </c>
      <c r="W31" s="705">
        <f t="shared" si="12"/>
        <v>100</v>
      </c>
      <c r="X31" s="1353"/>
      <c r="Y31" s="3749"/>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804" t="s">
        <v>1696</v>
      </c>
      <c r="Q32" s="1350">
        <f t="shared" si="8"/>
        <v>111</v>
      </c>
      <c r="R32" s="704" t="s">
        <v>14</v>
      </c>
      <c r="S32" s="705">
        <f t="shared" si="10"/>
        <v>100</v>
      </c>
      <c r="T32" s="704" t="s">
        <v>14</v>
      </c>
      <c r="U32" s="705">
        <f t="shared" si="11"/>
        <v>100</v>
      </c>
      <c r="V32" s="704" t="s">
        <v>14</v>
      </c>
      <c r="W32" s="705">
        <f t="shared" si="12"/>
        <v>100</v>
      </c>
      <c r="X32" s="1353"/>
      <c r="Y32" s="3753" t="s">
        <v>1696</v>
      </c>
      <c r="Z32" s="1354">
        <f t="shared" si="13"/>
        <v>111</v>
      </c>
      <c r="AA32" s="1351">
        <f t="shared" si="3"/>
        <v>1</v>
      </c>
      <c r="AB32" s="1351">
        <f t="shared" si="4"/>
        <v>1</v>
      </c>
      <c r="AC32" s="1351">
        <f t="shared" si="5"/>
        <v>1</v>
      </c>
    </row>
    <row r="33" spans="1:31" s="421" customFormat="1" ht="15.6" thickBot="1">
      <c r="A33" s="623"/>
      <c r="B33" s="1991">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53"/>
      <c r="Q33" s="1350">
        <f t="shared" si="8"/>
        <v>111</v>
      </c>
      <c r="R33" s="707" t="s">
        <v>14</v>
      </c>
      <c r="S33" s="708">
        <f t="shared" si="10"/>
        <v>100</v>
      </c>
      <c r="T33" s="707" t="s">
        <v>14</v>
      </c>
      <c r="U33" s="708">
        <f t="shared" si="11"/>
        <v>100</v>
      </c>
      <c r="V33" s="707" t="s">
        <v>14</v>
      </c>
      <c r="W33" s="708">
        <f t="shared" si="12"/>
        <v>100</v>
      </c>
      <c r="X33" s="709"/>
      <c r="Y33" s="3753"/>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53"/>
      <c r="Q34" s="1350" t="str">
        <f>B34</f>
        <v>宗地面积</v>
      </c>
      <c r="R34" s="704" t="s">
        <v>14</v>
      </c>
      <c r="S34" s="705" t="e">
        <f t="shared" si="10"/>
        <v>#N/A</v>
      </c>
      <c r="T34" s="704" t="s">
        <v>14</v>
      </c>
      <c r="U34" s="705" t="e">
        <f t="shared" si="11"/>
        <v>#N/A</v>
      </c>
      <c r="V34" s="704" t="s">
        <v>14</v>
      </c>
      <c r="W34" s="705" t="e">
        <f t="shared" si="12"/>
        <v>#N/A</v>
      </c>
      <c r="X34" s="1353"/>
      <c r="Y34" s="3753"/>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1"/>
      <c r="P35" s="3753"/>
      <c r="Q35" s="1350" t="str">
        <f t="shared" ref="Q35:Q40" si="14">B35</f>
        <v>宗地形状</v>
      </c>
      <c r="R35" s="704" t="s">
        <v>14</v>
      </c>
      <c r="S35" s="705">
        <f t="shared" si="10"/>
        <v>100</v>
      </c>
      <c r="T35" s="704" t="s">
        <v>14</v>
      </c>
      <c r="U35" s="705">
        <f t="shared" si="11"/>
        <v>100</v>
      </c>
      <c r="V35" s="704" t="s">
        <v>14</v>
      </c>
      <c r="W35" s="705">
        <f t="shared" si="12"/>
        <v>100</v>
      </c>
      <c r="X35" s="1353"/>
      <c r="Y35" s="3753"/>
      <c r="Z35" s="1354" t="str">
        <f t="shared" si="13"/>
        <v>宗地形状</v>
      </c>
      <c r="AA35" s="1351">
        <f t="shared" si="3"/>
        <v>1</v>
      </c>
      <c r="AB35" s="1351">
        <f t="shared" si="4"/>
        <v>1</v>
      </c>
      <c r="AC35" s="1351">
        <f t="shared" si="5"/>
        <v>1</v>
      </c>
    </row>
    <row r="36" spans="1:31" s="108" customFormat="1" ht="15">
      <c r="A36" s="423"/>
      <c r="B36" s="374" t="s">
        <v>1877</v>
      </c>
      <c r="C36" s="1978"/>
      <c r="D36" s="127">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9"/>
      <c r="P36" s="3753"/>
      <c r="Q36" s="1350" t="str">
        <f t="shared" si="14"/>
        <v>宗地开发程度</v>
      </c>
      <c r="R36" s="700" t="s">
        <v>14</v>
      </c>
      <c r="S36" s="701">
        <f t="shared" si="10"/>
        <v>100</v>
      </c>
      <c r="T36" s="700" t="s">
        <v>14</v>
      </c>
      <c r="U36" s="701">
        <f t="shared" si="11"/>
        <v>100</v>
      </c>
      <c r="V36" s="700" t="s">
        <v>14</v>
      </c>
      <c r="W36" s="701">
        <f t="shared" si="12"/>
        <v>100</v>
      </c>
      <c r="X36" s="702"/>
      <c r="Y36" s="3753"/>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1"/>
      <c r="P37" s="3753" t="s">
        <v>1696</v>
      </c>
      <c r="Q37" s="1350" t="str">
        <f t="shared" si="14"/>
        <v>工程地质条件</v>
      </c>
      <c r="R37" s="704" t="s">
        <v>14</v>
      </c>
      <c r="S37" s="705">
        <f t="shared" si="10"/>
        <v>100</v>
      </c>
      <c r="T37" s="704" t="s">
        <v>14</v>
      </c>
      <c r="U37" s="705">
        <f t="shared" si="11"/>
        <v>100</v>
      </c>
      <c r="V37" s="704" t="s">
        <v>14</v>
      </c>
      <c r="W37" s="705">
        <f t="shared" si="12"/>
        <v>100</v>
      </c>
      <c r="X37" s="1353"/>
      <c r="Y37" s="3753"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53"/>
      <c r="Q38" s="1350">
        <f t="shared" si="14"/>
        <v>111</v>
      </c>
      <c r="R38" s="704" t="s">
        <v>14</v>
      </c>
      <c r="S38" s="705">
        <f t="shared" si="10"/>
        <v>100</v>
      </c>
      <c r="T38" s="704" t="s">
        <v>14</v>
      </c>
      <c r="U38" s="705">
        <f t="shared" si="11"/>
        <v>100</v>
      </c>
      <c r="V38" s="704" t="s">
        <v>14</v>
      </c>
      <c r="W38" s="705">
        <f t="shared" si="12"/>
        <v>100</v>
      </c>
      <c r="X38" s="1353"/>
      <c r="Y38" s="3753"/>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53"/>
      <c r="Q39" s="1350">
        <f t="shared" si="14"/>
        <v>111</v>
      </c>
      <c r="R39" s="704" t="s">
        <v>14</v>
      </c>
      <c r="S39" s="705">
        <f t="shared" si="10"/>
        <v>100</v>
      </c>
      <c r="T39" s="704" t="s">
        <v>14</v>
      </c>
      <c r="U39" s="705">
        <f t="shared" si="11"/>
        <v>100</v>
      </c>
      <c r="V39" s="704" t="s">
        <v>14</v>
      </c>
      <c r="W39" s="705">
        <f t="shared" si="12"/>
        <v>100</v>
      </c>
      <c r="X39" s="1353"/>
      <c r="Y39" s="3753"/>
      <c r="Z39" s="1354">
        <f t="shared" si="13"/>
        <v>111</v>
      </c>
      <c r="AA39" s="1351">
        <f t="shared" si="3"/>
        <v>1</v>
      </c>
      <c r="AB39" s="1351">
        <f t="shared" si="4"/>
        <v>1</v>
      </c>
      <c r="AC39" s="1351">
        <f t="shared" si="5"/>
        <v>1</v>
      </c>
    </row>
    <row r="40" spans="1:31" s="421" customFormat="1" ht="15.6" thickBot="1">
      <c r="A40" s="418"/>
      <c r="B40" s="1132">
        <v>111</v>
      </c>
      <c r="C40" s="1979"/>
      <c r="D40" s="128">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53"/>
      <c r="Q40" s="1350">
        <f t="shared" si="14"/>
        <v>111</v>
      </c>
      <c r="R40" s="707" t="s">
        <v>14</v>
      </c>
      <c r="S40" s="708">
        <f t="shared" si="10"/>
        <v>100</v>
      </c>
      <c r="T40" s="707" t="s">
        <v>14</v>
      </c>
      <c r="U40" s="708">
        <f t="shared" si="11"/>
        <v>100</v>
      </c>
      <c r="V40" s="707" t="s">
        <v>14</v>
      </c>
      <c r="W40" s="708">
        <f t="shared" si="12"/>
        <v>100</v>
      </c>
      <c r="X40" s="709"/>
      <c r="Y40" s="3753"/>
      <c r="Z40" s="710">
        <f t="shared" si="13"/>
        <v>111</v>
      </c>
      <c r="AA40" s="1351">
        <f t="shared" si="3"/>
        <v>1</v>
      </c>
      <c r="AB40" s="1351">
        <f t="shared" si="4"/>
        <v>1</v>
      </c>
      <c r="AC40" s="1351">
        <f t="shared" si="5"/>
        <v>1</v>
      </c>
    </row>
    <row r="41" spans="1:31" ht="14.4">
      <c r="A41" s="429" t="s">
        <v>1844</v>
      </c>
      <c r="B41" s="1980" t="s">
        <v>1922</v>
      </c>
      <c r="C41" s="629" t="s">
        <v>0</v>
      </c>
      <c r="D41" s="431"/>
      <c r="E41" s="432"/>
      <c r="F41" s="433"/>
      <c r="G41" s="434"/>
      <c r="H41" s="435"/>
      <c r="I41" s="432"/>
      <c r="J41" s="435"/>
      <c r="K41" s="713"/>
      <c r="L41" s="2721"/>
      <c r="M41" s="2713"/>
      <c r="N41" s="2713"/>
      <c r="O41" s="2722"/>
      <c r="P41" s="3746" t="str">
        <f>A41</f>
        <v>成交单价</v>
      </c>
      <c r="Q41" s="3746"/>
      <c r="R41" s="3777">
        <f>E41</f>
        <v>0</v>
      </c>
      <c r="S41" s="3777"/>
      <c r="T41" s="3777">
        <f>G41</f>
        <v>0</v>
      </c>
      <c r="U41" s="3777"/>
      <c r="V41" s="3777">
        <f>I41</f>
        <v>0</v>
      </c>
      <c r="W41" s="3777"/>
      <c r="X41" s="689"/>
      <c r="Y41" s="711"/>
      <c r="Z41" s="689"/>
      <c r="AA41" s="689"/>
      <c r="AB41" s="689"/>
      <c r="AC41" s="689"/>
    </row>
    <row r="42" spans="1:31" ht="15" thickBot="1">
      <c r="A42" s="436" t="s">
        <v>1793</v>
      </c>
      <c r="B42" s="630"/>
      <c r="C42" s="439" t="e">
        <f>R43</f>
        <v>#DIV/0!</v>
      </c>
      <c r="D42" s="2314" t="s">
        <v>2135</v>
      </c>
      <c r="E42" s="439" t="e">
        <f>R42</f>
        <v>#DIV/0!</v>
      </c>
      <c r="F42" s="2315"/>
      <c r="G42" s="438" t="e">
        <f>T42</f>
        <v>#DIV/0!</v>
      </c>
      <c r="H42" s="2315"/>
      <c r="I42" s="439" t="e">
        <f>V42</f>
        <v>#DIV/0!</v>
      </c>
      <c r="J42" s="2315"/>
      <c r="K42" s="2317">
        <f>F42+H42+J42</f>
        <v>0</v>
      </c>
      <c r="L42" s="2721"/>
      <c r="M42" s="2713"/>
      <c r="N42" s="2713"/>
      <c r="O42" s="2722"/>
      <c r="P42" s="3746" t="str">
        <f>A42</f>
        <v>比较价值（元/平方米）</v>
      </c>
      <c r="Q42" s="3746"/>
      <c r="R42" s="3808" t="e">
        <f>ROUND(PRODUCT(R41,AA7:AA40),0)</f>
        <v>#DIV/0!</v>
      </c>
      <c r="S42" s="3808"/>
      <c r="T42" s="3808" t="e">
        <f>ROUND(PRODUCT(T41,AB7:AB40),0)</f>
        <v>#DIV/0!</v>
      </c>
      <c r="U42" s="3808"/>
      <c r="V42" s="3808" t="e">
        <f>ROUND(PRODUCT(V41,AC7:AC40),0)</f>
        <v>#DIV/0!</v>
      </c>
      <c r="W42" s="3808"/>
      <c r="X42" s="689"/>
      <c r="Y42" s="689"/>
      <c r="Z42" s="689"/>
      <c r="AA42" s="689"/>
      <c r="AB42" s="689"/>
      <c r="AC42" s="689"/>
    </row>
    <row r="43" spans="1:31" ht="15" thickBot="1">
      <c r="A43" s="440" t="s">
        <v>1794</v>
      </c>
      <c r="B43" s="441"/>
      <c r="C43" s="442" t="e">
        <f>R43</f>
        <v>#DIV/0!</v>
      </c>
      <c r="D43" s="442"/>
      <c r="E43" s="442"/>
      <c r="F43" s="442"/>
      <c r="G43" s="442"/>
      <c r="H43" s="442"/>
      <c r="I43" s="442"/>
      <c r="J43" s="442"/>
      <c r="K43" s="714"/>
      <c r="L43" s="2721"/>
      <c r="M43" s="2713"/>
      <c r="N43" s="2713"/>
      <c r="O43" s="2722"/>
      <c r="P43" s="3743" t="str">
        <f>A43</f>
        <v>估价对象XX用房的比较价值（楼面单价，元/平方米）</v>
      </c>
      <c r="Q43" s="3744"/>
      <c r="R43" s="3809" t="e">
        <f>ROUND(IF(D42="简单平均",AVERAGE(R42:W42),R42*F42+T42*H42+V42*J42),0)</f>
        <v>#DIV/0!</v>
      </c>
      <c r="S43" s="3809"/>
      <c r="T43" s="3809"/>
      <c r="U43" s="3809"/>
      <c r="V43" s="3809"/>
      <c r="W43" s="3809"/>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4.4"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1" t="s">
        <v>1881</v>
      </c>
      <c r="B50" s="632" t="s">
        <v>1882</v>
      </c>
      <c r="C50" s="1981" t="s">
        <v>1883</v>
      </c>
      <c r="D50" s="1982" t="s">
        <v>1884</v>
      </c>
      <c r="E50" s="633" t="s">
        <v>1885</v>
      </c>
      <c r="F50" s="634" t="s">
        <v>1886</v>
      </c>
      <c r="G50" s="3761" t="s">
        <v>1887</v>
      </c>
      <c r="H50" s="3810"/>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2">
        <v>1</v>
      </c>
      <c r="E51" s="637">
        <f>'数据-汇总表'!E8+'数据-汇总表'!E9</f>
        <v>0</v>
      </c>
      <c r="F51" s="638" t="e">
        <f t="shared" ref="F51:F60" si="15">ROUND(B51*E51/10000,0)</f>
        <v>#DIV/0!</v>
      </c>
      <c r="G51" s="3757"/>
      <c r="H51" s="3746"/>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1">
        <f t="shared" ref="C52:C60" si="16">IF($C$50="北京市系数",I52,J52)</f>
        <v>0</v>
      </c>
      <c r="D52" s="943">
        <v>0.25</v>
      </c>
      <c r="E52" s="641"/>
      <c r="F52" s="638"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1">
        <f t="shared" si="16"/>
        <v>0</v>
      </c>
      <c r="D53" s="943">
        <v>0.25</v>
      </c>
      <c r="E53" s="641"/>
      <c r="F53" s="638"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1">
        <f t="shared" si="16"/>
        <v>0</v>
      </c>
      <c r="D54" s="943">
        <v>0.25</v>
      </c>
      <c r="E54" s="641"/>
      <c r="F54" s="638"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1">
        <f t="shared" si="16"/>
        <v>0</v>
      </c>
      <c r="D56" s="943">
        <v>0.25</v>
      </c>
      <c r="E56" s="216">
        <f>'数据-汇总表'!E11</f>
        <v>0</v>
      </c>
      <c r="F56" s="638"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1">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1">
        <f t="shared" si="16"/>
        <v>0.1</v>
      </c>
      <c r="D58" s="943">
        <v>0.25</v>
      </c>
      <c r="E58" s="216">
        <f>'数据-汇总表'!E13</f>
        <v>0</v>
      </c>
      <c r="F58" s="638" t="e">
        <f t="shared" si="15"/>
        <v>#DIV/0!</v>
      </c>
      <c r="G58" s="890" t="s">
        <v>1900</v>
      </c>
      <c r="H58" s="885" t="str">
        <f>IF(G58="商业",项目基本情况!B37,IF(G58="办公",项目基本情况!C37,IF(G58="住宅",项目基本情况!D37,项目基本情况!E37)))</f>
        <v>十级</v>
      </c>
      <c r="I58" s="771">
        <f>SUMIF(修正!A57:A68,H58,修正!G57:G68)</f>
        <v>0.1</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1">
        <f t="shared" si="16"/>
        <v>0</v>
      </c>
      <c r="D59" s="943">
        <v>0.25</v>
      </c>
      <c r="E59" s="216">
        <f>'数据-汇总表'!E14</f>
        <v>0</v>
      </c>
      <c r="F59" s="638"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4.4" thickBot="1">
      <c r="A60" s="640" t="s">
        <v>1902</v>
      </c>
      <c r="B60" s="217" t="e">
        <f t="shared" si="17"/>
        <v>#DIV/0!</v>
      </c>
      <c r="C60" s="171">
        <f t="shared" si="16"/>
        <v>0</v>
      </c>
      <c r="D60" s="943">
        <v>0.25</v>
      </c>
      <c r="E60" s="216">
        <f>'数据-汇总表'!E15</f>
        <v>0</v>
      </c>
      <c r="F60" s="638"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4.4" thickBot="1">
      <c r="A61" s="642" t="s">
        <v>1903</v>
      </c>
      <c r="B61" s="643" t="s">
        <v>22</v>
      </c>
      <c r="C61" s="643" t="s">
        <v>23</v>
      </c>
      <c r="D61" s="643" t="s">
        <v>392</v>
      </c>
      <c r="E61" s="643" t="e">
        <f>IF(B41="楼面地价",SUM(E51:E60),'数据-汇总表'!D3)</f>
        <v>#DIV/0!</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1" t="str">
        <f>YEAR(C7)&amp;"-"&amp;MONTH(C7)&amp;"-1"</f>
        <v>2025-8-1</v>
      </c>
      <c r="D63" s="691">
        <f>EDATE(C63,-3)</f>
        <v>45778</v>
      </c>
      <c r="E63" s="691">
        <f>EDATE(D63,-3)</f>
        <v>45689</v>
      </c>
      <c r="F63" s="691">
        <f t="shared" ref="F63:O63" si="18">EDATE(E63,-3)</f>
        <v>45597</v>
      </c>
      <c r="G63" s="691">
        <f t="shared" si="18"/>
        <v>45505</v>
      </c>
      <c r="H63" s="691">
        <f t="shared" si="18"/>
        <v>45413</v>
      </c>
      <c r="I63" s="691">
        <f t="shared" si="18"/>
        <v>45323</v>
      </c>
      <c r="J63" s="691">
        <f t="shared" si="18"/>
        <v>45231</v>
      </c>
      <c r="K63" s="691">
        <f t="shared" si="18"/>
        <v>45139</v>
      </c>
      <c r="L63" s="691">
        <f t="shared" si="18"/>
        <v>45047</v>
      </c>
      <c r="M63" s="691">
        <f t="shared" si="18"/>
        <v>44958</v>
      </c>
      <c r="N63" s="691">
        <f t="shared" si="18"/>
        <v>44866</v>
      </c>
      <c r="O63" s="691">
        <f t="shared" si="18"/>
        <v>44774</v>
      </c>
      <c r="P63" s="2722"/>
      <c r="Q63" s="2722"/>
      <c r="R63" s="2722"/>
      <c r="S63" s="2722"/>
      <c r="T63" s="2722"/>
      <c r="U63" s="2722"/>
      <c r="V63" s="2722"/>
      <c r="W63" s="2722"/>
      <c r="X63" s="2722"/>
      <c r="Y63" s="2722"/>
      <c r="Z63" s="2722"/>
      <c r="AA63" s="2722"/>
      <c r="AB63" s="2722"/>
      <c r="AC63" s="2722"/>
      <c r="AD63" s="2722"/>
      <c r="AE63" s="2722"/>
    </row>
    <row r="64" spans="1:31" ht="22.2" thickBot="1">
      <c r="A64" s="693" t="s">
        <v>1798</v>
      </c>
      <c r="B64" s="689"/>
      <c r="C64" s="694"/>
      <c r="D64" s="694"/>
      <c r="E64" s="694"/>
      <c r="F64" s="695"/>
      <c r="G64" s="695"/>
      <c r="H64" s="694"/>
      <c r="I64" s="694"/>
      <c r="J64" s="694"/>
      <c r="K64" s="696"/>
      <c r="L64" s="697"/>
      <c r="M64" s="694"/>
      <c r="N64" s="694"/>
      <c r="O64" s="938"/>
      <c r="P64" s="2766"/>
      <c r="Q64" s="2736"/>
      <c r="R64" s="2722"/>
      <c r="S64" s="2722"/>
      <c r="T64" s="2722"/>
      <c r="U64" s="2722"/>
      <c r="V64" s="2722"/>
      <c r="W64" s="2722"/>
      <c r="X64" s="2722"/>
      <c r="Y64" s="2722"/>
      <c r="Z64" s="2722"/>
      <c r="AA64" s="2722"/>
      <c r="AB64" s="2722"/>
      <c r="AC64" s="2722"/>
      <c r="AD64" s="2722"/>
      <c r="AE64" s="2722"/>
    </row>
    <row r="65" spans="1:31" s="456" customFormat="1" ht="14.4">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4.4">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ht="14.4">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4.4"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4.4"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4.4"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4.4"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4.4"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4.4"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ht="14.4">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0"/>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4.4"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4.4"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4.4"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4.4"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183" sqref="J183"/>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topLeftCell="A4" zoomScale="85" zoomScaleNormal="70" zoomScaleSheetLayoutView="85" workbookViewId="0">
      <selection activeCell="H35" sqref="H35"/>
    </sheetView>
  </sheetViews>
  <sheetFormatPr defaultColWidth="9" defaultRowHeight="13.8"/>
  <cols>
    <col min="1" max="1" width="10.44140625" style="356" customWidth="1"/>
    <col min="2" max="2" width="15.77734375" style="356" customWidth="1"/>
    <col min="3" max="3" width="16.44140625" style="356" customWidth="1"/>
    <col min="4" max="4" width="12.21875" style="356" customWidth="1"/>
    <col min="5" max="5" width="14.33203125" style="356" customWidth="1"/>
    <col min="6" max="6" width="12.21875" style="356" customWidth="1"/>
    <col min="7" max="7" width="16.77734375" style="356" customWidth="1"/>
    <col min="8" max="8" width="12.21875" style="356" customWidth="1"/>
    <col min="9" max="9" width="17.332031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3330</v>
      </c>
      <c r="C1" s="1222" t="s">
        <v>1662</v>
      </c>
      <c r="D1" s="1223" t="s">
        <v>3330</v>
      </c>
      <c r="E1" s="3424" t="s">
        <v>4381</v>
      </c>
      <c r="F1" s="1877" t="s">
        <v>4382</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685</v>
      </c>
      <c r="B2" s="1162">
        <f>IF(E1="项目模式",IF(C2="——",ROUND(C37*D3/10000,0),ROUND(C37*D3/10000,0)-D2),IF(E1="单套模式",IF(C2="——",ROUND(C37*D3/10000,4),ROUND(C37*D3/10000,4)-D2)))</f>
        <v>1.0599000000000001</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686</v>
      </c>
      <c r="B3" s="557">
        <f>IF(C2="——",C37,ROUND(B2*10000/D3,0))</f>
        <v>1027</v>
      </c>
      <c r="C3" s="353" t="s">
        <v>1665</v>
      </c>
      <c r="D3" s="352">
        <f>SUMIF('数据-汇总表'!$C19:$C33,D1,'数据-汇总表'!$E19:$E33)</f>
        <v>10.32</v>
      </c>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1666</v>
      </c>
      <c r="B4" s="355"/>
      <c r="C4" s="3761" t="s">
        <v>1667</v>
      </c>
      <c r="D4" s="3762"/>
      <c r="E4" s="3763" t="s">
        <v>1668</v>
      </c>
      <c r="F4" s="3764"/>
      <c r="G4" s="3761" t="s">
        <v>1669</v>
      </c>
      <c r="H4" s="3762"/>
      <c r="I4" s="3761" t="s">
        <v>1670</v>
      </c>
      <c r="J4" s="3762"/>
      <c r="K4" s="558" t="s">
        <v>1671</v>
      </c>
      <c r="L4" s="2712"/>
      <c r="M4" s="2713"/>
      <c r="N4" s="2713"/>
      <c r="O4" s="2713"/>
      <c r="P4" s="3765" t="s">
        <v>1672</v>
      </c>
      <c r="Q4" s="3766"/>
      <c r="R4" s="3771" t="s">
        <v>1668</v>
      </c>
      <c r="S4" s="3772"/>
      <c r="T4" s="3771" t="s">
        <v>1669</v>
      </c>
      <c r="U4" s="3772"/>
      <c r="V4" s="3777" t="s">
        <v>1670</v>
      </c>
      <c r="W4" s="3777"/>
      <c r="X4" s="3483"/>
      <c r="Y4" s="3771" t="s">
        <v>1672</v>
      </c>
      <c r="Z4" s="3772"/>
      <c r="AA4" s="3758" t="s">
        <v>1668</v>
      </c>
      <c r="AB4" s="3759" t="s">
        <v>1669</v>
      </c>
      <c r="AC4" s="3758" t="s">
        <v>1670</v>
      </c>
    </row>
    <row r="5" spans="1:29">
      <c r="A5" s="357"/>
      <c r="B5" s="358"/>
      <c r="C5" s="3806" t="s">
        <v>4383</v>
      </c>
      <c r="D5" s="3781"/>
      <c r="E5" s="3807" t="str">
        <f>案例0.15!A1</f>
        <v>北京城建·樾府</v>
      </c>
      <c r="F5" s="3788"/>
      <c r="G5" s="3806" t="str">
        <f>案例0.15!A22</f>
        <v>首创悦洳汇</v>
      </c>
      <c r="H5" s="3781"/>
      <c r="I5" s="3806" t="str">
        <f>案例0.15!A22</f>
        <v>首创悦洳汇</v>
      </c>
      <c r="J5" s="3781"/>
      <c r="K5" s="558"/>
      <c r="L5" s="2712"/>
      <c r="M5" s="2713"/>
      <c r="N5" s="2713"/>
      <c r="O5" s="2713"/>
      <c r="P5" s="3767"/>
      <c r="Q5" s="3768"/>
      <c r="R5" s="3773"/>
      <c r="S5" s="3774"/>
      <c r="T5" s="3773"/>
      <c r="U5" s="3774"/>
      <c r="V5" s="3777"/>
      <c r="W5" s="3777"/>
      <c r="X5" s="3483"/>
      <c r="Y5" s="3773"/>
      <c r="Z5" s="3774"/>
      <c r="AA5" s="3759"/>
      <c r="AB5" s="3759"/>
      <c r="AC5" s="3759"/>
    </row>
    <row r="6" spans="1:29" ht="15" thickBot="1">
      <c r="A6" s="359"/>
      <c r="B6" s="360"/>
      <c r="C6" s="3778" t="s">
        <v>1677</v>
      </c>
      <c r="D6" s="3779"/>
      <c r="E6" s="3785" t="s">
        <v>1677</v>
      </c>
      <c r="F6" s="3786"/>
      <c r="G6" s="3778" t="s">
        <v>1677</v>
      </c>
      <c r="H6" s="3779"/>
      <c r="I6" s="3778" t="s">
        <v>1677</v>
      </c>
      <c r="J6" s="3779"/>
      <c r="K6" s="558" t="s">
        <v>1678</v>
      </c>
      <c r="L6" s="2712"/>
      <c r="M6" s="2713"/>
      <c r="N6" s="2713"/>
      <c r="O6" s="2713"/>
      <c r="P6" s="3769"/>
      <c r="Q6" s="3770"/>
      <c r="R6" s="3773"/>
      <c r="S6" s="3774"/>
      <c r="T6" s="3775"/>
      <c r="U6" s="3776"/>
      <c r="V6" s="3777"/>
      <c r="W6" s="3777"/>
      <c r="X6" s="3483"/>
      <c r="Y6" s="3775"/>
      <c r="Z6" s="3776"/>
      <c r="AA6" s="3760"/>
      <c r="AB6" s="3760"/>
      <c r="AC6" s="3760"/>
    </row>
    <row r="7" spans="1:29" s="108" customFormat="1" ht="15" thickBot="1">
      <c r="A7" s="361" t="s">
        <v>1679</v>
      </c>
      <c r="B7" s="362"/>
      <c r="C7" s="363">
        <f>'数据-取费表'!B2</f>
        <v>45882</v>
      </c>
      <c r="D7" s="364">
        <v>100</v>
      </c>
      <c r="E7" s="365">
        <f>案例0.15!A5</f>
        <v>45877.333831018521</v>
      </c>
      <c r="F7" s="366">
        <f>SUMIF(46:46,YEAR(E7)&amp;"-"&amp;MONTH(E7),47:47)</f>
        <v>100</v>
      </c>
      <c r="G7" s="1972">
        <f>案例0.15!A29</f>
        <v>45656.333831018521</v>
      </c>
      <c r="H7" s="364">
        <f>SUMIF(46:46,YEAR(G7)&amp;"-"&amp;MONTH(G7),47:47)</f>
        <v>100.3</v>
      </c>
      <c r="I7" s="365">
        <f>案例0.15!A32</f>
        <v>45650.333831018521</v>
      </c>
      <c r="J7" s="364">
        <f>SUMIF(46:46,YEAR(I7)&amp;"-"&amp;MONTH(I7),47:47)</f>
        <v>100.3</v>
      </c>
      <c r="K7" s="559"/>
      <c r="L7" s="2714"/>
      <c r="M7" s="2715"/>
      <c r="N7" s="2715"/>
      <c r="O7" s="2715"/>
      <c r="P7" s="3782" t="s">
        <v>1680</v>
      </c>
      <c r="Q7" s="3784"/>
      <c r="R7" s="700" t="s">
        <v>14</v>
      </c>
      <c r="S7" s="701">
        <f t="shared" ref="S7:S14" si="0">F7</f>
        <v>100</v>
      </c>
      <c r="T7" s="700" t="s">
        <v>14</v>
      </c>
      <c r="U7" s="701">
        <f t="shared" ref="U7:U14" si="1">H7</f>
        <v>100.3</v>
      </c>
      <c r="V7" s="700" t="s">
        <v>14</v>
      </c>
      <c r="W7" s="701">
        <f t="shared" ref="W7:W14" si="2">J7</f>
        <v>100.3</v>
      </c>
      <c r="X7" s="702"/>
      <c r="Y7" s="3782" t="s">
        <v>1680</v>
      </c>
      <c r="Z7" s="3783"/>
      <c r="AA7" s="703">
        <f>D7/F7</f>
        <v>1</v>
      </c>
      <c r="AB7" s="703">
        <f>D7/H7</f>
        <v>0.99700897308075775</v>
      </c>
      <c r="AC7" s="703">
        <f>D7/J7</f>
        <v>0.99700897308075775</v>
      </c>
    </row>
    <row r="8" spans="1:29" s="108" customFormat="1" ht="15" thickBot="1">
      <c r="A8" s="361" t="s">
        <v>1681</v>
      </c>
      <c r="B8" s="362"/>
      <c r="C8" s="367" t="s">
        <v>4386</v>
      </c>
      <c r="D8" s="364">
        <v>100</v>
      </c>
      <c r="E8" s="367" t="s">
        <v>4386</v>
      </c>
      <c r="F8" s="366">
        <f>SUMIF(49:49,E8,50:50)-SUMIF(49:49,C8,50:50)+100</f>
        <v>100</v>
      </c>
      <c r="G8" s="367" t="s">
        <v>4386</v>
      </c>
      <c r="H8" s="364">
        <f>SUMIF(49:49,G8,50:50)-SUMIF(49:49,C8,50:50)+100</f>
        <v>100</v>
      </c>
      <c r="I8" s="367" t="s">
        <v>4386</v>
      </c>
      <c r="J8" s="364">
        <f>SUMIF(49:49,I8,50:50)-SUMIF(49:49,C8,50:50)+100</f>
        <v>100</v>
      </c>
      <c r="K8" s="559"/>
      <c r="L8" s="2714"/>
      <c r="M8" s="2715"/>
      <c r="N8" s="2715"/>
      <c r="O8" s="2715"/>
      <c r="P8" s="3782" t="s">
        <v>1683</v>
      </c>
      <c r="Q8" s="3783"/>
      <c r="R8" s="700" t="s">
        <v>14</v>
      </c>
      <c r="S8" s="701">
        <f t="shared" si="0"/>
        <v>100</v>
      </c>
      <c r="T8" s="700" t="s">
        <v>14</v>
      </c>
      <c r="U8" s="701">
        <f t="shared" si="1"/>
        <v>100</v>
      </c>
      <c r="V8" s="700" t="s">
        <v>14</v>
      </c>
      <c r="W8" s="701">
        <f t="shared" si="2"/>
        <v>100</v>
      </c>
      <c r="X8" s="702"/>
      <c r="Y8" s="3782" t="s">
        <v>1683</v>
      </c>
      <c r="Z8" s="3783"/>
      <c r="AA8" s="703">
        <f t="shared" ref="AA8:AA34" si="3">D8/F8</f>
        <v>1</v>
      </c>
      <c r="AB8" s="703">
        <f t="shared" ref="AB8:AB34" si="4">D8/H8</f>
        <v>1</v>
      </c>
      <c r="AC8" s="703">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4"/>
      <c r="M9" s="2715"/>
      <c r="N9" s="2715"/>
      <c r="O9" s="2769"/>
      <c r="P9" s="3746" t="s">
        <v>1686</v>
      </c>
      <c r="Q9" s="3482" t="str">
        <f t="shared" ref="Q9:Q14" si="6">B9</f>
        <v>用途</v>
      </c>
      <c r="R9" s="700" t="s">
        <v>14</v>
      </c>
      <c r="S9" s="701">
        <f t="shared" si="0"/>
        <v>100</v>
      </c>
      <c r="T9" s="700" t="s">
        <v>14</v>
      </c>
      <c r="U9" s="701">
        <f t="shared" si="1"/>
        <v>100</v>
      </c>
      <c r="V9" s="700" t="s">
        <v>14</v>
      </c>
      <c r="W9" s="701">
        <f t="shared" si="2"/>
        <v>100</v>
      </c>
      <c r="X9" s="702"/>
      <c r="Y9" s="3602" t="s">
        <v>1687</v>
      </c>
      <c r="Z9" s="3481" t="str">
        <f t="shared" ref="Z9:Z14" si="7">Q9</f>
        <v>用途</v>
      </c>
      <c r="AA9" s="703">
        <f t="shared" si="3"/>
        <v>1</v>
      </c>
      <c r="AB9" s="703">
        <f t="shared" si="4"/>
        <v>1</v>
      </c>
      <c r="AC9" s="703">
        <f t="shared" si="5"/>
        <v>1</v>
      </c>
    </row>
    <row r="10" spans="1:29" s="377" customFormat="1" ht="28.8">
      <c r="A10" s="373"/>
      <c r="B10" s="374" t="s">
        <v>1688</v>
      </c>
      <c r="C10" s="3425"/>
      <c r="D10" s="127">
        <v>100</v>
      </c>
      <c r="E10" s="3425"/>
      <c r="F10" s="375">
        <f>SUMIF(53:53,E10,54:54)-SUMIF(53:53,C10,54:54)+100</f>
        <v>100</v>
      </c>
      <c r="G10" s="3425"/>
      <c r="H10" s="127">
        <f>SUMIF(53:53,G10,54:54)-SUMIF(53:53,C10,54:54)+100</f>
        <v>100</v>
      </c>
      <c r="I10" s="3425"/>
      <c r="J10" s="127">
        <f>SUMIF(53:53,I10,54:54)-SUMIF(53:53,C10,54:54)+100</f>
        <v>100</v>
      </c>
      <c r="K10" s="559"/>
      <c r="L10" s="2716"/>
      <c r="M10" s="2717"/>
      <c r="N10" s="2717"/>
      <c r="O10" s="2770"/>
      <c r="P10" s="3746"/>
      <c r="Q10" s="3482" t="str">
        <f t="shared" si="6"/>
        <v>土地使用年限（年）</v>
      </c>
      <c r="R10" s="700" t="s">
        <v>14</v>
      </c>
      <c r="S10" s="701">
        <f t="shared" si="0"/>
        <v>100</v>
      </c>
      <c r="T10" s="700" t="s">
        <v>14</v>
      </c>
      <c r="U10" s="701">
        <f t="shared" si="1"/>
        <v>100</v>
      </c>
      <c r="V10" s="700" t="s">
        <v>14</v>
      </c>
      <c r="W10" s="701">
        <f t="shared" si="2"/>
        <v>100</v>
      </c>
      <c r="X10" s="702"/>
      <c r="Y10" s="3602"/>
      <c r="Z10" s="3481"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718"/>
      <c r="M11" s="2713"/>
      <c r="N11" s="2713"/>
      <c r="O11" s="2771"/>
      <c r="P11" s="3746"/>
      <c r="Q11" s="3482">
        <f t="shared" si="6"/>
        <v>111</v>
      </c>
      <c r="R11" s="700" t="s">
        <v>14</v>
      </c>
      <c r="S11" s="701">
        <f t="shared" si="0"/>
        <v>100</v>
      </c>
      <c r="T11" s="700" t="s">
        <v>14</v>
      </c>
      <c r="U11" s="701">
        <f t="shared" si="1"/>
        <v>100</v>
      </c>
      <c r="V11" s="700" t="s">
        <v>14</v>
      </c>
      <c r="W11" s="701">
        <f t="shared" si="2"/>
        <v>100</v>
      </c>
      <c r="X11" s="702"/>
      <c r="Y11" s="3602"/>
      <c r="Z11" s="3481">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714"/>
      <c r="M12" s="2715"/>
      <c r="N12" s="2715"/>
      <c r="O12" s="2769"/>
      <c r="P12" s="3746"/>
      <c r="Q12" s="3482">
        <f t="shared" si="6"/>
        <v>111</v>
      </c>
      <c r="R12" s="700" t="s">
        <v>14</v>
      </c>
      <c r="S12" s="701">
        <f t="shared" si="0"/>
        <v>100</v>
      </c>
      <c r="T12" s="700" t="s">
        <v>14</v>
      </c>
      <c r="U12" s="701">
        <f t="shared" si="1"/>
        <v>100</v>
      </c>
      <c r="V12" s="700" t="s">
        <v>14</v>
      </c>
      <c r="W12" s="701">
        <f t="shared" si="2"/>
        <v>100</v>
      </c>
      <c r="X12" s="702"/>
      <c r="Y12" s="3602"/>
      <c r="Z12" s="3481">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746"/>
      <c r="Q13" s="3482">
        <f t="shared" si="6"/>
        <v>111</v>
      </c>
      <c r="R13" s="700" t="s">
        <v>14</v>
      </c>
      <c r="S13" s="701">
        <f t="shared" si="0"/>
        <v>100</v>
      </c>
      <c r="T13" s="700" t="s">
        <v>14</v>
      </c>
      <c r="U13" s="701">
        <f t="shared" si="1"/>
        <v>100</v>
      </c>
      <c r="V13" s="700" t="s">
        <v>14</v>
      </c>
      <c r="W13" s="701">
        <f t="shared" si="2"/>
        <v>100</v>
      </c>
      <c r="X13" s="702"/>
      <c r="Y13" s="3602"/>
      <c r="Z13" s="3481">
        <f t="shared" si="7"/>
        <v>111</v>
      </c>
      <c r="AA13" s="703">
        <f t="shared" si="3"/>
        <v>1</v>
      </c>
      <c r="AB13" s="703">
        <f t="shared" si="4"/>
        <v>1</v>
      </c>
      <c r="AC13" s="703">
        <f t="shared" si="5"/>
        <v>1</v>
      </c>
    </row>
    <row r="14" spans="1:29" ht="82.8">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110</v>
      </c>
      <c r="G14" s="394"/>
      <c r="H14" s="391">
        <f>SUMIF(61:61,G15,62:62)-SUMIF(61:61,C15,62:62)+100</f>
        <v>110</v>
      </c>
      <c r="I14" s="392"/>
      <c r="J14" s="391">
        <f>SUMIF(61:61,I15,62:62)-SUMIF(61:61,C15,62:62)+100</f>
        <v>110</v>
      </c>
      <c r="K14" s="562">
        <v>10</v>
      </c>
      <c r="L14" s="2719"/>
      <c r="M14" s="2713"/>
      <c r="N14" s="2713"/>
      <c r="O14" s="2771"/>
      <c r="P14" s="3748" t="s">
        <v>1691</v>
      </c>
      <c r="Q14" s="3485" t="str">
        <f t="shared" si="6"/>
        <v>交通便捷度</v>
      </c>
      <c r="R14" s="704" t="s">
        <v>14</v>
      </c>
      <c r="S14" s="705">
        <f t="shared" si="0"/>
        <v>110</v>
      </c>
      <c r="T14" s="704" t="s">
        <v>14</v>
      </c>
      <c r="U14" s="705">
        <f t="shared" si="1"/>
        <v>110</v>
      </c>
      <c r="V14" s="704" t="s">
        <v>14</v>
      </c>
      <c r="W14" s="705">
        <f t="shared" si="2"/>
        <v>110</v>
      </c>
      <c r="X14" s="3483"/>
      <c r="Y14" s="3748" t="s">
        <v>1691</v>
      </c>
      <c r="Z14" s="3484" t="str">
        <f t="shared" si="7"/>
        <v>交通便捷度</v>
      </c>
      <c r="AA14" s="3486">
        <f t="shared" si="3"/>
        <v>0.90909090909090906</v>
      </c>
      <c r="AB14" s="3486">
        <f t="shared" si="4"/>
        <v>0.90909090909090906</v>
      </c>
      <c r="AC14" s="3486">
        <f t="shared" si="5"/>
        <v>0.90909090909090906</v>
      </c>
    </row>
    <row r="15" spans="1:29" ht="15">
      <c r="A15" s="378"/>
      <c r="B15" s="396"/>
      <c r="C15" s="397" t="s">
        <v>4389</v>
      </c>
      <c r="D15" s="398"/>
      <c r="E15" s="397" t="s">
        <v>4387</v>
      </c>
      <c r="F15" s="399"/>
      <c r="G15" s="397" t="s">
        <v>4387</v>
      </c>
      <c r="H15" s="400"/>
      <c r="I15" s="397" t="s">
        <v>4387</v>
      </c>
      <c r="J15" s="398"/>
      <c r="K15" s="563"/>
      <c r="L15" s="2719"/>
      <c r="M15" s="2713"/>
      <c r="N15" s="2713"/>
      <c r="O15" s="2771"/>
      <c r="P15" s="3749"/>
      <c r="Q15" s="3485"/>
      <c r="R15" s="704"/>
      <c r="S15" s="705"/>
      <c r="T15" s="704"/>
      <c r="U15" s="705"/>
      <c r="V15" s="704"/>
      <c r="W15" s="705"/>
      <c r="X15" s="3483"/>
      <c r="Y15" s="3749"/>
      <c r="Z15" s="3484"/>
      <c r="AA15" s="3486">
        <v>1</v>
      </c>
      <c r="AB15" s="3486">
        <v>1</v>
      </c>
      <c r="AC15" s="3486">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v>3</v>
      </c>
      <c r="L16" s="2719"/>
      <c r="M16" s="2713"/>
      <c r="N16" s="2713"/>
      <c r="O16" s="2771"/>
      <c r="P16" s="3749"/>
      <c r="Q16" s="3485" t="str">
        <f>B16</f>
        <v>公共配套设施</v>
      </c>
      <c r="R16" s="704" t="s">
        <v>14</v>
      </c>
      <c r="S16" s="705">
        <f>F16</f>
        <v>100</v>
      </c>
      <c r="T16" s="704" t="s">
        <v>14</v>
      </c>
      <c r="U16" s="705">
        <f>H16</f>
        <v>100</v>
      </c>
      <c r="V16" s="704" t="s">
        <v>14</v>
      </c>
      <c r="W16" s="705">
        <f>J16</f>
        <v>100</v>
      </c>
      <c r="X16" s="3483"/>
      <c r="Y16" s="3749"/>
      <c r="Z16" s="3484" t="str">
        <f>Q16</f>
        <v>公共配套设施</v>
      </c>
      <c r="AA16" s="3486">
        <f t="shared" si="3"/>
        <v>1</v>
      </c>
      <c r="AB16" s="3486">
        <f t="shared" si="4"/>
        <v>1</v>
      </c>
      <c r="AC16" s="3486">
        <f t="shared" si="5"/>
        <v>1</v>
      </c>
    </row>
    <row r="17" spans="1:29" ht="15">
      <c r="A17" s="378"/>
      <c r="B17" s="406"/>
      <c r="C17" s="1899" t="s">
        <v>4387</v>
      </c>
      <c r="D17" s="398"/>
      <c r="E17" s="397" t="s">
        <v>4387</v>
      </c>
      <c r="F17" s="399"/>
      <c r="G17" s="397" t="s">
        <v>4387</v>
      </c>
      <c r="H17" s="398"/>
      <c r="I17" s="397" t="s">
        <v>4387</v>
      </c>
      <c r="J17" s="398"/>
      <c r="K17" s="563"/>
      <c r="L17" s="2719"/>
      <c r="M17" s="2713"/>
      <c r="N17" s="2713"/>
      <c r="O17" s="2771"/>
      <c r="P17" s="3749"/>
      <c r="Q17" s="3485"/>
      <c r="R17" s="704"/>
      <c r="S17" s="705"/>
      <c r="T17" s="704"/>
      <c r="U17" s="705"/>
      <c r="V17" s="704"/>
      <c r="W17" s="705"/>
      <c r="X17" s="3483"/>
      <c r="Y17" s="3749"/>
      <c r="Z17" s="3484"/>
      <c r="AA17" s="3486">
        <v>1</v>
      </c>
      <c r="AB17" s="3486">
        <v>1</v>
      </c>
      <c r="AC17" s="3486">
        <v>1</v>
      </c>
    </row>
    <row r="18" spans="1:29" ht="27.6">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49"/>
      <c r="Q18" s="3485" t="str">
        <f>B18</f>
        <v>基础设施水平</v>
      </c>
      <c r="R18" s="704" t="s">
        <v>14</v>
      </c>
      <c r="S18" s="705">
        <f>F18</f>
        <v>100</v>
      </c>
      <c r="T18" s="704" t="s">
        <v>14</v>
      </c>
      <c r="U18" s="705">
        <f>H18</f>
        <v>100</v>
      </c>
      <c r="V18" s="704" t="s">
        <v>14</v>
      </c>
      <c r="W18" s="705">
        <f>J18</f>
        <v>100</v>
      </c>
      <c r="X18" s="3483"/>
      <c r="Y18" s="3749"/>
      <c r="Z18" s="3484" t="str">
        <f>Q18</f>
        <v>基础设施水平</v>
      </c>
      <c r="AA18" s="3486">
        <f t="shared" ref="AA18" si="8">D18/F18</f>
        <v>1</v>
      </c>
      <c r="AB18" s="3486">
        <f t="shared" ref="AB18" si="9">D18/H18</f>
        <v>1</v>
      </c>
      <c r="AC18" s="3486">
        <f t="shared" ref="AC18" si="10">D18/J18</f>
        <v>1</v>
      </c>
    </row>
    <row r="19" spans="1:29" ht="15">
      <c r="A19" s="378"/>
      <c r="B19" s="1129"/>
      <c r="C19" s="1899"/>
      <c r="D19" s="400"/>
      <c r="E19" s="1899"/>
      <c r="F19" s="403"/>
      <c r="G19" s="1899"/>
      <c r="H19" s="398"/>
      <c r="I19" s="397"/>
      <c r="J19" s="398"/>
      <c r="K19" s="1128"/>
      <c r="L19" s="2719"/>
      <c r="M19" s="2713"/>
      <c r="N19" s="2713"/>
      <c r="O19" s="2771"/>
      <c r="P19" s="3749"/>
      <c r="Q19" s="3485"/>
      <c r="R19" s="704"/>
      <c r="S19" s="705"/>
      <c r="T19" s="704"/>
      <c r="U19" s="705"/>
      <c r="V19" s="704"/>
      <c r="W19" s="705"/>
      <c r="X19" s="3483"/>
      <c r="Y19" s="3749"/>
      <c r="Z19" s="3484"/>
      <c r="AA19" s="3486">
        <v>1</v>
      </c>
      <c r="AB19" s="3486">
        <v>1</v>
      </c>
      <c r="AC19" s="3486">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49"/>
      <c r="Q20" s="3485" t="str">
        <f>B20</f>
        <v>自然及人文环境</v>
      </c>
      <c r="R20" s="704" t="s">
        <v>14</v>
      </c>
      <c r="S20" s="705">
        <f>F20</f>
        <v>100</v>
      </c>
      <c r="T20" s="704" t="s">
        <v>14</v>
      </c>
      <c r="U20" s="705">
        <f>H20</f>
        <v>100</v>
      </c>
      <c r="V20" s="704" t="s">
        <v>14</v>
      </c>
      <c r="W20" s="705">
        <f>J20</f>
        <v>100</v>
      </c>
      <c r="X20" s="3483"/>
      <c r="Y20" s="3749"/>
      <c r="Z20" s="3484" t="str">
        <f>Q20</f>
        <v>自然及人文环境</v>
      </c>
      <c r="AA20" s="3486">
        <f t="shared" si="3"/>
        <v>1</v>
      </c>
      <c r="AB20" s="3486">
        <f t="shared" si="4"/>
        <v>1</v>
      </c>
      <c r="AC20" s="3486">
        <f t="shared" si="5"/>
        <v>1</v>
      </c>
    </row>
    <row r="21" spans="1:29" ht="15">
      <c r="A21" s="378"/>
      <c r="B21" s="406"/>
      <c r="C21" s="397"/>
      <c r="D21" s="398"/>
      <c r="E21" s="397"/>
      <c r="F21" s="399"/>
      <c r="G21" s="397"/>
      <c r="H21" s="398"/>
      <c r="I21" s="397"/>
      <c r="J21" s="398"/>
      <c r="K21" s="563"/>
      <c r="L21" s="2719"/>
      <c r="M21" s="2713"/>
      <c r="N21" s="2713"/>
      <c r="O21" s="2771"/>
      <c r="P21" s="3749"/>
      <c r="Q21" s="3485"/>
      <c r="R21" s="704"/>
      <c r="S21" s="705"/>
      <c r="T21" s="704"/>
      <c r="U21" s="705"/>
      <c r="V21" s="704"/>
      <c r="W21" s="705"/>
      <c r="X21" s="3483"/>
      <c r="Y21" s="3749"/>
      <c r="Z21" s="3484"/>
      <c r="AA21" s="3486">
        <v>1</v>
      </c>
      <c r="AB21" s="3486">
        <v>1</v>
      </c>
      <c r="AC21" s="3486">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49"/>
      <c r="Q22" s="3485" t="str">
        <f>B22</f>
        <v>楼层</v>
      </c>
      <c r="R22" s="704" t="s">
        <v>14</v>
      </c>
      <c r="S22" s="705">
        <f>F22</f>
        <v>100</v>
      </c>
      <c r="T22" s="704" t="s">
        <v>14</v>
      </c>
      <c r="U22" s="705">
        <f>H22</f>
        <v>100</v>
      </c>
      <c r="V22" s="704" t="s">
        <v>14</v>
      </c>
      <c r="W22" s="705">
        <f>J22</f>
        <v>100</v>
      </c>
      <c r="X22" s="3483"/>
      <c r="Y22" s="3749"/>
      <c r="Z22" s="3484" t="str">
        <f>Q22</f>
        <v>楼层</v>
      </c>
      <c r="AA22" s="3486">
        <f t="shared" si="3"/>
        <v>1</v>
      </c>
      <c r="AB22" s="3486">
        <f t="shared" si="4"/>
        <v>1</v>
      </c>
      <c r="AC22" s="3486">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49"/>
      <c r="Q23" s="3485">
        <f>B23</f>
        <v>111</v>
      </c>
      <c r="R23" s="704" t="s">
        <v>14</v>
      </c>
      <c r="S23" s="705">
        <f>F23</f>
        <v>100</v>
      </c>
      <c r="T23" s="704" t="s">
        <v>14</v>
      </c>
      <c r="U23" s="705">
        <f>H23</f>
        <v>100</v>
      </c>
      <c r="V23" s="704" t="s">
        <v>14</v>
      </c>
      <c r="W23" s="705">
        <f>J23</f>
        <v>100</v>
      </c>
      <c r="X23" s="3483"/>
      <c r="Y23" s="3749"/>
      <c r="Z23" s="3484">
        <f>Q23</f>
        <v>111</v>
      </c>
      <c r="AA23" s="3486">
        <f t="shared" si="3"/>
        <v>1</v>
      </c>
      <c r="AB23" s="3486">
        <f t="shared" si="4"/>
        <v>1</v>
      </c>
      <c r="AC23" s="3486">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49"/>
      <c r="Q24" s="3485">
        <f t="shared" ref="Q24:Q34" si="11">B24</f>
        <v>111</v>
      </c>
      <c r="R24" s="704" t="s">
        <v>14</v>
      </c>
      <c r="S24" s="705">
        <f>F24</f>
        <v>100</v>
      </c>
      <c r="T24" s="704" t="s">
        <v>14</v>
      </c>
      <c r="U24" s="705">
        <f>H24</f>
        <v>100</v>
      </c>
      <c r="V24" s="704" t="s">
        <v>14</v>
      </c>
      <c r="W24" s="705">
        <f>J24</f>
        <v>100</v>
      </c>
      <c r="X24" s="3483"/>
      <c r="Y24" s="3749"/>
      <c r="Z24" s="3484">
        <f>Q24</f>
        <v>111</v>
      </c>
      <c r="AA24" s="3486">
        <f t="shared" si="3"/>
        <v>1</v>
      </c>
      <c r="AB24" s="3486">
        <f t="shared" si="4"/>
        <v>1</v>
      </c>
      <c r="AC24" s="3486">
        <f t="shared" si="5"/>
        <v>1</v>
      </c>
    </row>
    <row r="25" spans="1:29" s="108"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749"/>
      <c r="Q25" s="3482">
        <f t="shared" si="11"/>
        <v>111</v>
      </c>
      <c r="R25" s="700" t="s">
        <v>14</v>
      </c>
      <c r="S25" s="701">
        <f>F25</f>
        <v>100</v>
      </c>
      <c r="T25" s="700" t="s">
        <v>14</v>
      </c>
      <c r="U25" s="701">
        <f>H25</f>
        <v>100</v>
      </c>
      <c r="V25" s="700" t="s">
        <v>14</v>
      </c>
      <c r="W25" s="701">
        <f>J25</f>
        <v>100</v>
      </c>
      <c r="X25" s="702"/>
      <c r="Y25" s="3749"/>
      <c r="Z25" s="3481">
        <f>Q25</f>
        <v>111</v>
      </c>
      <c r="AA25" s="3486">
        <f>D25/F25</f>
        <v>1</v>
      </c>
      <c r="AB25" s="3486">
        <f>D25/H25</f>
        <v>1</v>
      </c>
      <c r="AC25" s="3486">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804" t="s">
        <v>1696</v>
      </c>
      <c r="Q26" s="3485" t="str">
        <f t="shared" si="11"/>
        <v>公共部分装修</v>
      </c>
      <c r="R26" s="704" t="s">
        <v>14</v>
      </c>
      <c r="S26" s="705">
        <f t="shared" ref="S26:S34" si="12">F26</f>
        <v>100</v>
      </c>
      <c r="T26" s="704" t="s">
        <v>14</v>
      </c>
      <c r="U26" s="705">
        <f t="shared" ref="U26:U34" si="13">H26</f>
        <v>100</v>
      </c>
      <c r="V26" s="704" t="s">
        <v>14</v>
      </c>
      <c r="W26" s="705">
        <f t="shared" ref="W26:W34" si="14">J26</f>
        <v>100</v>
      </c>
      <c r="X26" s="3483"/>
      <c r="Y26" s="3753" t="s">
        <v>1696</v>
      </c>
      <c r="Z26" s="3484" t="str">
        <f t="shared" ref="Z26:Z34" si="15">Q26</f>
        <v>公共部分装修</v>
      </c>
      <c r="AA26" s="3486">
        <f t="shared" si="3"/>
        <v>1</v>
      </c>
      <c r="AB26" s="3486">
        <f t="shared" si="4"/>
        <v>1</v>
      </c>
      <c r="AC26" s="3486">
        <f t="shared" si="5"/>
        <v>1</v>
      </c>
    </row>
    <row r="27" spans="1:29" s="421" customFormat="1" ht="15">
      <c r="A27" s="418"/>
      <c r="B27" s="374" t="s">
        <v>1839</v>
      </c>
      <c r="C27" s="424">
        <v>0.9</v>
      </c>
      <c r="D27" s="127">
        <v>100</v>
      </c>
      <c r="E27" s="425">
        <f>C27</f>
        <v>0.9</v>
      </c>
      <c r="F27" s="411">
        <f>LOOKUP(E27,80:80,81:81)-LOOKUP(C27,80:80,81:81)+100</f>
        <v>100</v>
      </c>
      <c r="G27" s="426">
        <f>C27</f>
        <v>0.9</v>
      </c>
      <c r="H27" s="385">
        <f>LOOKUP(G27,80:80,81:81)-LOOKUP(C27,80:80,81:81)+100</f>
        <v>100</v>
      </c>
      <c r="I27" s="426">
        <f>C27</f>
        <v>0.9</v>
      </c>
      <c r="J27" s="385">
        <f>LOOKUP(I27,80:80,81:81)-LOOKUP(C27,80:80,81:81)+100</f>
        <v>100</v>
      </c>
      <c r="K27" s="560"/>
      <c r="L27" s="2718"/>
      <c r="M27" s="2720"/>
      <c r="N27" s="2720"/>
      <c r="O27" s="2772"/>
      <c r="P27" s="3753"/>
      <c r="Q27" s="706" t="str">
        <f t="shared" si="11"/>
        <v>成新率</v>
      </c>
      <c r="R27" s="707" t="s">
        <v>14</v>
      </c>
      <c r="S27" s="708">
        <f t="shared" si="12"/>
        <v>100</v>
      </c>
      <c r="T27" s="707" t="s">
        <v>14</v>
      </c>
      <c r="U27" s="708">
        <f t="shared" si="13"/>
        <v>100</v>
      </c>
      <c r="V27" s="707" t="s">
        <v>14</v>
      </c>
      <c r="W27" s="708">
        <f t="shared" si="14"/>
        <v>100</v>
      </c>
      <c r="X27" s="709"/>
      <c r="Y27" s="3753"/>
      <c r="Z27" s="710" t="str">
        <f t="shared" si="15"/>
        <v>成新率</v>
      </c>
      <c r="AA27" s="3486">
        <f t="shared" si="3"/>
        <v>1</v>
      </c>
      <c r="AB27" s="3486">
        <f t="shared" si="4"/>
        <v>1</v>
      </c>
      <c r="AC27" s="3486">
        <f t="shared" si="5"/>
        <v>1</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53"/>
      <c r="Q28" s="3485" t="str">
        <f t="shared" si="11"/>
        <v>物业等级</v>
      </c>
      <c r="R28" s="704" t="s">
        <v>14</v>
      </c>
      <c r="S28" s="705">
        <f t="shared" si="12"/>
        <v>100</v>
      </c>
      <c r="T28" s="704" t="s">
        <v>14</v>
      </c>
      <c r="U28" s="705">
        <f t="shared" si="13"/>
        <v>100</v>
      </c>
      <c r="V28" s="704" t="s">
        <v>14</v>
      </c>
      <c r="W28" s="705">
        <f t="shared" si="14"/>
        <v>100</v>
      </c>
      <c r="X28" s="3483"/>
      <c r="Y28" s="3753"/>
      <c r="Z28" s="3484" t="str">
        <f t="shared" si="15"/>
        <v>物业等级</v>
      </c>
      <c r="AA28" s="3486">
        <f t="shared" si="3"/>
        <v>1</v>
      </c>
      <c r="AB28" s="3486">
        <f t="shared" si="4"/>
        <v>1</v>
      </c>
      <c r="AC28" s="3486">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53"/>
      <c r="Q29" s="3485" t="str">
        <f t="shared" si="11"/>
        <v>有无电梯</v>
      </c>
      <c r="R29" s="704" t="s">
        <v>14</v>
      </c>
      <c r="S29" s="705">
        <f t="shared" si="12"/>
        <v>100</v>
      </c>
      <c r="T29" s="704" t="s">
        <v>14</v>
      </c>
      <c r="U29" s="705">
        <f t="shared" si="13"/>
        <v>100</v>
      </c>
      <c r="V29" s="704" t="s">
        <v>14</v>
      </c>
      <c r="W29" s="705">
        <f t="shared" si="14"/>
        <v>100</v>
      </c>
      <c r="X29" s="3483"/>
      <c r="Y29" s="3753"/>
      <c r="Z29" s="3484" t="str">
        <f t="shared" si="15"/>
        <v>有无电梯</v>
      </c>
      <c r="AA29" s="3486">
        <f t="shared" si="3"/>
        <v>1</v>
      </c>
      <c r="AB29" s="3486">
        <f t="shared" si="4"/>
        <v>1</v>
      </c>
      <c r="AC29" s="3486">
        <f t="shared" si="5"/>
        <v>1</v>
      </c>
    </row>
    <row r="30" spans="1:29" ht="15">
      <c r="A30" s="422"/>
      <c r="B30" s="374" t="s">
        <v>1861</v>
      </c>
      <c r="C30" s="419">
        <f>'数据-汇总表'!G19</f>
        <v>10.32</v>
      </c>
      <c r="D30" s="385">
        <v>100</v>
      </c>
      <c r="E30" s="419">
        <f>案例0.15!J5</f>
        <v>19.059999999999999</v>
      </c>
      <c r="F30" s="411">
        <f>LOOKUP(E30,87:87,88:88)-LOOKUP(C30,87:87,88:88)+100</f>
        <v>99</v>
      </c>
      <c r="G30" s="419">
        <f>案例0.15!J29</f>
        <v>27.32</v>
      </c>
      <c r="H30" s="385">
        <f>LOOKUP(G30,87:87,88:88)-LOOKUP(C30,87:87,88:88)+100</f>
        <v>97</v>
      </c>
      <c r="I30" s="419">
        <f>案例0.15!J32</f>
        <v>25.66</v>
      </c>
      <c r="J30" s="385">
        <f>LOOKUP(I30,87:87,88:88)-LOOKUP(C30,87:87,88:88)+100</f>
        <v>97</v>
      </c>
      <c r="K30" s="561"/>
      <c r="L30" s="2719"/>
      <c r="M30" s="2713"/>
      <c r="N30" s="2713"/>
      <c r="O30" s="2771"/>
      <c r="P30" s="3753"/>
      <c r="Q30" s="3485" t="str">
        <f t="shared" si="11"/>
        <v>建筑面积</v>
      </c>
      <c r="R30" s="704" t="s">
        <v>14</v>
      </c>
      <c r="S30" s="705">
        <f t="shared" si="12"/>
        <v>99</v>
      </c>
      <c r="T30" s="704" t="s">
        <v>14</v>
      </c>
      <c r="U30" s="705">
        <f t="shared" si="13"/>
        <v>97</v>
      </c>
      <c r="V30" s="704" t="s">
        <v>14</v>
      </c>
      <c r="W30" s="705">
        <f t="shared" si="14"/>
        <v>97</v>
      </c>
      <c r="X30" s="3483"/>
      <c r="Y30" s="3753"/>
      <c r="Z30" s="3484" t="str">
        <f t="shared" si="15"/>
        <v>建筑面积</v>
      </c>
      <c r="AA30" s="3486">
        <f t="shared" si="3"/>
        <v>1.0101010101010102</v>
      </c>
      <c r="AB30" s="3486">
        <f t="shared" si="4"/>
        <v>1.0309278350515463</v>
      </c>
      <c r="AC30" s="3486">
        <f t="shared" si="5"/>
        <v>1.0309278350515463</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53"/>
      <c r="Q31" s="3482" t="str">
        <f t="shared" si="11"/>
        <v>是否封闭</v>
      </c>
      <c r="R31" s="700" t="s">
        <v>14</v>
      </c>
      <c r="S31" s="701">
        <f t="shared" si="12"/>
        <v>100</v>
      </c>
      <c r="T31" s="700" t="s">
        <v>14</v>
      </c>
      <c r="U31" s="701">
        <f t="shared" si="13"/>
        <v>100</v>
      </c>
      <c r="V31" s="700" t="s">
        <v>14</v>
      </c>
      <c r="W31" s="701">
        <f t="shared" si="14"/>
        <v>100</v>
      </c>
      <c r="X31" s="702"/>
      <c r="Y31" s="3753"/>
      <c r="Z31" s="3481" t="str">
        <f t="shared" si="15"/>
        <v>是否封闭</v>
      </c>
      <c r="AA31" s="703">
        <f t="shared" si="3"/>
        <v>1</v>
      </c>
      <c r="AB31" s="703">
        <f t="shared" si="4"/>
        <v>1</v>
      </c>
      <c r="AC31" s="703">
        <f t="shared" si="5"/>
        <v>1</v>
      </c>
    </row>
    <row r="32" spans="1:29" ht="15">
      <c r="A32" s="422"/>
      <c r="B32" s="3887" t="s">
        <v>4553</v>
      </c>
      <c r="C32" s="382" t="str">
        <f>C91</f>
        <v>调高层高</v>
      </c>
      <c r="D32" s="385">
        <v>100</v>
      </c>
      <c r="E32" s="419" t="str">
        <f>D91</f>
        <v>标准层高</v>
      </c>
      <c r="F32" s="411">
        <f>SUMIF(91:91,E32,92:92)-SUMIF(91:91,C32,92:92)+100</f>
        <v>90</v>
      </c>
      <c r="G32" s="419" t="str">
        <f>D91</f>
        <v>标准层高</v>
      </c>
      <c r="H32" s="385">
        <f>SUMIF(91:91,G32,92:92)-SUMIF(91:91,C32,92:92)+100</f>
        <v>90</v>
      </c>
      <c r="I32" s="419" t="str">
        <f>D91</f>
        <v>标准层高</v>
      </c>
      <c r="J32" s="385">
        <f>SUMIF(91:91,I32,92:92)-SUMIF(91:91,C32,92:92)+100</f>
        <v>90</v>
      </c>
      <c r="K32" s="561"/>
      <c r="L32" s="2719"/>
      <c r="M32" s="2713"/>
      <c r="N32" s="2713"/>
      <c r="O32" s="2771"/>
      <c r="P32" s="3753" t="s">
        <v>1696</v>
      </c>
      <c r="Q32" s="3485" t="str">
        <f t="shared" si="11"/>
        <v>层高</v>
      </c>
      <c r="R32" s="704" t="s">
        <v>14</v>
      </c>
      <c r="S32" s="705">
        <f t="shared" si="12"/>
        <v>90</v>
      </c>
      <c r="T32" s="704" t="s">
        <v>14</v>
      </c>
      <c r="U32" s="705">
        <f t="shared" si="13"/>
        <v>90</v>
      </c>
      <c r="V32" s="704" t="s">
        <v>14</v>
      </c>
      <c r="W32" s="705">
        <f t="shared" si="14"/>
        <v>90</v>
      </c>
      <c r="X32" s="3483"/>
      <c r="Y32" s="3753" t="s">
        <v>1696</v>
      </c>
      <c r="Z32" s="3484" t="str">
        <f t="shared" si="15"/>
        <v>层高</v>
      </c>
      <c r="AA32" s="3486">
        <f t="shared" si="3"/>
        <v>1.1111111111111112</v>
      </c>
      <c r="AB32" s="3486">
        <f t="shared" si="4"/>
        <v>1.1111111111111112</v>
      </c>
      <c r="AC32" s="3486">
        <f t="shared" si="5"/>
        <v>1.1111111111111112</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53"/>
      <c r="Q33" s="3485">
        <f t="shared" si="11"/>
        <v>111</v>
      </c>
      <c r="R33" s="704" t="s">
        <v>14</v>
      </c>
      <c r="S33" s="705">
        <f t="shared" si="12"/>
        <v>100</v>
      </c>
      <c r="T33" s="704" t="s">
        <v>14</v>
      </c>
      <c r="U33" s="705">
        <f t="shared" si="13"/>
        <v>100</v>
      </c>
      <c r="V33" s="704" t="s">
        <v>14</v>
      </c>
      <c r="W33" s="705">
        <f t="shared" si="14"/>
        <v>100</v>
      </c>
      <c r="X33" s="3483"/>
      <c r="Y33" s="3753"/>
      <c r="Z33" s="3484">
        <f t="shared" si="15"/>
        <v>111</v>
      </c>
      <c r="AA33" s="3486">
        <f t="shared" si="3"/>
        <v>1</v>
      </c>
      <c r="AB33" s="3486">
        <f t="shared" si="4"/>
        <v>1</v>
      </c>
      <c r="AC33" s="3486">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753"/>
      <c r="Q34" s="3485">
        <f t="shared" si="11"/>
        <v>111</v>
      </c>
      <c r="R34" s="704" t="s">
        <v>14</v>
      </c>
      <c r="S34" s="705">
        <f t="shared" si="12"/>
        <v>100</v>
      </c>
      <c r="T34" s="704" t="s">
        <v>14</v>
      </c>
      <c r="U34" s="705">
        <f t="shared" si="13"/>
        <v>100</v>
      </c>
      <c r="V34" s="704" t="s">
        <v>14</v>
      </c>
      <c r="W34" s="705">
        <f t="shared" si="14"/>
        <v>100</v>
      </c>
      <c r="X34" s="3483"/>
      <c r="Y34" s="3753"/>
      <c r="Z34" s="3484">
        <f t="shared" si="15"/>
        <v>111</v>
      </c>
      <c r="AA34" s="3486">
        <f t="shared" si="3"/>
        <v>1</v>
      </c>
      <c r="AB34" s="3486">
        <f t="shared" si="4"/>
        <v>1</v>
      </c>
      <c r="AC34" s="3486">
        <f t="shared" si="5"/>
        <v>1</v>
      </c>
    </row>
    <row r="35" spans="1:30" ht="14.4">
      <c r="A35" s="429" t="s">
        <v>1708</v>
      </c>
      <c r="B35" s="430"/>
      <c r="C35" s="1152" t="s">
        <v>0</v>
      </c>
      <c r="D35" s="1153"/>
      <c r="E35" s="1154">
        <f>案例0.15!L5</f>
        <v>994</v>
      </c>
      <c r="F35" s="1155"/>
      <c r="G35" s="1156">
        <f>案例0.15!L29</f>
        <v>964</v>
      </c>
      <c r="H35" s="1157"/>
      <c r="I35" s="1154">
        <f>案例0.15!L32</f>
        <v>1026</v>
      </c>
      <c r="J35" s="1157"/>
      <c r="K35" s="713"/>
      <c r="L35" s="2721"/>
      <c r="M35" s="2722"/>
      <c r="N35" s="2713"/>
      <c r="O35" s="2722"/>
      <c r="P35" s="3746" t="str">
        <f>A35</f>
        <v>成交单价（元/平方米）</v>
      </c>
      <c r="Q35" s="3746"/>
      <c r="R35" s="3747">
        <f>E35</f>
        <v>994</v>
      </c>
      <c r="S35" s="3747"/>
      <c r="T35" s="3747">
        <f>G35</f>
        <v>964</v>
      </c>
      <c r="U35" s="3747"/>
      <c r="V35" s="3747">
        <f>I35</f>
        <v>1026</v>
      </c>
      <c r="W35" s="3747"/>
      <c r="X35" s="689"/>
      <c r="Y35" s="711"/>
      <c r="Z35" s="689"/>
      <c r="AA35" s="689"/>
      <c r="AB35" s="689"/>
      <c r="AC35" s="689"/>
    </row>
    <row r="36" spans="1:30" ht="15" thickBot="1">
      <c r="A36" s="436" t="s">
        <v>1793</v>
      </c>
      <c r="B36" s="437"/>
      <c r="C36" s="1158">
        <f>R37</f>
        <v>1027</v>
      </c>
      <c r="D36" s="2314" t="s">
        <v>2135</v>
      </c>
      <c r="E36" s="1159">
        <f>R36</f>
        <v>1014</v>
      </c>
      <c r="F36" s="2315"/>
      <c r="G36" s="1158">
        <f>T36</f>
        <v>1001</v>
      </c>
      <c r="H36" s="2315"/>
      <c r="I36" s="1159">
        <f>V36</f>
        <v>1065</v>
      </c>
      <c r="J36" s="2315"/>
      <c r="K36" s="2317">
        <f>F36+H36+J36</f>
        <v>0</v>
      </c>
      <c r="L36" s="2721"/>
      <c r="M36" s="2722"/>
      <c r="N36" s="2713"/>
      <c r="O36" s="2722"/>
      <c r="P36" s="3746" t="str">
        <f>A36</f>
        <v>比较价值（元/平方米）</v>
      </c>
      <c r="Q36" s="3746"/>
      <c r="R36" s="3747">
        <f>IF(F1="售价",ROUND(PRODUCT(R35,AA7:AA34),0),ROUND(PRODUCT(R35,AA7:AA34),1))</f>
        <v>1014</v>
      </c>
      <c r="S36" s="3747"/>
      <c r="T36" s="3747">
        <f>IF(F1="售价",ROUND(PRODUCT(T35,AB7:AB34),0),ROUND(PRODUCT(T35,AB7:AB34),1))</f>
        <v>1001</v>
      </c>
      <c r="U36" s="3747"/>
      <c r="V36" s="3747">
        <f>IF(F1="售价",ROUND(PRODUCT(V35,AC7:AC34),0),ROUND(PRODUCT(V35,AC7:AC34),1))</f>
        <v>1065</v>
      </c>
      <c r="W36" s="3747"/>
      <c r="X36" s="689"/>
      <c r="Y36" s="689"/>
      <c r="Z36" s="689"/>
      <c r="AA36" s="689"/>
      <c r="AB36" s="689"/>
      <c r="AC36" s="689"/>
    </row>
    <row r="37" spans="1:30" ht="15" thickBot="1">
      <c r="A37" s="440" t="s">
        <v>1794</v>
      </c>
      <c r="B37" s="441"/>
      <c r="C37" s="1161">
        <f>R37</f>
        <v>1027</v>
      </c>
      <c r="D37" s="1161"/>
      <c r="E37" s="1161"/>
      <c r="F37" s="1161"/>
      <c r="G37" s="1161"/>
      <c r="H37" s="1161"/>
      <c r="I37" s="1161"/>
      <c r="J37" s="1161"/>
      <c r="K37" s="714"/>
      <c r="L37" s="2721"/>
      <c r="M37" s="2722"/>
      <c r="N37" s="2722"/>
      <c r="O37" s="2722"/>
      <c r="P37" s="3743" t="str">
        <f>A37</f>
        <v>估价对象XX用房的比较价值（楼面单价，元/平方米）</v>
      </c>
      <c r="Q37" s="3744"/>
      <c r="R37" s="3805">
        <f>IF(F1="售价",ROUND(IF(D36="简单平均",AVERAGE(R36:W36),R36*F36+T36*H36+V36*J36),0),ROUND(IF(D36="简单平均",AVERAGE(R36:V36),R36*F36+T36*H36+V36*J36),1))</f>
        <v>1027</v>
      </c>
      <c r="S37" s="3805"/>
      <c r="T37" s="3805"/>
      <c r="U37" s="3805"/>
      <c r="V37" s="3805"/>
      <c r="W37" s="3805"/>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f>IF(E35&lt;E36,E36/E35-1,E35/E36-1)</f>
        <v>2.0120724346076369E-2</v>
      </c>
      <c r="F40" s="448" t="str">
        <f>IF(OR(E40&gt;=0.3,E40&lt;=-0.3),"超过30%","")</f>
        <v/>
      </c>
      <c r="G40" s="447">
        <f>IF(G35&lt;G36,G36/G35-1,G35/G36-1)</f>
        <v>3.8381742738589297E-2</v>
      </c>
      <c r="H40" s="448" t="str">
        <f>IF(OR(G40&gt;=0.3,G40&lt;=-0.3),"超过30%","")</f>
        <v/>
      </c>
      <c r="I40" s="447">
        <f>IF(I35&lt;I36,I36/I35-1,I35/I36-1)</f>
        <v>3.8011695906432719E-2</v>
      </c>
      <c r="J40" s="448" t="str">
        <f>IF(OR(I40&gt;=0.3,I40&lt;=-0.3),"超过30%","")</f>
        <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1712</v>
      </c>
      <c r="D41" s="449"/>
      <c r="E41" s="447">
        <f>IF(E36&lt;G36,G36/E36-1,E36/G36-1)</f>
        <v>1.298701298701288E-2</v>
      </c>
      <c r="F41" s="448" t="str">
        <f>IF(OR(E41&gt;=0.2,E41&lt;=-0.2),"超过20%","")</f>
        <v/>
      </c>
      <c r="G41" s="447">
        <f>IF(G36&lt;I36,I36/G36-1,G36/I36-1)</f>
        <v>6.3936063936063992E-2</v>
      </c>
      <c r="H41" s="448" t="str">
        <f>IF(OR(G41&gt;=0.2,G41&lt;=-0.2),"超过20%","")</f>
        <v/>
      </c>
      <c r="I41" s="447">
        <f>IF(I36&lt;E36,E36/I36-1,I36/E36-1)</f>
        <v>5.0295857988165604E-2</v>
      </c>
      <c r="J41" s="448" t="str">
        <f>IF(OR(I41&gt;=0.2,I41&lt;=-0.2),"超过20%","")</f>
        <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f>IF(E35&lt;G35,G35/E35-1,E35/G35-1)</f>
        <v>3.1120331950207358E-2</v>
      </c>
      <c r="F42" s="448" t="str">
        <f>IF(OR(E42&gt;=0.3,E42&lt;=-0.3),"超过30%","")</f>
        <v/>
      </c>
      <c r="G42" s="447">
        <f>IF(G35&lt;I35,I35/G35-1,G35/I35-1)</f>
        <v>6.4315352697095429E-2</v>
      </c>
      <c r="H42" s="448" t="str">
        <f>IF(OR(G42&gt;=0.3,G42&lt;=-0.3),"超过30%","")</f>
        <v/>
      </c>
      <c r="I42" s="447">
        <f>IF(I35&lt;E35,E35/I35-1,I35/E35-1)</f>
        <v>3.2193158953722323E-2</v>
      </c>
      <c r="J42" s="448" t="str">
        <f>IF(OR(I42&gt;=0.3,I42&lt;=-0.3),"超过30%","")</f>
        <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3"/>
      <c r="Q46" s="2738"/>
      <c r="R46" s="2738"/>
      <c r="S46" s="2738"/>
      <c r="T46" s="2738"/>
      <c r="U46" s="2738"/>
      <c r="V46" s="2738"/>
      <c r="W46" s="2738"/>
      <c r="X46" s="2738"/>
      <c r="Y46" s="2738"/>
      <c r="Z46" s="2738"/>
      <c r="AA46" s="2738"/>
      <c r="AB46" s="2738"/>
      <c r="AC46" s="2738"/>
      <c r="AD46" s="2738"/>
    </row>
    <row r="47" spans="1:30" s="108" customFormat="1">
      <c r="A47" s="457"/>
      <c r="B47" s="458"/>
      <c r="C47" s="1181">
        <v>100</v>
      </c>
      <c r="D47" s="460">
        <v>100</v>
      </c>
      <c r="E47" s="460">
        <v>100.1</v>
      </c>
      <c r="F47" s="460">
        <f>E47</f>
        <v>100.1</v>
      </c>
      <c r="G47" s="460">
        <f>F47</f>
        <v>100.1</v>
      </c>
      <c r="H47" s="460">
        <v>100.2</v>
      </c>
      <c r="I47" s="460">
        <f>H47</f>
        <v>100.2</v>
      </c>
      <c r="J47" s="460">
        <f>H47</f>
        <v>100.2</v>
      </c>
      <c r="K47" s="460">
        <v>100.3</v>
      </c>
      <c r="L47" s="460">
        <v>100.3</v>
      </c>
      <c r="M47" s="461">
        <v>100.3</v>
      </c>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90</v>
      </c>
      <c r="E62" s="492">
        <f>D62-$K14</f>
        <v>80</v>
      </c>
      <c r="F62" s="492">
        <f>E62-$K14</f>
        <v>70</v>
      </c>
      <c r="G62" s="492">
        <f>F62-$K14</f>
        <v>60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97</v>
      </c>
      <c r="E64" s="492">
        <f>D64-$K16</f>
        <v>94</v>
      </c>
      <c r="F64" s="492">
        <f>E64-$K16</f>
        <v>91</v>
      </c>
      <c r="G64" s="492">
        <f>F64-$K16</f>
        <v>88</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0(含)-5</v>
      </c>
      <c r="D86" s="526" t="str">
        <f t="shared" si="21"/>
        <v>5(含)-10</v>
      </c>
      <c r="E86" s="526" t="str">
        <f t="shared" si="21"/>
        <v>10(含)-15</v>
      </c>
      <c r="F86" s="526" t="str">
        <f t="shared" si="21"/>
        <v>15(含)-20</v>
      </c>
      <c r="G86" s="526" t="str">
        <f t="shared" si="21"/>
        <v>20(含)-25</v>
      </c>
      <c r="H86" s="526" t="str">
        <f t="shared" si="21"/>
        <v>25(含)-30</v>
      </c>
      <c r="I86" s="526" t="str">
        <f t="shared" si="21"/>
        <v>30(含)-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v>0</v>
      </c>
      <c r="D87" s="543">
        <v>5</v>
      </c>
      <c r="E87" s="543">
        <v>10</v>
      </c>
      <c r="F87" s="543">
        <v>15</v>
      </c>
      <c r="G87" s="543">
        <v>20</v>
      </c>
      <c r="H87" s="543">
        <v>25</v>
      </c>
      <c r="I87" s="543">
        <v>30</v>
      </c>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v>100</v>
      </c>
      <c r="D88" s="484">
        <v>99</v>
      </c>
      <c r="E88" s="484">
        <v>98</v>
      </c>
      <c r="F88" s="484">
        <v>97</v>
      </c>
      <c r="G88" s="484">
        <v>96</v>
      </c>
      <c r="H88" s="484">
        <v>95</v>
      </c>
      <c r="I88" s="484">
        <v>94</v>
      </c>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t="str">
        <f>B32</f>
        <v>层高</v>
      </c>
      <c r="C91" s="3888" t="s">
        <v>4554</v>
      </c>
      <c r="D91" s="3888" t="s">
        <v>4555</v>
      </c>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v>100</v>
      </c>
      <c r="D92" s="484">
        <v>90</v>
      </c>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3"/>
  <sheetViews>
    <sheetView workbookViewId="0">
      <selection activeCell="A22" sqref="A22"/>
    </sheetView>
  </sheetViews>
  <sheetFormatPr defaultRowHeight="14.4"/>
  <cols>
    <col min="1" max="12" width="15.77734375" style="3500"/>
  </cols>
  <sheetData>
    <row r="1" spans="1:12">
      <c r="A1" s="3502" t="s">
        <v>4474</v>
      </c>
    </row>
    <row r="2" spans="1:12">
      <c r="A2" s="3500" t="s">
        <v>4486</v>
      </c>
      <c r="B2" s="3500" t="s">
        <v>4487</v>
      </c>
      <c r="C2" s="3500" t="s">
        <v>4488</v>
      </c>
      <c r="D2" s="3500" t="s">
        <v>4489</v>
      </c>
      <c r="E2" s="3500" t="s">
        <v>4490</v>
      </c>
      <c r="F2" s="3500" t="s">
        <v>4491</v>
      </c>
      <c r="G2" s="3500" t="s">
        <v>4492</v>
      </c>
      <c r="H2" s="3500" t="s">
        <v>4493</v>
      </c>
      <c r="I2" s="3500" t="s">
        <v>4494</v>
      </c>
      <c r="J2" s="3500" t="s">
        <v>4495</v>
      </c>
      <c r="K2" s="3500" t="s">
        <v>4496</v>
      </c>
      <c r="L2" s="3500" t="s">
        <v>4497</v>
      </c>
    </row>
    <row r="3" spans="1:12">
      <c r="A3" s="3501">
        <v>45904.333831018521</v>
      </c>
      <c r="B3" s="3500" t="s">
        <v>4499</v>
      </c>
      <c r="C3" s="3500">
        <v>1</v>
      </c>
      <c r="D3" s="3500">
        <v>-2</v>
      </c>
      <c r="E3" s="3500" t="s">
        <v>4500</v>
      </c>
      <c r="F3" s="3500" t="s">
        <v>4501</v>
      </c>
      <c r="G3" s="3500" t="s">
        <v>3330</v>
      </c>
      <c r="H3" s="3500" t="s">
        <v>4502</v>
      </c>
      <c r="I3" s="3500">
        <v>1</v>
      </c>
      <c r="J3" s="3500">
        <v>15.91</v>
      </c>
      <c r="K3" s="3500">
        <v>1.58</v>
      </c>
      <c r="L3" s="3500">
        <v>994</v>
      </c>
    </row>
    <row r="4" spans="1:12">
      <c r="A4" s="3501">
        <v>45904.333831018521</v>
      </c>
      <c r="B4" s="3500" t="s">
        <v>4503</v>
      </c>
      <c r="C4" s="3500">
        <v>1</v>
      </c>
      <c r="D4" s="3500">
        <v>-2</v>
      </c>
      <c r="E4" s="3500" t="s">
        <v>4504</v>
      </c>
      <c r="F4" s="3500" t="s">
        <v>4505</v>
      </c>
      <c r="G4" s="3500" t="s">
        <v>3330</v>
      </c>
      <c r="H4" s="3500" t="s">
        <v>4502</v>
      </c>
      <c r="I4" s="3500">
        <v>1</v>
      </c>
      <c r="J4" s="3500">
        <v>36.39</v>
      </c>
      <c r="K4" s="3500">
        <v>3.62</v>
      </c>
      <c r="L4" s="3500">
        <v>994</v>
      </c>
    </row>
    <row r="5" spans="1:12" s="3454" customFormat="1">
      <c r="A5" s="3503">
        <v>45877.333831018521</v>
      </c>
      <c r="B5" s="3504" t="s">
        <v>4506</v>
      </c>
      <c r="C5" s="3504">
        <v>1</v>
      </c>
      <c r="D5" s="3504">
        <v>-1</v>
      </c>
      <c r="E5" s="3504" t="s">
        <v>4507</v>
      </c>
      <c r="F5" s="3504" t="s">
        <v>4505</v>
      </c>
      <c r="G5" s="3504" t="s">
        <v>3330</v>
      </c>
      <c r="H5" s="3504" t="s">
        <v>4502</v>
      </c>
      <c r="I5" s="3504">
        <v>1</v>
      </c>
      <c r="J5" s="3504">
        <v>19.059999999999999</v>
      </c>
      <c r="K5" s="3504">
        <v>1.89</v>
      </c>
      <c r="L5" s="3504">
        <v>994</v>
      </c>
    </row>
    <row r="6" spans="1:12" s="3507" customFormat="1">
      <c r="A6" s="3505">
        <v>45835.333831018521</v>
      </c>
      <c r="B6" s="3506" t="s">
        <v>4499</v>
      </c>
      <c r="C6" s="3506">
        <v>1</v>
      </c>
      <c r="D6" s="3506">
        <v>-2</v>
      </c>
      <c r="E6" s="3506" t="s">
        <v>4508</v>
      </c>
      <c r="F6" s="3506" t="s">
        <v>4501</v>
      </c>
      <c r="G6" s="3506" t="s">
        <v>3330</v>
      </c>
      <c r="H6" s="3506" t="s">
        <v>4502</v>
      </c>
      <c r="I6" s="3506">
        <v>1</v>
      </c>
      <c r="J6" s="3506">
        <v>30.93</v>
      </c>
      <c r="K6" s="3506">
        <v>3.07</v>
      </c>
      <c r="L6" s="3506">
        <v>994</v>
      </c>
    </row>
    <row r="7" spans="1:12" s="3507" customFormat="1">
      <c r="A7" s="3505">
        <v>45835.333831018521</v>
      </c>
      <c r="B7" s="3506" t="s">
        <v>4499</v>
      </c>
      <c r="C7" s="3506">
        <v>1</v>
      </c>
      <c r="D7" s="3506">
        <v>-2</v>
      </c>
      <c r="E7" s="3506" t="s">
        <v>4509</v>
      </c>
      <c r="F7" s="3506" t="s">
        <v>4501</v>
      </c>
      <c r="G7" s="3506" t="s">
        <v>3330</v>
      </c>
      <c r="H7" s="3506" t="s">
        <v>4502</v>
      </c>
      <c r="I7" s="3506">
        <v>1</v>
      </c>
      <c r="J7" s="3506">
        <v>19.66</v>
      </c>
      <c r="K7" s="3506">
        <v>1.95</v>
      </c>
      <c r="L7" s="3506">
        <v>994</v>
      </c>
    </row>
    <row r="8" spans="1:12" s="3507" customFormat="1">
      <c r="A8" s="3505">
        <v>45820.333831018521</v>
      </c>
      <c r="B8" s="3506" t="s">
        <v>4503</v>
      </c>
      <c r="C8" s="3506">
        <v>1</v>
      </c>
      <c r="D8" s="3506">
        <v>-2</v>
      </c>
      <c r="E8" s="3506" t="s">
        <v>4510</v>
      </c>
      <c r="F8" s="3506" t="s">
        <v>4505</v>
      </c>
      <c r="G8" s="3506" t="s">
        <v>3330</v>
      </c>
      <c r="H8" s="3506" t="s">
        <v>4502</v>
      </c>
      <c r="I8" s="3506">
        <v>1</v>
      </c>
      <c r="J8" s="3506">
        <v>58.63</v>
      </c>
      <c r="K8" s="3506">
        <v>5.83</v>
      </c>
      <c r="L8" s="3506">
        <v>994</v>
      </c>
    </row>
    <row r="9" spans="1:12" s="3507" customFormat="1">
      <c r="A9" s="3505">
        <v>45819.333831018521</v>
      </c>
      <c r="B9" s="3506" t="s">
        <v>4503</v>
      </c>
      <c r="C9" s="3506">
        <v>1</v>
      </c>
      <c r="D9" s="3506">
        <v>-2</v>
      </c>
      <c r="E9" s="3506" t="s">
        <v>4511</v>
      </c>
      <c r="F9" s="3506" t="s">
        <v>4505</v>
      </c>
      <c r="G9" s="3506" t="s">
        <v>3330</v>
      </c>
      <c r="H9" s="3506" t="s">
        <v>4502</v>
      </c>
      <c r="I9" s="3506">
        <v>1</v>
      </c>
      <c r="J9" s="3506">
        <v>29.97</v>
      </c>
      <c r="K9" s="3506">
        <v>2.98</v>
      </c>
      <c r="L9" s="3506">
        <v>994</v>
      </c>
    </row>
    <row r="10" spans="1:12" s="3507" customFormat="1">
      <c r="A10" s="3505">
        <v>45814.333831018521</v>
      </c>
      <c r="B10" s="3506" t="s">
        <v>4512</v>
      </c>
      <c r="C10" s="3506">
        <v>1</v>
      </c>
      <c r="D10" s="3506">
        <v>-3</v>
      </c>
      <c r="E10" s="3506" t="s">
        <v>4513</v>
      </c>
      <c r="F10" s="3506" t="s">
        <v>4514</v>
      </c>
      <c r="G10" s="3506" t="s">
        <v>3330</v>
      </c>
      <c r="H10" s="3506" t="s">
        <v>4502</v>
      </c>
      <c r="I10" s="3506">
        <v>1</v>
      </c>
      <c r="J10" s="3506">
        <v>27.76</v>
      </c>
      <c r="K10" s="3506">
        <v>2.76</v>
      </c>
      <c r="L10" s="3506">
        <v>994</v>
      </c>
    </row>
    <row r="11" spans="1:12" s="3507" customFormat="1">
      <c r="A11" s="3505">
        <v>45814.333831018521</v>
      </c>
      <c r="B11" s="3506" t="s">
        <v>4499</v>
      </c>
      <c r="C11" s="3506">
        <v>1</v>
      </c>
      <c r="D11" s="3506">
        <v>-2</v>
      </c>
      <c r="E11" s="3506" t="s">
        <v>4515</v>
      </c>
      <c r="F11" s="3506" t="s">
        <v>4501</v>
      </c>
      <c r="G11" s="3506" t="s">
        <v>3330</v>
      </c>
      <c r="H11" s="3506" t="s">
        <v>4502</v>
      </c>
      <c r="I11" s="3506">
        <v>1</v>
      </c>
      <c r="J11" s="3506">
        <v>26.62</v>
      </c>
      <c r="K11" s="3506">
        <v>2.65</v>
      </c>
      <c r="L11" s="3506">
        <v>994</v>
      </c>
    </row>
    <row r="12" spans="1:12" s="3507" customFormat="1">
      <c r="A12" s="3505">
        <v>45813.333831018521</v>
      </c>
      <c r="B12" s="3506" t="s">
        <v>4516</v>
      </c>
      <c r="C12" s="3506">
        <v>1</v>
      </c>
      <c r="D12" s="3506">
        <v>-3</v>
      </c>
      <c r="E12" s="3506" t="s">
        <v>4517</v>
      </c>
      <c r="F12" s="3506" t="s">
        <v>4505</v>
      </c>
      <c r="G12" s="3506" t="s">
        <v>3330</v>
      </c>
      <c r="H12" s="3506" t="s">
        <v>4502</v>
      </c>
      <c r="I12" s="3506">
        <v>1</v>
      </c>
      <c r="J12" s="3506">
        <v>14.22</v>
      </c>
      <c r="K12" s="3506">
        <v>1.41</v>
      </c>
      <c r="L12" s="3506">
        <v>994</v>
      </c>
    </row>
    <row r="13" spans="1:12" s="3507" customFormat="1">
      <c r="A13" s="3505">
        <v>45807.333831018521</v>
      </c>
      <c r="B13" s="3506" t="s">
        <v>4512</v>
      </c>
      <c r="C13" s="3506">
        <v>1</v>
      </c>
      <c r="D13" s="3506">
        <v>-1</v>
      </c>
      <c r="E13" s="3506" t="s">
        <v>4518</v>
      </c>
      <c r="F13" s="3506" t="s">
        <v>4505</v>
      </c>
      <c r="G13" s="3506" t="s">
        <v>3330</v>
      </c>
      <c r="H13" s="3506" t="s">
        <v>4502</v>
      </c>
      <c r="I13" s="3506">
        <v>1</v>
      </c>
      <c r="J13" s="3506">
        <v>37.590000000000003</v>
      </c>
      <c r="K13" s="3506">
        <v>3.74</v>
      </c>
      <c r="L13" s="3506">
        <v>994</v>
      </c>
    </row>
    <row r="14" spans="1:12" s="3507" customFormat="1">
      <c r="A14" s="3505">
        <v>45805.333831018521</v>
      </c>
      <c r="B14" s="3506" t="s">
        <v>4519</v>
      </c>
      <c r="C14" s="3506">
        <v>1</v>
      </c>
      <c r="D14" s="3506">
        <v>-2</v>
      </c>
      <c r="E14" s="3506" t="s">
        <v>4500</v>
      </c>
      <c r="F14" s="3506" t="s">
        <v>4505</v>
      </c>
      <c r="G14" s="3506" t="s">
        <v>3330</v>
      </c>
      <c r="H14" s="3506" t="s">
        <v>4502</v>
      </c>
      <c r="I14" s="3506">
        <v>1</v>
      </c>
      <c r="J14" s="3506">
        <v>60.47</v>
      </c>
      <c r="K14" s="3506">
        <v>6.01</v>
      </c>
      <c r="L14" s="3506">
        <v>994</v>
      </c>
    </row>
    <row r="15" spans="1:12" s="3507" customFormat="1">
      <c r="A15" s="3505">
        <v>45805.333831018521</v>
      </c>
      <c r="B15" s="3506" t="s">
        <v>4512</v>
      </c>
      <c r="C15" s="3506">
        <v>1</v>
      </c>
      <c r="D15" s="3506">
        <v>-2</v>
      </c>
      <c r="E15" s="3506" t="s">
        <v>4511</v>
      </c>
      <c r="F15" s="3506" t="s">
        <v>4514</v>
      </c>
      <c r="G15" s="3506" t="s">
        <v>3330</v>
      </c>
      <c r="H15" s="3506" t="s">
        <v>4502</v>
      </c>
      <c r="I15" s="3506">
        <v>1</v>
      </c>
      <c r="J15" s="3506">
        <v>47.95</v>
      </c>
      <c r="K15" s="3506">
        <v>4.7699999999999996</v>
      </c>
      <c r="L15" s="3506">
        <v>994</v>
      </c>
    </row>
    <row r="16" spans="1:12" s="3507" customFormat="1">
      <c r="A16" s="3505">
        <v>45804.333831018521</v>
      </c>
      <c r="B16" s="3506" t="s">
        <v>4503</v>
      </c>
      <c r="C16" s="3506">
        <v>1</v>
      </c>
      <c r="D16" s="3506">
        <v>-2</v>
      </c>
      <c r="E16" s="3506" t="s">
        <v>4520</v>
      </c>
      <c r="F16" s="3506" t="s">
        <v>4505</v>
      </c>
      <c r="G16" s="3506" t="s">
        <v>3330</v>
      </c>
      <c r="H16" s="3506" t="s">
        <v>4502</v>
      </c>
      <c r="I16" s="3506">
        <v>1</v>
      </c>
      <c r="J16" s="3506">
        <v>58.63</v>
      </c>
      <c r="K16" s="3506">
        <v>5.83</v>
      </c>
      <c r="L16" s="3506">
        <v>994</v>
      </c>
    </row>
    <row r="17" spans="1:12" s="3507" customFormat="1">
      <c r="A17" s="3505">
        <v>45804.333831018521</v>
      </c>
      <c r="B17" s="3506" t="s">
        <v>4503</v>
      </c>
      <c r="C17" s="3506">
        <v>1</v>
      </c>
      <c r="D17" s="3506">
        <v>-2</v>
      </c>
      <c r="E17" s="3506" t="s">
        <v>4508</v>
      </c>
      <c r="F17" s="3506" t="s">
        <v>4505</v>
      </c>
      <c r="G17" s="3506" t="s">
        <v>3330</v>
      </c>
      <c r="H17" s="3506" t="s">
        <v>4502</v>
      </c>
      <c r="I17" s="3506">
        <v>1</v>
      </c>
      <c r="J17" s="3506">
        <v>37.81</v>
      </c>
      <c r="K17" s="3506">
        <v>3.76</v>
      </c>
      <c r="L17" s="3506">
        <v>994</v>
      </c>
    </row>
    <row r="18" spans="1:12" s="3507" customFormat="1">
      <c r="A18" s="3508" t="s">
        <v>4543</v>
      </c>
      <c r="B18" s="3506"/>
      <c r="C18" s="3506"/>
      <c r="D18" s="3506"/>
      <c r="E18" s="3506"/>
      <c r="F18" s="3506"/>
      <c r="G18" s="3506"/>
      <c r="H18" s="3506"/>
      <c r="I18" s="3506"/>
      <c r="J18" s="3506"/>
      <c r="K18" s="3506"/>
      <c r="L18" s="3506"/>
    </row>
    <row r="19" spans="1:12" s="3507" customFormat="1">
      <c r="A19" s="3506" t="s">
        <v>4486</v>
      </c>
      <c r="B19" s="3506" t="s">
        <v>4487</v>
      </c>
      <c r="C19" s="3506" t="s">
        <v>4488</v>
      </c>
      <c r="D19" s="3506" t="s">
        <v>4489</v>
      </c>
      <c r="E19" s="3506" t="s">
        <v>4490</v>
      </c>
      <c r="F19" s="3506" t="s">
        <v>4491</v>
      </c>
      <c r="G19" s="3506" t="s">
        <v>4492</v>
      </c>
      <c r="H19" s="3506" t="s">
        <v>4493</v>
      </c>
      <c r="I19" s="3506" t="s">
        <v>4494</v>
      </c>
      <c r="J19" s="3506" t="s">
        <v>4495</v>
      </c>
      <c r="K19" s="3506" t="s">
        <v>4496</v>
      </c>
      <c r="L19" s="3506" t="s">
        <v>4497</v>
      </c>
    </row>
    <row r="20" spans="1:12" s="3507" customFormat="1">
      <c r="A20" s="3505">
        <v>45624.333831018521</v>
      </c>
      <c r="B20" s="3506" t="s">
        <v>4529</v>
      </c>
      <c r="C20" s="3506" t="s">
        <v>4498</v>
      </c>
      <c r="D20" s="3506">
        <v>-1</v>
      </c>
      <c r="E20" s="3506" t="s">
        <v>4540</v>
      </c>
      <c r="F20" s="3506" t="s">
        <v>4541</v>
      </c>
      <c r="G20" s="3506" t="s">
        <v>4522</v>
      </c>
      <c r="H20" s="3506" t="s">
        <v>4502</v>
      </c>
      <c r="I20" s="3506">
        <v>1</v>
      </c>
      <c r="J20" s="3506">
        <v>171.43</v>
      </c>
      <c r="K20" s="3506">
        <v>51.43</v>
      </c>
      <c r="L20" s="3506">
        <v>3000</v>
      </c>
    </row>
    <row r="21" spans="1:12" s="3507" customFormat="1">
      <c r="A21" s="3505">
        <v>44701.333831018521</v>
      </c>
      <c r="B21" s="3506" t="s">
        <v>4529</v>
      </c>
      <c r="C21" s="3506" t="s">
        <v>4498</v>
      </c>
      <c r="D21" s="3506">
        <v>-1</v>
      </c>
      <c r="E21" s="3506" t="s">
        <v>4542</v>
      </c>
      <c r="F21" s="3506" t="s">
        <v>4541</v>
      </c>
      <c r="G21" s="3506" t="s">
        <v>4522</v>
      </c>
      <c r="H21" s="3506" t="s">
        <v>4502</v>
      </c>
      <c r="I21" s="3506">
        <v>1</v>
      </c>
      <c r="J21" s="3506">
        <v>171.43</v>
      </c>
      <c r="K21" s="3506">
        <v>176.35</v>
      </c>
      <c r="L21" s="3506">
        <v>10287</v>
      </c>
    </row>
    <row r="22" spans="1:12" s="3507" customFormat="1">
      <c r="A22" s="3509" t="s">
        <v>4552</v>
      </c>
      <c r="B22" s="3506"/>
      <c r="C22" s="3506"/>
      <c r="D22" s="3506"/>
      <c r="E22" s="3506"/>
      <c r="F22" s="3506"/>
      <c r="G22" s="3506"/>
      <c r="H22" s="3506"/>
      <c r="I22" s="3506"/>
      <c r="J22" s="3506"/>
      <c r="K22" s="3506"/>
      <c r="L22" s="3506"/>
    </row>
    <row r="23" spans="1:12" s="3507" customFormat="1">
      <c r="A23" s="3506" t="s">
        <v>4486</v>
      </c>
      <c r="B23" s="3506" t="s">
        <v>4487</v>
      </c>
      <c r="C23" s="3506" t="s">
        <v>4488</v>
      </c>
      <c r="D23" s="3506" t="s">
        <v>4489</v>
      </c>
      <c r="E23" s="3506" t="s">
        <v>4490</v>
      </c>
      <c r="F23" s="3506" t="s">
        <v>4491</v>
      </c>
      <c r="G23" s="3506" t="s">
        <v>4492</v>
      </c>
      <c r="H23" s="3506" t="s">
        <v>4493</v>
      </c>
      <c r="I23" s="3506" t="s">
        <v>4494</v>
      </c>
      <c r="J23" s="3506" t="s">
        <v>4495</v>
      </c>
      <c r="K23" s="3506" t="s">
        <v>4496</v>
      </c>
      <c r="L23" s="3506" t="s">
        <v>4497</v>
      </c>
    </row>
    <row r="24" spans="1:12" s="3507" customFormat="1">
      <c r="A24" s="3505">
        <v>45871.333831018521</v>
      </c>
      <c r="B24" s="3506" t="s">
        <v>4519</v>
      </c>
      <c r="C24" s="3506">
        <v>1</v>
      </c>
      <c r="D24" s="3506">
        <v>-1</v>
      </c>
      <c r="E24" s="3506">
        <v>-106</v>
      </c>
      <c r="F24" s="3506" t="s">
        <v>4521</v>
      </c>
      <c r="G24" s="3506" t="s">
        <v>4522</v>
      </c>
      <c r="H24" s="3506" t="s">
        <v>4502</v>
      </c>
      <c r="I24" s="3506">
        <v>1</v>
      </c>
      <c r="J24" s="3506">
        <v>14.03</v>
      </c>
      <c r="K24" s="3506">
        <v>1.89</v>
      </c>
      <c r="L24" s="3506">
        <v>1345</v>
      </c>
    </row>
    <row r="25" spans="1:12" s="3507" customFormat="1">
      <c r="A25" s="3505">
        <v>45834.333831018521</v>
      </c>
      <c r="B25" s="3506" t="s">
        <v>4519</v>
      </c>
      <c r="C25" s="3506">
        <v>1</v>
      </c>
      <c r="D25" s="3506">
        <v>-1</v>
      </c>
      <c r="E25" s="3506">
        <v>-127</v>
      </c>
      <c r="F25" s="3506" t="s">
        <v>4521</v>
      </c>
      <c r="G25" s="3506" t="s">
        <v>4522</v>
      </c>
      <c r="H25" s="3506" t="s">
        <v>4502</v>
      </c>
      <c r="I25" s="3506">
        <v>1</v>
      </c>
      <c r="J25" s="3506">
        <v>29.42</v>
      </c>
      <c r="K25" s="3506">
        <v>3.96</v>
      </c>
      <c r="L25" s="3506">
        <v>1345</v>
      </c>
    </row>
    <row r="26" spans="1:12" s="3507" customFormat="1">
      <c r="A26" s="3505">
        <v>45834.333831018521</v>
      </c>
      <c r="B26" s="3506" t="s">
        <v>4516</v>
      </c>
      <c r="C26" s="3506">
        <v>1</v>
      </c>
      <c r="D26" s="3506">
        <v>-1</v>
      </c>
      <c r="E26" s="3506">
        <v>-134</v>
      </c>
      <c r="F26" s="3506" t="s">
        <v>4523</v>
      </c>
      <c r="G26" s="3506" t="s">
        <v>4522</v>
      </c>
      <c r="H26" s="3506" t="s">
        <v>4502</v>
      </c>
      <c r="I26" s="3506">
        <v>1</v>
      </c>
      <c r="J26" s="3506">
        <v>16.53</v>
      </c>
      <c r="K26" s="3506">
        <v>2.2200000000000002</v>
      </c>
      <c r="L26" s="3506">
        <v>1345</v>
      </c>
    </row>
    <row r="27" spans="1:12">
      <c r="A27" s="3501">
        <v>45806.333831018521</v>
      </c>
      <c r="B27" s="3500" t="s">
        <v>4512</v>
      </c>
      <c r="C27" s="3500">
        <v>1</v>
      </c>
      <c r="D27" s="3500">
        <v>-1</v>
      </c>
      <c r="E27" s="3500">
        <v>-127</v>
      </c>
      <c r="F27" s="3500" t="s">
        <v>4524</v>
      </c>
      <c r="G27" s="3500" t="s">
        <v>4522</v>
      </c>
      <c r="H27" s="3500" t="s">
        <v>4502</v>
      </c>
      <c r="I27" s="3500">
        <v>1</v>
      </c>
      <c r="J27" s="3500">
        <v>13.53</v>
      </c>
      <c r="K27" s="3500">
        <v>1.82</v>
      </c>
      <c r="L27" s="3500">
        <v>1345</v>
      </c>
    </row>
    <row r="28" spans="1:12">
      <c r="A28" s="3501">
        <v>45804.333831018521</v>
      </c>
      <c r="B28" s="3500" t="s">
        <v>4525</v>
      </c>
      <c r="C28" s="3500">
        <v>1</v>
      </c>
      <c r="D28" s="3500">
        <v>-1</v>
      </c>
      <c r="E28" s="3500">
        <v>-101</v>
      </c>
      <c r="F28" s="3500" t="s">
        <v>4526</v>
      </c>
      <c r="G28" s="3500" t="s">
        <v>4522</v>
      </c>
      <c r="H28" s="3500" t="s">
        <v>4502</v>
      </c>
      <c r="I28" s="3500">
        <v>1</v>
      </c>
      <c r="J28" s="3500">
        <v>27.06</v>
      </c>
      <c r="K28" s="3500">
        <v>3.64</v>
      </c>
      <c r="L28" s="3500">
        <v>1345</v>
      </c>
    </row>
    <row r="29" spans="1:12" s="3454" customFormat="1">
      <c r="A29" s="3503">
        <v>45656.333831018521</v>
      </c>
      <c r="B29" s="3504" t="s">
        <v>4527</v>
      </c>
      <c r="C29" s="3504" t="s">
        <v>4498</v>
      </c>
      <c r="D29" s="3504">
        <v>-1</v>
      </c>
      <c r="E29" s="3504">
        <v>-122</v>
      </c>
      <c r="F29" s="3504" t="s">
        <v>4528</v>
      </c>
      <c r="G29" s="3504" t="s">
        <v>4522</v>
      </c>
      <c r="H29" s="3504" t="s">
        <v>4502</v>
      </c>
      <c r="I29" s="3504">
        <v>1</v>
      </c>
      <c r="J29" s="3504">
        <v>27.32</v>
      </c>
      <c r="K29" s="3504">
        <v>2.63</v>
      </c>
      <c r="L29" s="3504">
        <v>964</v>
      </c>
    </row>
    <row r="30" spans="1:12">
      <c r="A30" s="3501">
        <v>45655.333831018521</v>
      </c>
      <c r="B30" s="3500" t="s">
        <v>4529</v>
      </c>
      <c r="C30" s="3500" t="s">
        <v>4498</v>
      </c>
      <c r="D30" s="3500">
        <v>-1</v>
      </c>
      <c r="E30" s="3500">
        <v>-129</v>
      </c>
      <c r="F30" s="3500" t="s">
        <v>4530</v>
      </c>
      <c r="G30" s="3500" t="s">
        <v>4522</v>
      </c>
      <c r="H30" s="3500" t="s">
        <v>4502</v>
      </c>
      <c r="I30" s="3500">
        <v>1</v>
      </c>
      <c r="J30" s="3500">
        <v>12.75</v>
      </c>
      <c r="K30" s="3500">
        <v>1.88</v>
      </c>
      <c r="L30" s="3500">
        <v>1473</v>
      </c>
    </row>
    <row r="31" spans="1:12">
      <c r="A31" s="3501">
        <v>45655.333831018521</v>
      </c>
      <c r="B31" s="3500" t="s">
        <v>4529</v>
      </c>
      <c r="C31" s="3500" t="s">
        <v>4498</v>
      </c>
      <c r="D31" s="3500">
        <v>-1</v>
      </c>
      <c r="E31" s="3500">
        <v>-111</v>
      </c>
      <c r="F31" s="3500" t="s">
        <v>4530</v>
      </c>
      <c r="G31" s="3500" t="s">
        <v>4522</v>
      </c>
      <c r="H31" s="3500" t="s">
        <v>4502</v>
      </c>
      <c r="I31" s="3500">
        <v>1</v>
      </c>
      <c r="J31" s="3500">
        <v>12.75</v>
      </c>
      <c r="K31" s="3500">
        <v>1.88</v>
      </c>
      <c r="L31" s="3500">
        <v>1473</v>
      </c>
    </row>
    <row r="32" spans="1:12" s="3454" customFormat="1">
      <c r="A32" s="3503">
        <v>45650.333831018521</v>
      </c>
      <c r="B32" s="3504" t="s">
        <v>4529</v>
      </c>
      <c r="C32" s="3504" t="s">
        <v>4498</v>
      </c>
      <c r="D32" s="3504">
        <v>-1</v>
      </c>
      <c r="E32" s="3504">
        <v>-119</v>
      </c>
      <c r="F32" s="3504" t="s">
        <v>4530</v>
      </c>
      <c r="G32" s="3504" t="s">
        <v>4522</v>
      </c>
      <c r="H32" s="3504" t="s">
        <v>4502</v>
      </c>
      <c r="I32" s="3504">
        <v>1</v>
      </c>
      <c r="J32" s="3504">
        <v>25.66</v>
      </c>
      <c r="K32" s="3504">
        <v>2.63</v>
      </c>
      <c r="L32" s="3504">
        <v>1026</v>
      </c>
    </row>
    <row r="33" spans="1:12">
      <c r="A33" s="3501">
        <v>45649.333831018521</v>
      </c>
      <c r="B33" s="3500" t="s">
        <v>4529</v>
      </c>
      <c r="C33" s="3500" t="s">
        <v>4498</v>
      </c>
      <c r="D33" s="3500">
        <v>-1</v>
      </c>
      <c r="E33" s="3500">
        <v>-125</v>
      </c>
      <c r="F33" s="3500" t="s">
        <v>4530</v>
      </c>
      <c r="G33" s="3500" t="s">
        <v>4522</v>
      </c>
      <c r="H33" s="3500" t="s">
        <v>4502</v>
      </c>
      <c r="I33" s="3500">
        <v>1</v>
      </c>
      <c r="J33" s="3500">
        <v>12.75</v>
      </c>
      <c r="K33" s="3500">
        <v>1.88</v>
      </c>
      <c r="L33" s="3500">
        <v>1473</v>
      </c>
    </row>
    <row r="34" spans="1:12">
      <c r="A34" s="3501">
        <v>45649.333831018521</v>
      </c>
      <c r="B34" s="3500" t="s">
        <v>4527</v>
      </c>
      <c r="C34" s="3500" t="s">
        <v>4498</v>
      </c>
      <c r="D34" s="3500">
        <v>-1</v>
      </c>
      <c r="E34" s="3500">
        <v>-124</v>
      </c>
      <c r="F34" s="3500" t="s">
        <v>4528</v>
      </c>
      <c r="G34" s="3500" t="s">
        <v>4522</v>
      </c>
      <c r="H34" s="3500" t="s">
        <v>4502</v>
      </c>
      <c r="I34" s="3500">
        <v>1</v>
      </c>
      <c r="J34" s="3500">
        <v>12.24</v>
      </c>
      <c r="K34" s="3500">
        <v>3.02</v>
      </c>
      <c r="L34" s="3500">
        <v>2464</v>
      </c>
    </row>
    <row r="35" spans="1:12">
      <c r="A35" s="3501">
        <v>45621.333831018521</v>
      </c>
      <c r="B35" s="3500" t="s">
        <v>4529</v>
      </c>
      <c r="C35" s="3500" t="s">
        <v>4498</v>
      </c>
      <c r="D35" s="3500">
        <v>-1</v>
      </c>
      <c r="E35" s="3500">
        <v>-135</v>
      </c>
      <c r="F35" s="3500" t="s">
        <v>4530</v>
      </c>
      <c r="G35" s="3500" t="s">
        <v>4522</v>
      </c>
      <c r="H35" s="3500" t="s">
        <v>4502</v>
      </c>
      <c r="I35" s="3500">
        <v>1</v>
      </c>
      <c r="J35" s="3500">
        <v>25.66</v>
      </c>
      <c r="K35" s="3500">
        <v>2.63</v>
      </c>
      <c r="L35" s="3500">
        <v>1026</v>
      </c>
    </row>
    <row r="36" spans="1:12">
      <c r="A36" s="3501">
        <v>45621.333831018521</v>
      </c>
      <c r="B36" s="3500" t="s">
        <v>4529</v>
      </c>
      <c r="C36" s="3500" t="s">
        <v>4498</v>
      </c>
      <c r="D36" s="3500">
        <v>-1</v>
      </c>
      <c r="E36" s="3500">
        <v>-122</v>
      </c>
      <c r="F36" s="3500" t="s">
        <v>4530</v>
      </c>
      <c r="G36" s="3500" t="s">
        <v>4522</v>
      </c>
      <c r="H36" s="3500" t="s">
        <v>4502</v>
      </c>
      <c r="I36" s="3500">
        <v>1</v>
      </c>
      <c r="J36" s="3500">
        <v>25.66</v>
      </c>
      <c r="K36" s="3500">
        <v>2.63</v>
      </c>
      <c r="L36" s="3500">
        <v>1026</v>
      </c>
    </row>
    <row r="37" spans="1:12">
      <c r="A37" s="3501">
        <v>45621.333831018521</v>
      </c>
      <c r="B37" s="3500" t="s">
        <v>4531</v>
      </c>
      <c r="C37" s="3500" t="s">
        <v>4498</v>
      </c>
      <c r="D37" s="3500">
        <v>-1</v>
      </c>
      <c r="E37" s="3500">
        <v>-119</v>
      </c>
      <c r="F37" s="3500" t="s">
        <v>4532</v>
      </c>
      <c r="G37" s="3500" t="s">
        <v>4522</v>
      </c>
      <c r="H37" s="3500" t="s">
        <v>4502</v>
      </c>
      <c r="I37" s="3500">
        <v>1</v>
      </c>
      <c r="J37" s="3500">
        <v>27.47</v>
      </c>
      <c r="K37" s="3500">
        <v>2.63</v>
      </c>
      <c r="L37" s="3500">
        <v>959</v>
      </c>
    </row>
    <row r="38" spans="1:12">
      <c r="A38" s="3501">
        <v>45440.333831018521</v>
      </c>
      <c r="B38" s="3500" t="s">
        <v>4529</v>
      </c>
      <c r="C38" s="3500" t="s">
        <v>4498</v>
      </c>
      <c r="D38" s="3500">
        <v>-1</v>
      </c>
      <c r="E38" s="3500">
        <v>-149</v>
      </c>
      <c r="F38" s="3500" t="s">
        <v>4530</v>
      </c>
      <c r="G38" s="3500" t="s">
        <v>4522</v>
      </c>
      <c r="H38" s="3500" t="s">
        <v>4502</v>
      </c>
      <c r="I38" s="3500">
        <v>1</v>
      </c>
      <c r="J38" s="3500">
        <v>23.31</v>
      </c>
      <c r="K38" s="3500">
        <v>5.83</v>
      </c>
      <c r="L38" s="3500">
        <v>2501</v>
      </c>
    </row>
    <row r="39" spans="1:12">
      <c r="A39" s="3501">
        <v>45440.333831018521</v>
      </c>
      <c r="B39" s="3500" t="s">
        <v>4529</v>
      </c>
      <c r="C39" s="3500" t="s">
        <v>4498</v>
      </c>
      <c r="D39" s="3500">
        <v>-1</v>
      </c>
      <c r="E39" s="3500">
        <v>-113</v>
      </c>
      <c r="F39" s="3500" t="s">
        <v>4530</v>
      </c>
      <c r="G39" s="3500" t="s">
        <v>4522</v>
      </c>
      <c r="H39" s="3500" t="s">
        <v>4502</v>
      </c>
      <c r="I39" s="3500">
        <v>1</v>
      </c>
      <c r="J39" s="3500">
        <v>31.11</v>
      </c>
      <c r="K39" s="3500">
        <v>8.6999999999999993</v>
      </c>
      <c r="L39" s="3500">
        <v>2797</v>
      </c>
    </row>
    <row r="40" spans="1:12">
      <c r="A40" s="3501">
        <v>45419.333831018521</v>
      </c>
      <c r="B40" s="3500" t="s">
        <v>4533</v>
      </c>
      <c r="C40" s="3500" t="s">
        <v>4498</v>
      </c>
      <c r="D40" s="3500">
        <v>-1</v>
      </c>
      <c r="E40" s="3500">
        <v>-136</v>
      </c>
      <c r="F40" s="3500" t="s">
        <v>4534</v>
      </c>
      <c r="G40" s="3500" t="s">
        <v>4522</v>
      </c>
      <c r="H40" s="3500" t="s">
        <v>4502</v>
      </c>
      <c r="I40" s="3500">
        <v>1</v>
      </c>
      <c r="J40" s="3500">
        <v>13.53</v>
      </c>
      <c r="K40" s="3500">
        <v>3.12</v>
      </c>
      <c r="L40" s="3500">
        <v>2308</v>
      </c>
    </row>
    <row r="41" spans="1:12">
      <c r="A41" s="3501">
        <v>45368.333831018521</v>
      </c>
      <c r="B41" s="3500" t="s">
        <v>4535</v>
      </c>
      <c r="C41" s="3500" t="s">
        <v>4498</v>
      </c>
      <c r="D41" s="3500">
        <v>-1</v>
      </c>
      <c r="E41" s="3500">
        <v>-129</v>
      </c>
      <c r="F41" s="3500" t="s">
        <v>4536</v>
      </c>
      <c r="G41" s="3500" t="s">
        <v>4522</v>
      </c>
      <c r="H41" s="3500" t="s">
        <v>4502</v>
      </c>
      <c r="I41" s="3500">
        <v>1</v>
      </c>
      <c r="J41" s="3500">
        <v>13.32</v>
      </c>
      <c r="K41" s="3500">
        <v>3.76</v>
      </c>
      <c r="L41" s="3500">
        <v>2819</v>
      </c>
    </row>
    <row r="42" spans="1:12">
      <c r="A42" s="3501">
        <v>45310.333831018521</v>
      </c>
      <c r="B42" s="3500" t="s">
        <v>4531</v>
      </c>
      <c r="C42" s="3500" t="s">
        <v>4498</v>
      </c>
      <c r="D42" s="3500">
        <v>-1</v>
      </c>
      <c r="E42" s="3500">
        <v>-116</v>
      </c>
      <c r="F42" s="3500" t="s">
        <v>4532</v>
      </c>
      <c r="G42" s="3500" t="s">
        <v>4522</v>
      </c>
      <c r="H42" s="3500" t="s">
        <v>4502</v>
      </c>
      <c r="I42" s="3500">
        <v>1</v>
      </c>
      <c r="J42" s="3500">
        <v>13.65</v>
      </c>
      <c r="K42" s="3500">
        <v>3.36</v>
      </c>
      <c r="L42" s="3500">
        <v>2459</v>
      </c>
    </row>
    <row r="43" spans="1:12">
      <c r="A43" s="3501">
        <v>45246.333831018521</v>
      </c>
      <c r="B43" s="3500" t="s">
        <v>4527</v>
      </c>
      <c r="C43" s="3500" t="s">
        <v>4498</v>
      </c>
      <c r="D43" s="3500">
        <v>-1</v>
      </c>
      <c r="E43" s="3500">
        <v>-113</v>
      </c>
      <c r="F43" s="3500" t="s">
        <v>4528</v>
      </c>
      <c r="G43" s="3500" t="s">
        <v>4522</v>
      </c>
      <c r="H43" s="3500" t="s">
        <v>4502</v>
      </c>
      <c r="I43" s="3500">
        <v>1</v>
      </c>
      <c r="J43" s="3500">
        <v>33.119999999999997</v>
      </c>
      <c r="K43" s="3500">
        <v>7.41</v>
      </c>
      <c r="L43" s="3500">
        <v>2236</v>
      </c>
    </row>
    <row r="44" spans="1:12">
      <c r="A44" s="3501">
        <v>45246.333831018521</v>
      </c>
      <c r="B44" s="3500" t="s">
        <v>4527</v>
      </c>
      <c r="C44" s="3500" t="s">
        <v>4498</v>
      </c>
      <c r="D44" s="3500">
        <v>-1</v>
      </c>
      <c r="E44" s="3500">
        <v>-107</v>
      </c>
      <c r="F44" s="3500" t="s">
        <v>4528</v>
      </c>
      <c r="G44" s="3500" t="s">
        <v>4522</v>
      </c>
      <c r="H44" s="3500" t="s">
        <v>4502</v>
      </c>
      <c r="I44" s="3500">
        <v>1</v>
      </c>
      <c r="J44" s="3500">
        <v>33.06</v>
      </c>
      <c r="K44" s="3500">
        <v>7.23</v>
      </c>
      <c r="L44" s="3500">
        <v>2186</v>
      </c>
    </row>
    <row r="45" spans="1:12">
      <c r="A45" s="3501">
        <v>45196.333831018521</v>
      </c>
      <c r="B45" s="3500" t="s">
        <v>4527</v>
      </c>
      <c r="C45" s="3500" t="s">
        <v>4498</v>
      </c>
      <c r="D45" s="3500">
        <v>-1</v>
      </c>
      <c r="E45" s="3500">
        <v>-101</v>
      </c>
      <c r="F45" s="3500" t="s">
        <v>4528</v>
      </c>
      <c r="G45" s="3500" t="s">
        <v>4522</v>
      </c>
      <c r="H45" s="3500" t="s">
        <v>4502</v>
      </c>
      <c r="I45" s="3500">
        <v>1</v>
      </c>
      <c r="J45" s="3500">
        <v>27.58</v>
      </c>
      <c r="K45" s="3500">
        <v>7.48</v>
      </c>
      <c r="L45" s="3500">
        <v>2711</v>
      </c>
    </row>
    <row r="46" spans="1:12">
      <c r="A46" s="3501">
        <v>45196.333831018521</v>
      </c>
      <c r="B46" s="3500" t="s">
        <v>4533</v>
      </c>
      <c r="C46" s="3500" t="s">
        <v>4498</v>
      </c>
      <c r="D46" s="3500">
        <v>-1</v>
      </c>
      <c r="E46" s="3500">
        <v>-121</v>
      </c>
      <c r="F46" s="3500" t="s">
        <v>4534</v>
      </c>
      <c r="G46" s="3500" t="s">
        <v>4522</v>
      </c>
      <c r="H46" s="3500" t="s">
        <v>4502</v>
      </c>
      <c r="I46" s="3500">
        <v>1</v>
      </c>
      <c r="J46" s="3500">
        <v>15.32</v>
      </c>
      <c r="K46" s="3500">
        <v>1.93</v>
      </c>
      <c r="L46" s="3500">
        <v>1261</v>
      </c>
    </row>
    <row r="47" spans="1:12">
      <c r="A47" s="3501">
        <v>45196.333831018521</v>
      </c>
      <c r="B47" s="3500" t="s">
        <v>4535</v>
      </c>
      <c r="C47" s="3500" t="s">
        <v>4498</v>
      </c>
      <c r="D47" s="3500">
        <v>-1</v>
      </c>
      <c r="E47" s="3500">
        <v>-151</v>
      </c>
      <c r="F47" s="3500" t="s">
        <v>4536</v>
      </c>
      <c r="G47" s="3500" t="s">
        <v>4522</v>
      </c>
      <c r="H47" s="3500" t="s">
        <v>4502</v>
      </c>
      <c r="I47" s="3500">
        <v>1</v>
      </c>
      <c r="J47" s="3500">
        <v>24.35</v>
      </c>
      <c r="K47" s="3500">
        <v>3.43</v>
      </c>
      <c r="L47" s="3500">
        <v>1409</v>
      </c>
    </row>
    <row r="48" spans="1:12">
      <c r="A48" s="3501">
        <v>45196.333831018521</v>
      </c>
      <c r="B48" s="3500" t="s">
        <v>4537</v>
      </c>
      <c r="C48" s="3500" t="s">
        <v>4498</v>
      </c>
      <c r="D48" s="3500">
        <v>-1</v>
      </c>
      <c r="E48" s="3500">
        <v>-144</v>
      </c>
      <c r="F48" s="3500" t="s">
        <v>4538</v>
      </c>
      <c r="G48" s="3500" t="s">
        <v>4522</v>
      </c>
      <c r="H48" s="3500" t="s">
        <v>4502</v>
      </c>
      <c r="I48" s="3500">
        <v>1</v>
      </c>
      <c r="J48" s="3500">
        <v>25.76</v>
      </c>
      <c r="K48" s="3500">
        <v>3.43</v>
      </c>
      <c r="L48" s="3500">
        <v>1332</v>
      </c>
    </row>
    <row r="49" spans="1:12">
      <c r="A49" s="3501">
        <v>45196.333831018521</v>
      </c>
      <c r="B49" s="3500" t="s">
        <v>4527</v>
      </c>
      <c r="C49" s="3500" t="s">
        <v>4498</v>
      </c>
      <c r="D49" s="3500">
        <v>-1</v>
      </c>
      <c r="E49" s="3500">
        <v>-116</v>
      </c>
      <c r="F49" s="3500" t="s">
        <v>4528</v>
      </c>
      <c r="G49" s="3500" t="s">
        <v>4522</v>
      </c>
      <c r="H49" s="3500" t="s">
        <v>4502</v>
      </c>
      <c r="I49" s="3500">
        <v>1</v>
      </c>
      <c r="J49" s="3500">
        <v>13.58</v>
      </c>
      <c r="K49" s="3500">
        <v>1.71</v>
      </c>
      <c r="L49" s="3500">
        <v>1257</v>
      </c>
    </row>
    <row r="50" spans="1:12">
      <c r="A50" s="3501">
        <v>45179.333831018521</v>
      </c>
      <c r="B50" s="3500" t="s">
        <v>4527</v>
      </c>
      <c r="C50" s="3500" t="s">
        <v>4498</v>
      </c>
      <c r="D50" s="3500">
        <v>-1</v>
      </c>
      <c r="E50" s="3500">
        <v>-137</v>
      </c>
      <c r="F50" s="3500" t="s">
        <v>4528</v>
      </c>
      <c r="G50" s="3500" t="s">
        <v>4522</v>
      </c>
      <c r="H50" s="3500" t="s">
        <v>4502</v>
      </c>
      <c r="I50" s="3500">
        <v>1</v>
      </c>
      <c r="J50" s="3500">
        <v>24.81</v>
      </c>
      <c r="K50" s="3500">
        <v>3.43</v>
      </c>
      <c r="L50" s="3500">
        <v>1383</v>
      </c>
    </row>
    <row r="51" spans="1:12">
      <c r="A51" s="3501">
        <v>45179.333831018521</v>
      </c>
      <c r="B51" s="3500" t="s">
        <v>4527</v>
      </c>
      <c r="C51" s="3500" t="s">
        <v>4498</v>
      </c>
      <c r="D51" s="3500">
        <v>-1</v>
      </c>
      <c r="E51" s="3500">
        <v>-106</v>
      </c>
      <c r="F51" s="3500" t="s">
        <v>4528</v>
      </c>
      <c r="G51" s="3500" t="s">
        <v>4522</v>
      </c>
      <c r="H51" s="3500" t="s">
        <v>4502</v>
      </c>
      <c r="I51" s="3500">
        <v>1</v>
      </c>
      <c r="J51" s="3500">
        <v>14.94</v>
      </c>
      <c r="K51" s="3500">
        <v>3.93</v>
      </c>
      <c r="L51" s="3500">
        <v>2627</v>
      </c>
    </row>
    <row r="52" spans="1:12">
      <c r="A52" s="3501">
        <v>45179.333831018521</v>
      </c>
      <c r="B52" s="3500" t="s">
        <v>4527</v>
      </c>
      <c r="C52" s="3500" t="s">
        <v>4498</v>
      </c>
      <c r="D52" s="3500">
        <v>-1</v>
      </c>
      <c r="E52" s="3500">
        <v>-125</v>
      </c>
      <c r="F52" s="3500" t="s">
        <v>4528</v>
      </c>
      <c r="G52" s="3500" t="s">
        <v>4522</v>
      </c>
      <c r="H52" s="3500" t="s">
        <v>4502</v>
      </c>
      <c r="I52" s="3500">
        <v>1</v>
      </c>
      <c r="J52" s="3500">
        <v>13.58</v>
      </c>
      <c r="K52" s="3500">
        <v>1.88</v>
      </c>
      <c r="L52" s="3500">
        <v>1383</v>
      </c>
    </row>
    <row r="53" spans="1:12">
      <c r="A53" s="3501">
        <v>45177.333831018521</v>
      </c>
      <c r="B53" s="3500" t="s">
        <v>4529</v>
      </c>
      <c r="C53" s="3500" t="s">
        <v>4498</v>
      </c>
      <c r="D53" s="3500">
        <v>-1</v>
      </c>
      <c r="E53" s="3500">
        <v>-102</v>
      </c>
      <c r="F53" s="3500" t="s">
        <v>4530</v>
      </c>
      <c r="G53" s="3500" t="s">
        <v>4522</v>
      </c>
      <c r="H53" s="3500" t="s">
        <v>4502</v>
      </c>
      <c r="I53" s="3500">
        <v>1</v>
      </c>
      <c r="J53" s="3500">
        <v>12.75</v>
      </c>
      <c r="K53" s="3500">
        <v>3.68</v>
      </c>
      <c r="L53" s="3500">
        <v>2887</v>
      </c>
    </row>
    <row r="54" spans="1:12">
      <c r="A54" s="3501">
        <v>45121.333831018521</v>
      </c>
      <c r="B54" s="3500" t="s">
        <v>4535</v>
      </c>
      <c r="C54" s="3500" t="s">
        <v>4498</v>
      </c>
      <c r="D54" s="3500">
        <v>-1</v>
      </c>
      <c r="E54" s="3500">
        <v>-122</v>
      </c>
      <c r="F54" s="3500" t="s">
        <v>4536</v>
      </c>
      <c r="G54" s="3500" t="s">
        <v>4522</v>
      </c>
      <c r="H54" s="3500" t="s">
        <v>4502</v>
      </c>
      <c r="I54" s="3500">
        <v>1</v>
      </c>
      <c r="J54" s="3500">
        <v>26.8</v>
      </c>
      <c r="K54" s="3500">
        <v>2.63</v>
      </c>
      <c r="L54" s="3500">
        <v>983</v>
      </c>
    </row>
    <row r="55" spans="1:12">
      <c r="A55" s="3501">
        <v>44862.333831018521</v>
      </c>
      <c r="B55" s="3500" t="s">
        <v>4529</v>
      </c>
      <c r="C55" s="3500" t="s">
        <v>4498</v>
      </c>
      <c r="D55" s="3500">
        <v>-1</v>
      </c>
      <c r="E55" s="3500">
        <v>-150</v>
      </c>
      <c r="F55" s="3500" t="s">
        <v>4530</v>
      </c>
      <c r="G55" s="3500" t="s">
        <v>4522</v>
      </c>
      <c r="H55" s="3500" t="s">
        <v>4502</v>
      </c>
      <c r="I55" s="3500">
        <v>1</v>
      </c>
      <c r="J55" s="3500">
        <v>23.31</v>
      </c>
      <c r="K55" s="3500">
        <v>6.38</v>
      </c>
      <c r="L55" s="3500">
        <v>2739</v>
      </c>
    </row>
    <row r="56" spans="1:12">
      <c r="A56" s="3501">
        <v>44860.333831018521</v>
      </c>
      <c r="B56" s="3500" t="s">
        <v>4529</v>
      </c>
      <c r="C56" s="3500" t="s">
        <v>4498</v>
      </c>
      <c r="D56" s="3500">
        <v>-1</v>
      </c>
      <c r="E56" s="3500">
        <v>-155</v>
      </c>
      <c r="F56" s="3500" t="s">
        <v>4530</v>
      </c>
      <c r="G56" s="3500" t="s">
        <v>4522</v>
      </c>
      <c r="H56" s="3500" t="s">
        <v>4502</v>
      </c>
      <c r="I56" s="3500">
        <v>1</v>
      </c>
      <c r="J56" s="3500">
        <v>21.54</v>
      </c>
      <c r="K56" s="3500">
        <v>5.65</v>
      </c>
      <c r="L56" s="3500">
        <v>2623</v>
      </c>
    </row>
    <row r="57" spans="1:12">
      <c r="A57" s="3501">
        <v>44860.333831018521</v>
      </c>
      <c r="B57" s="3500" t="s">
        <v>4529</v>
      </c>
      <c r="C57" s="3500" t="s">
        <v>4498</v>
      </c>
      <c r="D57" s="3500">
        <v>-1</v>
      </c>
      <c r="E57" s="3500">
        <v>-141</v>
      </c>
      <c r="F57" s="3500" t="s">
        <v>4530</v>
      </c>
      <c r="G57" s="3500" t="s">
        <v>4522</v>
      </c>
      <c r="H57" s="3500" t="s">
        <v>4502</v>
      </c>
      <c r="I57" s="3500">
        <v>1</v>
      </c>
      <c r="J57" s="3500">
        <v>15.53</v>
      </c>
      <c r="K57" s="3500">
        <v>4.25</v>
      </c>
      <c r="L57" s="3500">
        <v>2739</v>
      </c>
    </row>
    <row r="58" spans="1:12">
      <c r="A58" s="3501">
        <v>44834.333831018521</v>
      </c>
      <c r="B58" s="3500" t="s">
        <v>4533</v>
      </c>
      <c r="C58" s="3500" t="s">
        <v>4498</v>
      </c>
      <c r="D58" s="3500">
        <v>-1</v>
      </c>
      <c r="E58" s="3500">
        <v>-123</v>
      </c>
      <c r="F58" s="3500" t="s">
        <v>4534</v>
      </c>
      <c r="G58" s="3500" t="s">
        <v>4522</v>
      </c>
      <c r="H58" s="3500" t="s">
        <v>4502</v>
      </c>
      <c r="I58" s="3500">
        <v>1</v>
      </c>
      <c r="J58" s="3500">
        <v>13.53</v>
      </c>
      <c r="K58" s="3500">
        <v>3.68</v>
      </c>
      <c r="L58" s="3500">
        <v>2720</v>
      </c>
    </row>
    <row r="59" spans="1:12">
      <c r="A59" s="3501">
        <v>44834.333831018521</v>
      </c>
      <c r="B59" s="3500" t="s">
        <v>4533</v>
      </c>
      <c r="C59" s="3500" t="s">
        <v>4498</v>
      </c>
      <c r="D59" s="3500">
        <v>-1</v>
      </c>
      <c r="E59" s="3500">
        <v>-144</v>
      </c>
      <c r="F59" s="3500" t="s">
        <v>4534</v>
      </c>
      <c r="G59" s="3500" t="s">
        <v>4522</v>
      </c>
      <c r="H59" s="3500" t="s">
        <v>4502</v>
      </c>
      <c r="I59" s="3500">
        <v>1</v>
      </c>
      <c r="J59" s="3500">
        <v>23.24</v>
      </c>
      <c r="K59" s="3500">
        <v>6.32</v>
      </c>
      <c r="L59" s="3500">
        <v>2719</v>
      </c>
    </row>
    <row r="60" spans="1:12">
      <c r="A60" s="3501">
        <v>44761.333831018521</v>
      </c>
      <c r="B60" s="3500" t="s">
        <v>4529</v>
      </c>
      <c r="C60" s="3500" t="s">
        <v>4498</v>
      </c>
      <c r="D60" s="3500">
        <v>-1</v>
      </c>
      <c r="E60" s="3500">
        <v>-126</v>
      </c>
      <c r="F60" s="3500" t="s">
        <v>4530</v>
      </c>
      <c r="G60" s="3500" t="s">
        <v>4522</v>
      </c>
      <c r="H60" s="3500" t="s">
        <v>4502</v>
      </c>
      <c r="I60" s="3500">
        <v>1</v>
      </c>
      <c r="J60" s="3500">
        <v>23.42</v>
      </c>
      <c r="K60" s="3500">
        <v>5.96</v>
      </c>
      <c r="L60" s="3500">
        <v>2543</v>
      </c>
    </row>
    <row r="61" spans="1:12">
      <c r="A61" s="3501">
        <v>44756.333831018521</v>
      </c>
      <c r="B61" s="3500" t="s">
        <v>4537</v>
      </c>
      <c r="C61" s="3500" t="s">
        <v>4498</v>
      </c>
      <c r="D61" s="3500">
        <v>-1</v>
      </c>
      <c r="E61" s="3500">
        <v>-110</v>
      </c>
      <c r="F61" s="3500" t="s">
        <v>4538</v>
      </c>
      <c r="G61" s="3500" t="s">
        <v>4522</v>
      </c>
      <c r="H61" s="3500" t="s">
        <v>4502</v>
      </c>
      <c r="I61" s="3500">
        <v>1</v>
      </c>
      <c r="J61" s="3500">
        <v>12.71</v>
      </c>
      <c r="K61" s="3500">
        <v>3.02</v>
      </c>
      <c r="L61" s="3500">
        <v>2373</v>
      </c>
    </row>
    <row r="62" spans="1:12">
      <c r="A62" s="3501">
        <v>44712.333831018521</v>
      </c>
      <c r="B62" s="3500" t="s">
        <v>4537</v>
      </c>
      <c r="C62" s="3500" t="s">
        <v>4498</v>
      </c>
      <c r="D62" s="3500">
        <v>-1</v>
      </c>
      <c r="E62" s="3500">
        <v>-138</v>
      </c>
      <c r="F62" s="3500" t="s">
        <v>4538</v>
      </c>
      <c r="G62" s="3500" t="s">
        <v>4522</v>
      </c>
      <c r="H62" s="3500" t="s">
        <v>4502</v>
      </c>
      <c r="I62" s="3500">
        <v>1</v>
      </c>
      <c r="J62" s="3500">
        <v>24.2</v>
      </c>
      <c r="K62" s="3500">
        <v>5.65</v>
      </c>
      <c r="L62" s="3500">
        <v>2334</v>
      </c>
    </row>
    <row r="63" spans="1:12">
      <c r="A63" s="3501">
        <v>44712.333831018521</v>
      </c>
      <c r="B63" s="3500" t="s">
        <v>4533</v>
      </c>
      <c r="C63" s="3500" t="s">
        <v>4498</v>
      </c>
      <c r="D63" s="3500">
        <v>-1</v>
      </c>
      <c r="E63" s="3500">
        <v>-148</v>
      </c>
      <c r="F63" s="3500" t="s">
        <v>4534</v>
      </c>
      <c r="G63" s="3500" t="s">
        <v>4522</v>
      </c>
      <c r="H63" s="3500" t="s">
        <v>4502</v>
      </c>
      <c r="I63" s="3500">
        <v>1</v>
      </c>
      <c r="J63" s="3500">
        <v>16.48</v>
      </c>
      <c r="K63" s="3500">
        <v>4.07</v>
      </c>
      <c r="L63" s="3500">
        <v>2473</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80" activePane="bottomLeft" state="frozen"/>
      <selection activeCell="Q72" sqref="Q72"/>
      <selection pane="bottomLeft" activeCell="H2" sqref="H1:Q104857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1" t="s">
        <v>2083</v>
      </c>
      <c r="C1" s="3818" t="s">
        <v>2084</v>
      </c>
      <c r="D1" s="3819"/>
      <c r="E1" s="3819"/>
      <c r="F1" s="3819"/>
      <c r="G1" s="3819"/>
      <c r="H1" s="3819"/>
      <c r="I1" s="3819"/>
      <c r="J1" s="3819"/>
      <c r="K1" s="3819"/>
      <c r="L1" s="3819"/>
      <c r="M1" s="3819"/>
      <c r="N1" s="3819"/>
      <c r="O1" s="3819"/>
      <c r="P1" s="3819"/>
      <c r="Q1" s="3819"/>
      <c r="R1" s="3819"/>
      <c r="S1" s="3820"/>
      <c r="T1" s="981" t="s">
        <v>2085</v>
      </c>
    </row>
    <row r="2" spans="1:45" s="654" customFormat="1" ht="39.6">
      <c r="A2" s="982"/>
      <c r="B2" s="650" t="s">
        <v>2086</v>
      </c>
      <c r="C2" s="651" t="str">
        <f t="shared" ref="C2:L2" si="0">C3&amp;"(含)"&amp;"-"&amp;D3</f>
        <v>0(含)-5</v>
      </c>
      <c r="D2" s="652" t="str">
        <f t="shared" si="0"/>
        <v>5(含)-10</v>
      </c>
      <c r="E2" s="652" t="str">
        <f t="shared" si="0"/>
        <v>10(含)-15</v>
      </c>
      <c r="F2" s="652" t="str">
        <f t="shared" si="0"/>
        <v>15(含)-20</v>
      </c>
      <c r="G2" s="652" t="str">
        <f t="shared" si="0"/>
        <v>20(含)-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5"/>
      <c r="C3" s="656">
        <v>0</v>
      </c>
      <c r="D3" s="657">
        <v>5</v>
      </c>
      <c r="E3" s="657">
        <v>10</v>
      </c>
      <c r="F3" s="1303">
        <v>15</v>
      </c>
      <c r="G3" s="1303">
        <v>20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5"/>
      <c r="B4" s="986"/>
      <c r="C4" s="987">
        <v>100</v>
      </c>
      <c r="D4" s="988">
        <v>99</v>
      </c>
      <c r="E4" s="988">
        <v>98</v>
      </c>
      <c r="F4" s="1307">
        <v>97</v>
      </c>
      <c r="G4" s="1307">
        <v>96</v>
      </c>
      <c r="H4" s="1307"/>
      <c r="I4" s="1307"/>
      <c r="J4" s="1307"/>
      <c r="K4" s="1307"/>
      <c r="L4" s="1307"/>
      <c r="M4" s="1308"/>
      <c r="N4" s="1308"/>
      <c r="O4" s="1307"/>
      <c r="P4" s="1307"/>
      <c r="Q4" s="1307"/>
      <c r="R4" s="1307"/>
      <c r="S4" s="1309"/>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3467" t="s">
        <v>4393</v>
      </c>
      <c r="C5" s="993">
        <v>-1</v>
      </c>
      <c r="D5" s="994">
        <v>-2</v>
      </c>
      <c r="E5" s="994"/>
      <c r="F5" s="1310"/>
      <c r="G5" s="1310"/>
      <c r="H5" s="1310"/>
      <c r="I5" s="1310"/>
      <c r="J5" s="1310"/>
      <c r="K5" s="1310"/>
      <c r="L5" s="1311"/>
      <c r="M5" s="1312"/>
      <c r="N5" s="1312"/>
      <c r="O5" s="1310"/>
      <c r="P5" s="1310"/>
      <c r="Q5" s="1310"/>
      <c r="R5" s="1310"/>
      <c r="S5" s="1313"/>
      <c r="T5" s="996">
        <v>10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2"/>
      <c r="B7" s="3468" t="s">
        <v>4394</v>
      </c>
      <c r="C7" s="3469" t="s">
        <v>4395</v>
      </c>
      <c r="D7" s="3470" t="s">
        <v>4396</v>
      </c>
      <c r="E7" s="896"/>
      <c r="F7" s="1315"/>
      <c r="G7" s="1315"/>
      <c r="H7" s="1315"/>
      <c r="I7" s="1315"/>
      <c r="J7" s="1315"/>
      <c r="K7" s="1315"/>
      <c r="L7" s="1315"/>
      <c r="M7" s="1316"/>
      <c r="N7" s="1317"/>
      <c r="O7" s="1318"/>
      <c r="P7" s="1319"/>
      <c r="Q7" s="1320"/>
      <c r="R7" s="1321"/>
      <c r="S7" s="1322"/>
      <c r="T7" s="660">
        <v>20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2"/>
      <c r="B8" s="897"/>
      <c r="C8" s="903">
        <v>100</v>
      </c>
      <c r="D8" s="900">
        <f>C8-$T7</f>
        <v>80</v>
      </c>
      <c r="E8" s="900">
        <f t="shared" ref="E8:S8" si="8">D8-$T7</f>
        <v>60</v>
      </c>
      <c r="F8" s="1314">
        <f t="shared" si="8"/>
        <v>40</v>
      </c>
      <c r="G8" s="1314">
        <f t="shared" si="8"/>
        <v>20</v>
      </c>
      <c r="H8" s="1314">
        <f t="shared" si="8"/>
        <v>0</v>
      </c>
      <c r="I8" s="1314">
        <f t="shared" si="8"/>
        <v>-20</v>
      </c>
      <c r="J8" s="1314">
        <f t="shared" si="8"/>
        <v>-40</v>
      </c>
      <c r="K8" s="1314">
        <f t="shared" si="8"/>
        <v>-60</v>
      </c>
      <c r="L8" s="1314">
        <f t="shared" si="8"/>
        <v>-80</v>
      </c>
      <c r="M8" s="1314">
        <f t="shared" si="8"/>
        <v>-100</v>
      </c>
      <c r="N8" s="1314">
        <f t="shared" si="8"/>
        <v>-120</v>
      </c>
      <c r="O8" s="1314">
        <f t="shared" si="8"/>
        <v>-140</v>
      </c>
      <c r="P8" s="1314">
        <f t="shared" si="8"/>
        <v>-160</v>
      </c>
      <c r="Q8" s="1314">
        <f t="shared" si="8"/>
        <v>-180</v>
      </c>
      <c r="R8" s="1314">
        <f t="shared" si="8"/>
        <v>-200</v>
      </c>
      <c r="S8" s="1314">
        <f t="shared" si="8"/>
        <v>-220</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4"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2093</v>
      </c>
      <c r="E19" s="1338"/>
      <c r="F19" s="1338"/>
      <c r="G19" s="1338"/>
      <c r="H19" s="1057"/>
      <c r="I19" s="159"/>
      <c r="J19" s="159"/>
      <c r="K19" s="159"/>
      <c r="L19" s="159"/>
      <c r="M19" s="159"/>
      <c r="N19" s="159"/>
      <c r="O19" s="159"/>
      <c r="P19" s="159"/>
      <c r="Q19" s="159"/>
      <c r="R19" s="717"/>
      <c r="S19" s="129"/>
    </row>
    <row r="20" spans="1:45" ht="16.2" thickBot="1">
      <c r="A20" s="661" t="s">
        <v>2094</v>
      </c>
      <c r="B20" s="293">
        <f ca="1">IF(D20="——",S22,S22-F20)</f>
        <v>542.79999999999973</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7"/>
      <c r="S20" s="129"/>
    </row>
    <row r="21" spans="1:45" ht="15.6">
      <c r="A21" s="661" t="s">
        <v>2096</v>
      </c>
      <c r="B21" s="293">
        <f ca="1">ROUND(B20*10000/B22,0)</f>
        <v>2349</v>
      </c>
      <c r="C21" s="159"/>
      <c r="D21" s="159"/>
      <c r="E21" s="159"/>
      <c r="F21" s="159"/>
      <c r="G21" s="159"/>
      <c r="H21" s="159"/>
      <c r="I21" s="159"/>
      <c r="J21" s="159"/>
      <c r="K21" s="159"/>
      <c r="L21" s="159"/>
      <c r="M21" s="159"/>
      <c r="N21" s="159"/>
      <c r="O21" s="159"/>
      <c r="P21" s="159"/>
      <c r="Q21" s="159"/>
      <c r="R21" s="717"/>
      <c r="S21" s="129"/>
    </row>
    <row r="22" spans="1:45">
      <c r="A22" s="315" t="s">
        <v>2097</v>
      </c>
      <c r="B22" s="21">
        <f>SUM(B24:B10000)</f>
        <v>2310.5099999999975</v>
      </c>
      <c r="C22" s="3815" t="s">
        <v>27</v>
      </c>
      <c r="D22" s="3816"/>
      <c r="E22" s="3816"/>
      <c r="F22" s="3816"/>
      <c r="G22" s="3816"/>
      <c r="H22" s="3816"/>
      <c r="I22" s="3816"/>
      <c r="J22" s="3816"/>
      <c r="K22" s="3816"/>
      <c r="L22" s="3816"/>
      <c r="M22" s="3816"/>
      <c r="N22" s="3816"/>
      <c r="O22" s="3816"/>
      <c r="P22" s="3816"/>
      <c r="Q22" s="3817"/>
      <c r="R22" s="662">
        <f ca="1">ROUND(S22*10000/B22,0)</f>
        <v>2349</v>
      </c>
      <c r="S22" s="21">
        <f ca="1">SUM(S24:S10000)</f>
        <v>542.79999999999973</v>
      </c>
    </row>
    <row r="23" spans="1:45" s="9" customFormat="1" ht="24">
      <c r="A23" s="8" t="s">
        <v>2098</v>
      </c>
      <c r="B23" s="8" t="s">
        <v>2099</v>
      </c>
      <c r="C23" s="8" t="s">
        <v>2100</v>
      </c>
      <c r="D23" s="8" t="str">
        <f>B5</f>
        <v>楼层</v>
      </c>
      <c r="E23" s="8" t="s">
        <v>2100</v>
      </c>
      <c r="F23" s="8" t="str">
        <f>B7</f>
        <v>窗户</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3441</v>
      </c>
      <c r="B24" s="3472">
        <v>10.32</v>
      </c>
      <c r="C24" s="2807">
        <v>1</v>
      </c>
      <c r="D24" s="3466" t="s">
        <v>3442</v>
      </c>
      <c r="E24" s="2807">
        <v>1</v>
      </c>
      <c r="F24" s="3471" t="s">
        <v>4397</v>
      </c>
      <c r="G24" s="2807">
        <v>1</v>
      </c>
      <c r="H24" s="2808"/>
      <c r="I24" s="2807">
        <v>1</v>
      </c>
      <c r="J24" s="2808"/>
      <c r="K24" s="2807">
        <v>1</v>
      </c>
      <c r="L24" s="2808"/>
      <c r="M24" s="2807">
        <v>1</v>
      </c>
      <c r="N24" s="2808"/>
      <c r="O24" s="2807">
        <v>1</v>
      </c>
      <c r="P24" s="2808"/>
      <c r="Q24" s="2807">
        <v>1</v>
      </c>
      <c r="R24" s="667">
        <f ca="1">结果表!G20</f>
        <v>2388</v>
      </c>
      <c r="S24" s="665">
        <f ca="1">ROUND(R24*B24/10000,4)</f>
        <v>2.4643999999999999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3445</v>
      </c>
      <c r="B25" s="3473">
        <v>8.1999999999999993</v>
      </c>
      <c r="C25" s="21">
        <f>IF(B25="",1,(LOOKUP(B25,$3:$3,$4:$4)-LOOKUP($B$24,$3:$3,$4:$4)+100)/100)</f>
        <v>1.01</v>
      </c>
      <c r="D25" s="3466">
        <v>-1</v>
      </c>
      <c r="E25" s="21">
        <f>(SUMIF($5:$5,D25,$6:$6)-SUMIF($5:$5,$D$24,$6:$6)+100)/100</f>
        <v>1</v>
      </c>
      <c r="F25" s="3471" t="s">
        <v>4397</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2412</v>
      </c>
      <c r="S25" s="665">
        <f t="shared" ref="S25:S88" ca="1" si="11">ROUND(R25*B25/10000,4)</f>
        <v>1.9778</v>
      </c>
    </row>
    <row r="26" spans="1:45">
      <c r="A26" s="150" t="s">
        <v>3448</v>
      </c>
      <c r="B26" s="3473">
        <v>10.63</v>
      </c>
      <c r="C26" s="21">
        <f t="shared" ref="C26:C89" si="12">IF(B26="",1,(LOOKUP(B26,$3:$3,$4:$4)-LOOKUP($B$24,$3:$3,$4:$4)+100)/100)</f>
        <v>1</v>
      </c>
      <c r="D26" s="3466" t="s">
        <v>3442</v>
      </c>
      <c r="E26" s="21">
        <f t="shared" ref="E26:E89" si="13">(SUMIF($5:$5,D26,$6:$6)-SUMIF($5:$5,$D$24,$6:$6)+100)/100</f>
        <v>1</v>
      </c>
      <c r="F26" s="3471" t="s">
        <v>4391</v>
      </c>
      <c r="G26" s="21">
        <f t="shared" ref="G26:G89" si="14">(SUMIF($7:$7,F26,$8:$8)-SUMIF($7:$7,$F$24,$8:$8)+100)/100</f>
        <v>1.2</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2866</v>
      </c>
      <c r="S26" s="665">
        <f t="shared" ca="1" si="11"/>
        <v>3.0466000000000002</v>
      </c>
    </row>
    <row r="27" spans="1:45">
      <c r="A27" s="150" t="s">
        <v>3451</v>
      </c>
      <c r="B27" s="3473">
        <v>10.5</v>
      </c>
      <c r="C27" s="21">
        <f t="shared" si="12"/>
        <v>1</v>
      </c>
      <c r="D27" s="3466" t="s">
        <v>3442</v>
      </c>
      <c r="E27" s="21">
        <f t="shared" si="13"/>
        <v>1</v>
      </c>
      <c r="F27" s="3471" t="s">
        <v>4397</v>
      </c>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2388</v>
      </c>
      <c r="S27" s="665">
        <f t="shared" ca="1" si="11"/>
        <v>2.5074000000000001</v>
      </c>
    </row>
    <row r="28" spans="1:45">
      <c r="A28" s="150" t="s">
        <v>3454</v>
      </c>
      <c r="B28" s="3473">
        <v>7.68</v>
      </c>
      <c r="C28" s="21">
        <f t="shared" si="12"/>
        <v>1.01</v>
      </c>
      <c r="D28" s="3466" t="s">
        <v>3442</v>
      </c>
      <c r="E28" s="21">
        <f t="shared" si="13"/>
        <v>1</v>
      </c>
      <c r="F28" s="3471" t="s">
        <v>4397</v>
      </c>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2412</v>
      </c>
      <c r="S28" s="665">
        <f t="shared" ca="1" si="11"/>
        <v>1.8524</v>
      </c>
    </row>
    <row r="29" spans="1:45">
      <c r="A29" s="150" t="s">
        <v>3457</v>
      </c>
      <c r="B29" s="3473">
        <v>8.31</v>
      </c>
      <c r="C29" s="21">
        <f t="shared" si="12"/>
        <v>1.01</v>
      </c>
      <c r="D29" s="3466" t="s">
        <v>3442</v>
      </c>
      <c r="E29" s="21">
        <f t="shared" si="13"/>
        <v>1</v>
      </c>
      <c r="F29" s="3471" t="s">
        <v>4397</v>
      </c>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2412</v>
      </c>
      <c r="S29" s="665">
        <f t="shared" ca="1" si="11"/>
        <v>2.0044</v>
      </c>
    </row>
    <row r="30" spans="1:45">
      <c r="A30" s="150" t="s">
        <v>3460</v>
      </c>
      <c r="B30" s="3473">
        <v>10.6</v>
      </c>
      <c r="C30" s="21">
        <f t="shared" si="12"/>
        <v>1</v>
      </c>
      <c r="D30" s="3466" t="s">
        <v>3442</v>
      </c>
      <c r="E30" s="21">
        <f t="shared" si="13"/>
        <v>1</v>
      </c>
      <c r="F30" s="3471" t="s">
        <v>4397</v>
      </c>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2388</v>
      </c>
      <c r="S30" s="665">
        <f t="shared" ca="1" si="11"/>
        <v>2.5312999999999999</v>
      </c>
    </row>
    <row r="31" spans="1:45">
      <c r="A31" s="150" t="s">
        <v>3463</v>
      </c>
      <c r="B31" s="3473">
        <v>10.6</v>
      </c>
      <c r="C31" s="21">
        <f t="shared" si="12"/>
        <v>1</v>
      </c>
      <c r="D31" s="3466" t="s">
        <v>3442</v>
      </c>
      <c r="E31" s="21">
        <f t="shared" si="13"/>
        <v>1</v>
      </c>
      <c r="F31" s="3471" t="s">
        <v>4397</v>
      </c>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2388</v>
      </c>
      <c r="S31" s="665">
        <f t="shared" ca="1" si="11"/>
        <v>2.5312999999999999</v>
      </c>
    </row>
    <row r="32" spans="1:45">
      <c r="A32" s="150" t="s">
        <v>3466</v>
      </c>
      <c r="B32" s="3473">
        <v>10.6</v>
      </c>
      <c r="C32" s="21">
        <f t="shared" si="12"/>
        <v>1</v>
      </c>
      <c r="D32" s="3466" t="s">
        <v>3442</v>
      </c>
      <c r="E32" s="21">
        <f t="shared" si="13"/>
        <v>1</v>
      </c>
      <c r="F32" s="3471" t="s">
        <v>4397</v>
      </c>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2388</v>
      </c>
      <c r="S32" s="665">
        <f t="shared" ca="1" si="11"/>
        <v>2.5312999999999999</v>
      </c>
    </row>
    <row r="33" spans="1:19">
      <c r="A33" s="150" t="s">
        <v>3469</v>
      </c>
      <c r="B33" s="3473">
        <v>10.6</v>
      </c>
      <c r="C33" s="21">
        <f t="shared" si="12"/>
        <v>1</v>
      </c>
      <c r="D33" s="3466" t="s">
        <v>3442</v>
      </c>
      <c r="E33" s="21">
        <f t="shared" si="13"/>
        <v>1</v>
      </c>
      <c r="F33" s="3471" t="s">
        <v>4397</v>
      </c>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2388</v>
      </c>
      <c r="S33" s="665">
        <f t="shared" ca="1" si="11"/>
        <v>2.5312999999999999</v>
      </c>
    </row>
    <row r="34" spans="1:19">
      <c r="A34" s="150" t="s">
        <v>3472</v>
      </c>
      <c r="B34" s="3473">
        <v>8.31</v>
      </c>
      <c r="C34" s="21">
        <f t="shared" si="12"/>
        <v>1.01</v>
      </c>
      <c r="D34" s="3466" t="s">
        <v>3442</v>
      </c>
      <c r="E34" s="21">
        <f t="shared" si="13"/>
        <v>1</v>
      </c>
      <c r="F34" s="3471" t="s">
        <v>4397</v>
      </c>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2412</v>
      </c>
      <c r="S34" s="665">
        <f t="shared" ca="1" si="11"/>
        <v>2.0044</v>
      </c>
    </row>
    <row r="35" spans="1:19">
      <c r="A35" s="150" t="s">
        <v>3475</v>
      </c>
      <c r="B35" s="3473">
        <v>7.68</v>
      </c>
      <c r="C35" s="21">
        <f t="shared" si="12"/>
        <v>1.01</v>
      </c>
      <c r="D35" s="3466" t="s">
        <v>3442</v>
      </c>
      <c r="E35" s="21">
        <f t="shared" si="13"/>
        <v>1</v>
      </c>
      <c r="F35" s="3471" t="s">
        <v>4397</v>
      </c>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2412</v>
      </c>
      <c r="S35" s="665">
        <f t="shared" ca="1" si="11"/>
        <v>1.8524</v>
      </c>
    </row>
    <row r="36" spans="1:19">
      <c r="A36" s="150" t="s">
        <v>3478</v>
      </c>
      <c r="B36" s="3473">
        <v>6.43</v>
      </c>
      <c r="C36" s="21">
        <f t="shared" si="12"/>
        <v>1.01</v>
      </c>
      <c r="D36" s="3466" t="s">
        <v>3442</v>
      </c>
      <c r="E36" s="21">
        <f t="shared" si="13"/>
        <v>1</v>
      </c>
      <c r="F36" s="3471" t="s">
        <v>4397</v>
      </c>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2412</v>
      </c>
      <c r="S36" s="665">
        <f t="shared" ca="1" si="11"/>
        <v>1.5508999999999999</v>
      </c>
    </row>
    <row r="37" spans="1:19">
      <c r="A37" s="150" t="s">
        <v>3481</v>
      </c>
      <c r="B37" s="3473">
        <v>4.4000000000000004</v>
      </c>
      <c r="C37" s="21">
        <f t="shared" si="12"/>
        <v>1.02</v>
      </c>
      <c r="D37" s="3466" t="s">
        <v>3442</v>
      </c>
      <c r="E37" s="21">
        <f t="shared" si="13"/>
        <v>1</v>
      </c>
      <c r="F37" s="3471" t="s">
        <v>4397</v>
      </c>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2436</v>
      </c>
      <c r="S37" s="665">
        <f t="shared" ca="1" si="11"/>
        <v>1.0718000000000001</v>
      </c>
    </row>
    <row r="38" spans="1:19">
      <c r="A38" s="150" t="s">
        <v>3484</v>
      </c>
      <c r="B38" s="3473">
        <v>10.56</v>
      </c>
      <c r="C38" s="21">
        <f t="shared" si="12"/>
        <v>1</v>
      </c>
      <c r="D38" s="3466" t="s">
        <v>3442</v>
      </c>
      <c r="E38" s="21">
        <f t="shared" si="13"/>
        <v>1</v>
      </c>
      <c r="F38" s="3471" t="s">
        <v>4391</v>
      </c>
      <c r="G38" s="21">
        <f t="shared" si="14"/>
        <v>1.2</v>
      </c>
      <c r="H38" s="666"/>
      <c r="I38" s="21">
        <f t="shared" si="15"/>
        <v>1</v>
      </c>
      <c r="J38" s="666"/>
      <c r="K38" s="21">
        <f t="shared" si="16"/>
        <v>1</v>
      </c>
      <c r="L38" s="666"/>
      <c r="M38" s="21">
        <f t="shared" si="17"/>
        <v>1</v>
      </c>
      <c r="N38" s="666"/>
      <c r="O38" s="21">
        <f t="shared" si="18"/>
        <v>1</v>
      </c>
      <c r="P38" s="666"/>
      <c r="Q38" s="21">
        <f t="shared" si="19"/>
        <v>1</v>
      </c>
      <c r="R38" s="662">
        <f t="shared" ca="1" si="20"/>
        <v>2866</v>
      </c>
      <c r="S38" s="665">
        <f t="shared" ca="1" si="11"/>
        <v>3.0265</v>
      </c>
    </row>
    <row r="39" spans="1:19">
      <c r="A39" s="150" t="s">
        <v>3487</v>
      </c>
      <c r="B39" s="3473">
        <v>4.4000000000000004</v>
      </c>
      <c r="C39" s="21">
        <f t="shared" si="12"/>
        <v>1.02</v>
      </c>
      <c r="D39" s="3466" t="s">
        <v>3442</v>
      </c>
      <c r="E39" s="21">
        <f t="shared" si="13"/>
        <v>1</v>
      </c>
      <c r="F39" s="3471" t="s">
        <v>4397</v>
      </c>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2436</v>
      </c>
      <c r="S39" s="665">
        <f t="shared" ca="1" si="11"/>
        <v>1.0718000000000001</v>
      </c>
    </row>
    <row r="40" spans="1:19">
      <c r="A40" s="150" t="s">
        <v>3490</v>
      </c>
      <c r="B40" s="3473">
        <v>6.43</v>
      </c>
      <c r="C40" s="21">
        <f t="shared" si="12"/>
        <v>1.01</v>
      </c>
      <c r="D40" s="3466" t="s">
        <v>3442</v>
      </c>
      <c r="E40" s="21">
        <f t="shared" si="13"/>
        <v>1</v>
      </c>
      <c r="F40" s="3471" t="s">
        <v>4397</v>
      </c>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2412</v>
      </c>
      <c r="S40" s="665">
        <f t="shared" ca="1" si="11"/>
        <v>1.5508999999999999</v>
      </c>
    </row>
    <row r="41" spans="1:19">
      <c r="A41" s="150" t="s">
        <v>3493</v>
      </c>
      <c r="B41" s="3473">
        <v>10.6</v>
      </c>
      <c r="C41" s="21">
        <f t="shared" si="12"/>
        <v>1</v>
      </c>
      <c r="D41" s="3466" t="s">
        <v>3442</v>
      </c>
      <c r="E41" s="21">
        <f t="shared" si="13"/>
        <v>1</v>
      </c>
      <c r="F41" s="3471" t="s">
        <v>4397</v>
      </c>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2388</v>
      </c>
      <c r="S41" s="665">
        <f t="shared" ca="1" si="11"/>
        <v>2.5312999999999999</v>
      </c>
    </row>
    <row r="42" spans="1:19">
      <c r="A42" s="150" t="s">
        <v>3496</v>
      </c>
      <c r="B42" s="3473">
        <v>10.6</v>
      </c>
      <c r="C42" s="21">
        <f t="shared" si="12"/>
        <v>1</v>
      </c>
      <c r="D42" s="3466" t="s">
        <v>3442</v>
      </c>
      <c r="E42" s="21">
        <f t="shared" si="13"/>
        <v>1</v>
      </c>
      <c r="F42" s="3471" t="s">
        <v>4397</v>
      </c>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2388</v>
      </c>
      <c r="S42" s="665">
        <f t="shared" ca="1" si="11"/>
        <v>2.5312999999999999</v>
      </c>
    </row>
    <row r="43" spans="1:19">
      <c r="A43" s="150" t="s">
        <v>3499</v>
      </c>
      <c r="B43" s="3473">
        <v>10.6</v>
      </c>
      <c r="C43" s="21">
        <f t="shared" si="12"/>
        <v>1</v>
      </c>
      <c r="D43" s="3466" t="s">
        <v>3442</v>
      </c>
      <c r="E43" s="21">
        <f t="shared" si="13"/>
        <v>1</v>
      </c>
      <c r="F43" s="3471" t="s">
        <v>4397</v>
      </c>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2388</v>
      </c>
      <c r="S43" s="665">
        <f t="shared" ca="1" si="11"/>
        <v>2.5312999999999999</v>
      </c>
    </row>
    <row r="44" spans="1:19">
      <c r="A44" s="150" t="s">
        <v>3502</v>
      </c>
      <c r="B44" s="3473">
        <v>10.6</v>
      </c>
      <c r="C44" s="21">
        <f t="shared" si="12"/>
        <v>1</v>
      </c>
      <c r="D44" s="3466" t="s">
        <v>3442</v>
      </c>
      <c r="E44" s="21">
        <f t="shared" si="13"/>
        <v>1</v>
      </c>
      <c r="F44" s="3471" t="s">
        <v>4397</v>
      </c>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2388</v>
      </c>
      <c r="S44" s="665">
        <f t="shared" ca="1" si="11"/>
        <v>2.5312999999999999</v>
      </c>
    </row>
    <row r="45" spans="1:19">
      <c r="A45" s="150" t="s">
        <v>3505</v>
      </c>
      <c r="B45" s="3473">
        <v>8.31</v>
      </c>
      <c r="C45" s="21">
        <f t="shared" si="12"/>
        <v>1.01</v>
      </c>
      <c r="D45" s="3466" t="s">
        <v>3442</v>
      </c>
      <c r="E45" s="21">
        <f t="shared" si="13"/>
        <v>1</v>
      </c>
      <c r="F45" s="3471" t="s">
        <v>4397</v>
      </c>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2412</v>
      </c>
      <c r="S45" s="665">
        <f t="shared" ca="1" si="11"/>
        <v>2.0044</v>
      </c>
    </row>
    <row r="46" spans="1:19">
      <c r="A46" s="150" t="s">
        <v>3508</v>
      </c>
      <c r="B46" s="3473">
        <v>7.58</v>
      </c>
      <c r="C46" s="21">
        <f t="shared" si="12"/>
        <v>1.01</v>
      </c>
      <c r="D46" s="3466" t="s">
        <v>3442</v>
      </c>
      <c r="E46" s="21">
        <f t="shared" si="13"/>
        <v>1</v>
      </c>
      <c r="F46" s="3471" t="s">
        <v>4397</v>
      </c>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2412</v>
      </c>
      <c r="S46" s="665">
        <f t="shared" ca="1" si="11"/>
        <v>1.8283</v>
      </c>
    </row>
    <row r="47" spans="1:19">
      <c r="A47" s="150" t="s">
        <v>3511</v>
      </c>
      <c r="B47" s="3473">
        <v>10.5</v>
      </c>
      <c r="C47" s="21">
        <f t="shared" si="12"/>
        <v>1</v>
      </c>
      <c r="D47" s="3466" t="s">
        <v>3442</v>
      </c>
      <c r="E47" s="21">
        <f t="shared" si="13"/>
        <v>1</v>
      </c>
      <c r="F47" s="3471" t="s">
        <v>4397</v>
      </c>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2388</v>
      </c>
      <c r="S47" s="665">
        <f t="shared" ca="1" si="11"/>
        <v>2.5074000000000001</v>
      </c>
    </row>
    <row r="48" spans="1:19">
      <c r="A48" s="150" t="s">
        <v>3514</v>
      </c>
      <c r="B48" s="3473">
        <v>10.7</v>
      </c>
      <c r="C48" s="21">
        <f t="shared" si="12"/>
        <v>1</v>
      </c>
      <c r="D48" s="3466" t="s">
        <v>3442</v>
      </c>
      <c r="E48" s="21">
        <f t="shared" si="13"/>
        <v>1</v>
      </c>
      <c r="F48" s="3471" t="s">
        <v>4391</v>
      </c>
      <c r="G48" s="21">
        <f t="shared" si="14"/>
        <v>1.2</v>
      </c>
      <c r="H48" s="666"/>
      <c r="I48" s="21">
        <f t="shared" si="15"/>
        <v>1</v>
      </c>
      <c r="J48" s="666"/>
      <c r="K48" s="21">
        <f t="shared" si="16"/>
        <v>1</v>
      </c>
      <c r="L48" s="666"/>
      <c r="M48" s="21">
        <f t="shared" si="17"/>
        <v>1</v>
      </c>
      <c r="N48" s="666"/>
      <c r="O48" s="21">
        <f t="shared" si="18"/>
        <v>1</v>
      </c>
      <c r="P48" s="666"/>
      <c r="Q48" s="21">
        <f t="shared" si="19"/>
        <v>1</v>
      </c>
      <c r="R48" s="662">
        <f t="shared" ca="1" si="20"/>
        <v>2866</v>
      </c>
      <c r="S48" s="665">
        <f t="shared" ca="1" si="11"/>
        <v>3.0666000000000002</v>
      </c>
    </row>
    <row r="49" spans="1:19">
      <c r="A49" s="150" t="s">
        <v>3517</v>
      </c>
      <c r="B49" s="3473">
        <v>8.32</v>
      </c>
      <c r="C49" s="21">
        <f t="shared" si="12"/>
        <v>1.01</v>
      </c>
      <c r="D49" s="3466" t="s">
        <v>3442</v>
      </c>
      <c r="E49" s="21">
        <f t="shared" si="13"/>
        <v>1</v>
      </c>
      <c r="F49" s="3471" t="s">
        <v>4397</v>
      </c>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2412</v>
      </c>
      <c r="S49" s="665">
        <f t="shared" ca="1" si="11"/>
        <v>2.0068000000000001</v>
      </c>
    </row>
    <row r="50" spans="1:19">
      <c r="A50" s="150" t="s">
        <v>3520</v>
      </c>
      <c r="B50" s="3473">
        <v>10.4</v>
      </c>
      <c r="C50" s="21">
        <f t="shared" si="12"/>
        <v>1</v>
      </c>
      <c r="D50" s="3466" t="s">
        <v>3442</v>
      </c>
      <c r="E50" s="21">
        <f t="shared" si="13"/>
        <v>1</v>
      </c>
      <c r="F50" s="3471" t="s">
        <v>4397</v>
      </c>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2388</v>
      </c>
      <c r="S50" s="665">
        <f t="shared" ca="1" si="11"/>
        <v>2.4834999999999998</v>
      </c>
    </row>
    <row r="51" spans="1:19">
      <c r="A51" s="150" t="s">
        <v>3523</v>
      </c>
      <c r="B51" s="3473">
        <v>10.32</v>
      </c>
      <c r="C51" s="21">
        <f t="shared" si="12"/>
        <v>1</v>
      </c>
      <c r="D51" s="3466" t="s">
        <v>3524</v>
      </c>
      <c r="E51" s="21">
        <f t="shared" si="13"/>
        <v>0.9</v>
      </c>
      <c r="F51" s="3471" t="s">
        <v>4397</v>
      </c>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2149</v>
      </c>
      <c r="S51" s="665">
        <f t="shared" ca="1" si="11"/>
        <v>2.2178</v>
      </c>
    </row>
    <row r="52" spans="1:19">
      <c r="A52" s="150" t="s">
        <v>3527</v>
      </c>
      <c r="B52" s="3473">
        <v>9.06</v>
      </c>
      <c r="C52" s="21">
        <f t="shared" si="12"/>
        <v>1.01</v>
      </c>
      <c r="D52" s="3466" t="s">
        <v>3524</v>
      </c>
      <c r="E52" s="21">
        <f t="shared" si="13"/>
        <v>0.9</v>
      </c>
      <c r="F52" s="3471" t="s">
        <v>4397</v>
      </c>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2171</v>
      </c>
      <c r="S52" s="665">
        <f t="shared" ca="1" si="11"/>
        <v>1.9669000000000001</v>
      </c>
    </row>
    <row r="53" spans="1:19">
      <c r="A53" s="150" t="s">
        <v>3530</v>
      </c>
      <c r="B53" s="3473">
        <v>9.06</v>
      </c>
      <c r="C53" s="21">
        <f t="shared" si="12"/>
        <v>1.01</v>
      </c>
      <c r="D53" s="3466" t="s">
        <v>3524</v>
      </c>
      <c r="E53" s="21">
        <f t="shared" si="13"/>
        <v>0.9</v>
      </c>
      <c r="F53" s="3471" t="s">
        <v>4397</v>
      </c>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2171</v>
      </c>
      <c r="S53" s="665">
        <f t="shared" ca="1" si="11"/>
        <v>1.9669000000000001</v>
      </c>
    </row>
    <row r="54" spans="1:19">
      <c r="A54" s="150" t="s">
        <v>3533</v>
      </c>
      <c r="B54" s="3473">
        <v>6.9</v>
      </c>
      <c r="C54" s="21">
        <f t="shared" si="12"/>
        <v>1.01</v>
      </c>
      <c r="D54" s="3466" t="s">
        <v>3524</v>
      </c>
      <c r="E54" s="21">
        <f t="shared" si="13"/>
        <v>0.9</v>
      </c>
      <c r="F54" s="3471" t="s">
        <v>4397</v>
      </c>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2171</v>
      </c>
      <c r="S54" s="665">
        <f t="shared" ca="1" si="11"/>
        <v>1.498</v>
      </c>
    </row>
    <row r="55" spans="1:19">
      <c r="A55" s="150" t="s">
        <v>3536</v>
      </c>
      <c r="B55" s="3473">
        <v>11.93</v>
      </c>
      <c r="C55" s="21">
        <f t="shared" si="12"/>
        <v>1</v>
      </c>
      <c r="D55" s="3466" t="s">
        <v>3524</v>
      </c>
      <c r="E55" s="21">
        <f t="shared" si="13"/>
        <v>0.9</v>
      </c>
      <c r="F55" s="3471" t="s">
        <v>4391</v>
      </c>
      <c r="G55" s="21">
        <f t="shared" si="14"/>
        <v>1.2</v>
      </c>
      <c r="H55" s="666"/>
      <c r="I55" s="21">
        <f t="shared" si="15"/>
        <v>1</v>
      </c>
      <c r="J55" s="666"/>
      <c r="K55" s="21">
        <f t="shared" si="16"/>
        <v>1</v>
      </c>
      <c r="L55" s="666"/>
      <c r="M55" s="21">
        <f t="shared" si="17"/>
        <v>1</v>
      </c>
      <c r="N55" s="666"/>
      <c r="O55" s="21">
        <f t="shared" si="18"/>
        <v>1</v>
      </c>
      <c r="P55" s="666"/>
      <c r="Q55" s="21">
        <f t="shared" si="19"/>
        <v>1</v>
      </c>
      <c r="R55" s="662">
        <f t="shared" ca="1" si="20"/>
        <v>2579</v>
      </c>
      <c r="S55" s="665">
        <f t="shared" ca="1" si="11"/>
        <v>3.0767000000000002</v>
      </c>
    </row>
    <row r="56" spans="1:19">
      <c r="A56" s="150" t="s">
        <v>3539</v>
      </c>
      <c r="B56" s="3473">
        <v>5.27</v>
      </c>
      <c r="C56" s="21">
        <f t="shared" si="12"/>
        <v>1.01</v>
      </c>
      <c r="D56" s="3466" t="s">
        <v>3524</v>
      </c>
      <c r="E56" s="21">
        <f t="shared" si="13"/>
        <v>0.9</v>
      </c>
      <c r="F56" s="3471" t="s">
        <v>4397</v>
      </c>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2171</v>
      </c>
      <c r="S56" s="665">
        <f t="shared" ca="1" si="11"/>
        <v>1.1440999999999999</v>
      </c>
    </row>
    <row r="57" spans="1:19">
      <c r="A57" s="150" t="s">
        <v>3542</v>
      </c>
      <c r="B57" s="3473">
        <v>8.31</v>
      </c>
      <c r="C57" s="21">
        <f t="shared" si="12"/>
        <v>1.01</v>
      </c>
      <c r="D57" s="3466" t="s">
        <v>3524</v>
      </c>
      <c r="E57" s="21">
        <f t="shared" si="13"/>
        <v>0.9</v>
      </c>
      <c r="F57" s="3471" t="s">
        <v>4397</v>
      </c>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2171</v>
      </c>
      <c r="S57" s="665">
        <f t="shared" ca="1" si="11"/>
        <v>1.8041</v>
      </c>
    </row>
    <row r="58" spans="1:19">
      <c r="A58" s="150" t="s">
        <v>3545</v>
      </c>
      <c r="B58" s="3473">
        <v>6.8</v>
      </c>
      <c r="C58" s="21">
        <f t="shared" si="12"/>
        <v>1.01</v>
      </c>
      <c r="D58" s="3466" t="s">
        <v>3524</v>
      </c>
      <c r="E58" s="21">
        <f t="shared" si="13"/>
        <v>0.9</v>
      </c>
      <c r="F58" s="3471" t="s">
        <v>4397</v>
      </c>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2171</v>
      </c>
      <c r="S58" s="665">
        <f t="shared" ca="1" si="11"/>
        <v>1.4762999999999999</v>
      </c>
    </row>
    <row r="59" spans="1:19">
      <c r="A59" s="150" t="s">
        <v>3548</v>
      </c>
      <c r="B59" s="3473">
        <v>7.82</v>
      </c>
      <c r="C59" s="21">
        <f t="shared" si="12"/>
        <v>1.01</v>
      </c>
      <c r="D59" s="3466" t="s">
        <v>3524</v>
      </c>
      <c r="E59" s="21">
        <f t="shared" si="13"/>
        <v>0.9</v>
      </c>
      <c r="F59" s="3471" t="s">
        <v>4392</v>
      </c>
      <c r="G59" s="21">
        <f t="shared" si="14"/>
        <v>1.2</v>
      </c>
      <c r="H59" s="666"/>
      <c r="I59" s="21">
        <f t="shared" si="15"/>
        <v>1</v>
      </c>
      <c r="J59" s="666"/>
      <c r="K59" s="21">
        <f t="shared" si="16"/>
        <v>1</v>
      </c>
      <c r="L59" s="666"/>
      <c r="M59" s="21">
        <f t="shared" si="17"/>
        <v>1</v>
      </c>
      <c r="N59" s="666"/>
      <c r="O59" s="21">
        <f t="shared" si="18"/>
        <v>1</v>
      </c>
      <c r="P59" s="666"/>
      <c r="Q59" s="21">
        <f t="shared" si="19"/>
        <v>1</v>
      </c>
      <c r="R59" s="662">
        <f t="shared" ca="1" si="20"/>
        <v>2605</v>
      </c>
      <c r="S59" s="665">
        <f t="shared" ca="1" si="11"/>
        <v>2.0371000000000001</v>
      </c>
    </row>
    <row r="60" spans="1:19">
      <c r="A60" s="150" t="s">
        <v>3551</v>
      </c>
      <c r="B60" s="3473">
        <v>9.82</v>
      </c>
      <c r="C60" s="21">
        <f t="shared" si="12"/>
        <v>1.01</v>
      </c>
      <c r="D60" s="3466" t="s">
        <v>3524</v>
      </c>
      <c r="E60" s="21">
        <f t="shared" si="13"/>
        <v>0.9</v>
      </c>
      <c r="F60" s="3471" t="s">
        <v>4397</v>
      </c>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2171</v>
      </c>
      <c r="S60" s="665">
        <f t="shared" ca="1" si="11"/>
        <v>2.1318999999999999</v>
      </c>
    </row>
    <row r="61" spans="1:19">
      <c r="A61" s="150" t="s">
        <v>3554</v>
      </c>
      <c r="B61" s="3473">
        <v>7.69</v>
      </c>
      <c r="C61" s="21">
        <f t="shared" si="12"/>
        <v>1.01</v>
      </c>
      <c r="D61" s="3466" t="s">
        <v>3524</v>
      </c>
      <c r="E61" s="21">
        <f t="shared" si="13"/>
        <v>0.9</v>
      </c>
      <c r="F61" s="3471" t="s">
        <v>4397</v>
      </c>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2171</v>
      </c>
      <c r="S61" s="665">
        <f t="shared" ca="1" si="11"/>
        <v>1.6695</v>
      </c>
    </row>
    <row r="62" spans="1:19">
      <c r="A62" s="150" t="s">
        <v>3557</v>
      </c>
      <c r="B62" s="3473">
        <v>7.69</v>
      </c>
      <c r="C62" s="21">
        <f t="shared" si="12"/>
        <v>1.01</v>
      </c>
      <c r="D62" s="3466" t="s">
        <v>3524</v>
      </c>
      <c r="E62" s="21">
        <f t="shared" si="13"/>
        <v>0.9</v>
      </c>
      <c r="F62" s="3471" t="s">
        <v>4397</v>
      </c>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2171</v>
      </c>
      <c r="S62" s="665">
        <f t="shared" ca="1" si="11"/>
        <v>1.6695</v>
      </c>
    </row>
    <row r="63" spans="1:19">
      <c r="A63" s="150" t="s">
        <v>3560</v>
      </c>
      <c r="B63" s="3473">
        <v>7.69</v>
      </c>
      <c r="C63" s="21">
        <f t="shared" si="12"/>
        <v>1.01</v>
      </c>
      <c r="D63" s="3466" t="s">
        <v>3524</v>
      </c>
      <c r="E63" s="21">
        <f t="shared" si="13"/>
        <v>0.9</v>
      </c>
      <c r="F63" s="3471" t="s">
        <v>4397</v>
      </c>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2171</v>
      </c>
      <c r="S63" s="665">
        <f t="shared" ca="1" si="11"/>
        <v>1.6695</v>
      </c>
    </row>
    <row r="64" spans="1:19">
      <c r="A64" s="150" t="s">
        <v>3563</v>
      </c>
      <c r="B64" s="3473">
        <v>7.69</v>
      </c>
      <c r="C64" s="21">
        <f t="shared" si="12"/>
        <v>1.01</v>
      </c>
      <c r="D64" s="3466" t="s">
        <v>3524</v>
      </c>
      <c r="E64" s="21">
        <f t="shared" si="13"/>
        <v>0.9</v>
      </c>
      <c r="F64" s="3471" t="s">
        <v>4397</v>
      </c>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2171</v>
      </c>
      <c r="S64" s="665">
        <f t="shared" ca="1" si="11"/>
        <v>1.6695</v>
      </c>
    </row>
    <row r="65" spans="1:19">
      <c r="A65" s="150" t="s">
        <v>3566</v>
      </c>
      <c r="B65" s="3473">
        <v>9.82</v>
      </c>
      <c r="C65" s="21">
        <f t="shared" si="12"/>
        <v>1.01</v>
      </c>
      <c r="D65" s="3466" t="s">
        <v>3524</v>
      </c>
      <c r="E65" s="21">
        <f t="shared" si="13"/>
        <v>0.9</v>
      </c>
      <c r="F65" s="3471" t="s">
        <v>4397</v>
      </c>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2171</v>
      </c>
      <c r="S65" s="665">
        <f t="shared" ca="1" si="11"/>
        <v>2.1318999999999999</v>
      </c>
    </row>
    <row r="66" spans="1:19">
      <c r="A66" s="150" t="s">
        <v>3569</v>
      </c>
      <c r="B66" s="3473">
        <v>7.82</v>
      </c>
      <c r="C66" s="21">
        <f t="shared" si="12"/>
        <v>1.01</v>
      </c>
      <c r="D66" s="3466" t="s">
        <v>3524</v>
      </c>
      <c r="E66" s="21">
        <f t="shared" si="13"/>
        <v>0.9</v>
      </c>
      <c r="F66" s="3471" t="s">
        <v>4391</v>
      </c>
      <c r="G66" s="21">
        <f t="shared" si="14"/>
        <v>1.2</v>
      </c>
      <c r="H66" s="666"/>
      <c r="I66" s="21">
        <f t="shared" si="15"/>
        <v>1</v>
      </c>
      <c r="J66" s="666"/>
      <c r="K66" s="21">
        <f t="shared" si="16"/>
        <v>1</v>
      </c>
      <c r="L66" s="666"/>
      <c r="M66" s="21">
        <f t="shared" si="17"/>
        <v>1</v>
      </c>
      <c r="N66" s="666"/>
      <c r="O66" s="21">
        <f t="shared" si="18"/>
        <v>1</v>
      </c>
      <c r="P66" s="666"/>
      <c r="Q66" s="21">
        <f t="shared" si="19"/>
        <v>1</v>
      </c>
      <c r="R66" s="662">
        <f t="shared" ca="1" si="20"/>
        <v>2605</v>
      </c>
      <c r="S66" s="665">
        <f t="shared" ca="1" si="11"/>
        <v>2.0371000000000001</v>
      </c>
    </row>
    <row r="67" spans="1:19">
      <c r="A67" s="150" t="s">
        <v>3572</v>
      </c>
      <c r="B67" s="3473">
        <v>9.06</v>
      </c>
      <c r="C67" s="21">
        <f t="shared" si="12"/>
        <v>1.01</v>
      </c>
      <c r="D67" s="3466" t="s">
        <v>3524</v>
      </c>
      <c r="E67" s="21">
        <f t="shared" si="13"/>
        <v>0.9</v>
      </c>
      <c r="F67" s="3471" t="s">
        <v>4397</v>
      </c>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2171</v>
      </c>
      <c r="S67" s="665">
        <f t="shared" ca="1" si="11"/>
        <v>1.9669000000000001</v>
      </c>
    </row>
    <row r="68" spans="1:19">
      <c r="A68" s="150" t="s">
        <v>3575</v>
      </c>
      <c r="B68" s="3473">
        <v>9.06</v>
      </c>
      <c r="C68" s="21">
        <f t="shared" si="12"/>
        <v>1.01</v>
      </c>
      <c r="D68" s="3466" t="s">
        <v>3524</v>
      </c>
      <c r="E68" s="21">
        <f t="shared" si="13"/>
        <v>0.9</v>
      </c>
      <c r="F68" s="3471" t="s">
        <v>4397</v>
      </c>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2171</v>
      </c>
      <c r="S68" s="665">
        <f t="shared" ca="1" si="11"/>
        <v>1.9669000000000001</v>
      </c>
    </row>
    <row r="69" spans="1:19">
      <c r="A69" s="150" t="s">
        <v>3578</v>
      </c>
      <c r="B69" s="3473">
        <v>8.32</v>
      </c>
      <c r="C69" s="21">
        <f t="shared" si="12"/>
        <v>1.01</v>
      </c>
      <c r="D69" s="3466" t="s">
        <v>3524</v>
      </c>
      <c r="E69" s="21">
        <f t="shared" si="13"/>
        <v>0.9</v>
      </c>
      <c r="F69" s="3471" t="s">
        <v>4397</v>
      </c>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2171</v>
      </c>
      <c r="S69" s="665">
        <f t="shared" ca="1" si="11"/>
        <v>1.8063</v>
      </c>
    </row>
    <row r="70" spans="1:19">
      <c r="A70" s="150" t="s">
        <v>3582</v>
      </c>
      <c r="B70" s="3473">
        <v>8.24</v>
      </c>
      <c r="C70" s="21">
        <f t="shared" si="12"/>
        <v>1.01</v>
      </c>
      <c r="D70" s="3466" t="s">
        <v>3442</v>
      </c>
      <c r="E70" s="21">
        <f t="shared" si="13"/>
        <v>1</v>
      </c>
      <c r="F70" s="3471" t="s">
        <v>4397</v>
      </c>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2412</v>
      </c>
      <c r="S70" s="665">
        <f t="shared" ca="1" si="11"/>
        <v>1.9875</v>
      </c>
    </row>
    <row r="71" spans="1:19">
      <c r="A71" s="150" t="s">
        <v>3585</v>
      </c>
      <c r="B71" s="3473">
        <v>10.69</v>
      </c>
      <c r="C71" s="21">
        <f t="shared" si="12"/>
        <v>1</v>
      </c>
      <c r="D71" s="3466" t="s">
        <v>3442</v>
      </c>
      <c r="E71" s="21">
        <f t="shared" si="13"/>
        <v>1</v>
      </c>
      <c r="F71" s="3471" t="s">
        <v>4391</v>
      </c>
      <c r="G71" s="21">
        <f t="shared" si="14"/>
        <v>1.2</v>
      </c>
      <c r="H71" s="666"/>
      <c r="I71" s="21">
        <f t="shared" si="15"/>
        <v>1</v>
      </c>
      <c r="J71" s="666"/>
      <c r="K71" s="21">
        <f t="shared" si="16"/>
        <v>1</v>
      </c>
      <c r="L71" s="666"/>
      <c r="M71" s="21">
        <f t="shared" si="17"/>
        <v>1</v>
      </c>
      <c r="N71" s="666"/>
      <c r="O71" s="21">
        <f t="shared" si="18"/>
        <v>1</v>
      </c>
      <c r="P71" s="666"/>
      <c r="Q71" s="21">
        <f t="shared" si="19"/>
        <v>1</v>
      </c>
      <c r="R71" s="662">
        <f t="shared" ca="1" si="20"/>
        <v>2866</v>
      </c>
      <c r="S71" s="665">
        <f t="shared" ca="1" si="11"/>
        <v>3.0638000000000001</v>
      </c>
    </row>
    <row r="72" spans="1:19">
      <c r="A72" s="150" t="s">
        <v>3588</v>
      </c>
      <c r="B72" s="3473">
        <v>7.72</v>
      </c>
      <c r="C72" s="21">
        <f t="shared" si="12"/>
        <v>1.01</v>
      </c>
      <c r="D72" s="3466" t="s">
        <v>3442</v>
      </c>
      <c r="E72" s="21">
        <f t="shared" si="13"/>
        <v>1</v>
      </c>
      <c r="F72" s="3471" t="s">
        <v>4397</v>
      </c>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2412</v>
      </c>
      <c r="S72" s="665">
        <f t="shared" ca="1" si="11"/>
        <v>1.8621000000000001</v>
      </c>
    </row>
    <row r="73" spans="1:19">
      <c r="A73" s="150" t="s">
        <v>3591</v>
      </c>
      <c r="B73" s="3473">
        <v>8.35</v>
      </c>
      <c r="C73" s="21">
        <f t="shared" si="12"/>
        <v>1.01</v>
      </c>
      <c r="D73" s="3466" t="s">
        <v>3442</v>
      </c>
      <c r="E73" s="21">
        <f t="shared" si="13"/>
        <v>1</v>
      </c>
      <c r="F73" s="3471" t="s">
        <v>4397</v>
      </c>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2412</v>
      </c>
      <c r="S73" s="665">
        <f t="shared" ca="1" si="11"/>
        <v>2.0139999999999998</v>
      </c>
    </row>
    <row r="74" spans="1:19">
      <c r="A74" s="150" t="s">
        <v>3594</v>
      </c>
      <c r="B74" s="3473">
        <v>10.65</v>
      </c>
      <c r="C74" s="21">
        <f t="shared" si="12"/>
        <v>1</v>
      </c>
      <c r="D74" s="3466" t="s">
        <v>3442</v>
      </c>
      <c r="E74" s="21">
        <f t="shared" si="13"/>
        <v>1</v>
      </c>
      <c r="F74" s="3471" t="s">
        <v>4397</v>
      </c>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2388</v>
      </c>
      <c r="S74" s="665">
        <f t="shared" ca="1" si="11"/>
        <v>2.5432000000000001</v>
      </c>
    </row>
    <row r="75" spans="1:19">
      <c r="A75" s="150" t="s">
        <v>3597</v>
      </c>
      <c r="B75" s="3473">
        <v>10.65</v>
      </c>
      <c r="C75" s="21">
        <f t="shared" si="12"/>
        <v>1</v>
      </c>
      <c r="D75" s="3466" t="s">
        <v>3442</v>
      </c>
      <c r="E75" s="21">
        <f t="shared" si="13"/>
        <v>1</v>
      </c>
      <c r="F75" s="3471" t="s">
        <v>4397</v>
      </c>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2388</v>
      </c>
      <c r="S75" s="665">
        <f t="shared" ca="1" si="11"/>
        <v>2.5432000000000001</v>
      </c>
    </row>
    <row r="76" spans="1:19">
      <c r="A76" s="150" t="s">
        <v>3600</v>
      </c>
      <c r="B76" s="3473">
        <v>4.45</v>
      </c>
      <c r="C76" s="21">
        <f t="shared" si="12"/>
        <v>1.02</v>
      </c>
      <c r="D76" s="3466" t="s">
        <v>3442</v>
      </c>
      <c r="E76" s="21">
        <f t="shared" si="13"/>
        <v>1</v>
      </c>
      <c r="F76" s="3471" t="s">
        <v>4397</v>
      </c>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2436</v>
      </c>
      <c r="S76" s="665">
        <f t="shared" ca="1" si="11"/>
        <v>1.0840000000000001</v>
      </c>
    </row>
    <row r="77" spans="1:19">
      <c r="A77" s="150" t="s">
        <v>3603</v>
      </c>
      <c r="B77" s="3473">
        <v>7.2</v>
      </c>
      <c r="C77" s="21">
        <f t="shared" si="12"/>
        <v>1.01</v>
      </c>
      <c r="D77" s="3466" t="s">
        <v>3442</v>
      </c>
      <c r="E77" s="21">
        <f t="shared" si="13"/>
        <v>1</v>
      </c>
      <c r="F77" s="3471" t="s">
        <v>4397</v>
      </c>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2412</v>
      </c>
      <c r="S77" s="665">
        <f t="shared" ca="1" si="11"/>
        <v>1.7365999999999999</v>
      </c>
    </row>
    <row r="78" spans="1:19">
      <c r="A78" s="150" t="s">
        <v>3606</v>
      </c>
      <c r="B78" s="3473">
        <v>6.98</v>
      </c>
      <c r="C78" s="21">
        <f t="shared" si="12"/>
        <v>1.01</v>
      </c>
      <c r="D78" s="3466" t="s">
        <v>3442</v>
      </c>
      <c r="E78" s="21">
        <f t="shared" si="13"/>
        <v>1</v>
      </c>
      <c r="F78" s="3471" t="s">
        <v>4397</v>
      </c>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2412</v>
      </c>
      <c r="S78" s="665">
        <f t="shared" ca="1" si="11"/>
        <v>1.6836</v>
      </c>
    </row>
    <row r="79" spans="1:19">
      <c r="A79" s="150" t="s">
        <v>3609</v>
      </c>
      <c r="B79" s="3473">
        <v>7.45</v>
      </c>
      <c r="C79" s="21">
        <f t="shared" si="12"/>
        <v>1.01</v>
      </c>
      <c r="D79" s="3466" t="s">
        <v>3442</v>
      </c>
      <c r="E79" s="21">
        <f t="shared" si="13"/>
        <v>1</v>
      </c>
      <c r="F79" s="3471" t="s">
        <v>4397</v>
      </c>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2412</v>
      </c>
      <c r="S79" s="665">
        <f t="shared" ca="1" si="11"/>
        <v>1.7968999999999999</v>
      </c>
    </row>
    <row r="80" spans="1:19">
      <c r="A80" s="150" t="s">
        <v>3612</v>
      </c>
      <c r="B80" s="3473">
        <v>7.69</v>
      </c>
      <c r="C80" s="21">
        <f t="shared" si="12"/>
        <v>1.01</v>
      </c>
      <c r="D80" s="3466" t="s">
        <v>3442</v>
      </c>
      <c r="E80" s="21">
        <f t="shared" si="13"/>
        <v>1</v>
      </c>
      <c r="F80" s="3471" t="s">
        <v>4397</v>
      </c>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2412</v>
      </c>
      <c r="S80" s="665">
        <f t="shared" ca="1" si="11"/>
        <v>1.8548</v>
      </c>
    </row>
    <row r="81" spans="1:19">
      <c r="A81" s="150" t="s">
        <v>3615</v>
      </c>
      <c r="B81" s="3473">
        <v>10.38</v>
      </c>
      <c r="C81" s="21">
        <f t="shared" si="12"/>
        <v>1</v>
      </c>
      <c r="D81" s="3466" t="s">
        <v>3524</v>
      </c>
      <c r="E81" s="21">
        <f t="shared" si="13"/>
        <v>0.9</v>
      </c>
      <c r="F81" s="3471" t="s">
        <v>4397</v>
      </c>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2149</v>
      </c>
      <c r="S81" s="665">
        <f t="shared" ca="1" si="11"/>
        <v>2.2307000000000001</v>
      </c>
    </row>
    <row r="82" spans="1:19">
      <c r="A82" s="150" t="s">
        <v>3618</v>
      </c>
      <c r="B82" s="3473">
        <v>9.1</v>
      </c>
      <c r="C82" s="21">
        <f t="shared" si="12"/>
        <v>1.01</v>
      </c>
      <c r="D82" s="3466" t="s">
        <v>3524</v>
      </c>
      <c r="E82" s="21">
        <f t="shared" si="13"/>
        <v>0.9</v>
      </c>
      <c r="F82" s="3471" t="s">
        <v>4397</v>
      </c>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2171</v>
      </c>
      <c r="S82" s="665">
        <f t="shared" ca="1" si="11"/>
        <v>1.9756</v>
      </c>
    </row>
    <row r="83" spans="1:19">
      <c r="A83" s="150" t="s">
        <v>3621</v>
      </c>
      <c r="B83" s="3473">
        <v>9.1</v>
      </c>
      <c r="C83" s="21">
        <f t="shared" si="12"/>
        <v>1.01</v>
      </c>
      <c r="D83" s="3466" t="s">
        <v>3524</v>
      </c>
      <c r="E83" s="21">
        <f t="shared" si="13"/>
        <v>0.9</v>
      </c>
      <c r="F83" s="3471" t="s">
        <v>4397</v>
      </c>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2171</v>
      </c>
      <c r="S83" s="665">
        <f t="shared" ca="1" si="11"/>
        <v>1.9756</v>
      </c>
    </row>
    <row r="84" spans="1:19">
      <c r="A84" s="150" t="s">
        <v>3624</v>
      </c>
      <c r="B84" s="3473">
        <v>9.1</v>
      </c>
      <c r="C84" s="21">
        <f t="shared" si="12"/>
        <v>1.01</v>
      </c>
      <c r="D84" s="3466" t="s">
        <v>3524</v>
      </c>
      <c r="E84" s="21">
        <f t="shared" si="13"/>
        <v>0.9</v>
      </c>
      <c r="F84" s="3471" t="s">
        <v>4397</v>
      </c>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2171</v>
      </c>
      <c r="S84" s="665">
        <f t="shared" ca="1" si="11"/>
        <v>1.9756</v>
      </c>
    </row>
    <row r="85" spans="1:19">
      <c r="A85" s="150" t="s">
        <v>3627</v>
      </c>
      <c r="B85" s="3473">
        <v>8.24</v>
      </c>
      <c r="C85" s="21">
        <f t="shared" si="12"/>
        <v>1.01</v>
      </c>
      <c r="D85" s="3466" t="s">
        <v>3524</v>
      </c>
      <c r="E85" s="21">
        <f t="shared" si="13"/>
        <v>0.9</v>
      </c>
      <c r="F85" s="3471" t="s">
        <v>4397</v>
      </c>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2171</v>
      </c>
      <c r="S85" s="665">
        <f t="shared" ca="1" si="11"/>
        <v>1.7888999999999999</v>
      </c>
    </row>
    <row r="86" spans="1:19">
      <c r="A86" s="150" t="s">
        <v>3630</v>
      </c>
      <c r="B86" s="3473">
        <v>10.69</v>
      </c>
      <c r="C86" s="21">
        <f t="shared" si="12"/>
        <v>1</v>
      </c>
      <c r="D86" s="3466" t="s">
        <v>3524</v>
      </c>
      <c r="E86" s="21">
        <f t="shared" si="13"/>
        <v>0.9</v>
      </c>
      <c r="F86" s="3471" t="s">
        <v>4391</v>
      </c>
      <c r="G86" s="21">
        <f t="shared" si="14"/>
        <v>1.2</v>
      </c>
      <c r="H86" s="666"/>
      <c r="I86" s="21">
        <f t="shared" si="15"/>
        <v>1</v>
      </c>
      <c r="J86" s="666"/>
      <c r="K86" s="21">
        <f t="shared" si="16"/>
        <v>1</v>
      </c>
      <c r="L86" s="666"/>
      <c r="M86" s="21">
        <f t="shared" si="17"/>
        <v>1</v>
      </c>
      <c r="N86" s="666"/>
      <c r="O86" s="21">
        <f t="shared" si="18"/>
        <v>1</v>
      </c>
      <c r="P86" s="666"/>
      <c r="Q86" s="21">
        <f t="shared" si="19"/>
        <v>1</v>
      </c>
      <c r="R86" s="662">
        <f t="shared" ca="1" si="20"/>
        <v>2579</v>
      </c>
      <c r="S86" s="665">
        <f t="shared" ca="1" si="11"/>
        <v>2.7570000000000001</v>
      </c>
    </row>
    <row r="87" spans="1:19">
      <c r="A87" s="150" t="s">
        <v>3633</v>
      </c>
      <c r="B87" s="3473">
        <v>8.2200000000000006</v>
      </c>
      <c r="C87" s="21">
        <f t="shared" si="12"/>
        <v>1.01</v>
      </c>
      <c r="D87" s="3466" t="s">
        <v>3524</v>
      </c>
      <c r="E87" s="21">
        <f t="shared" si="13"/>
        <v>0.9</v>
      </c>
      <c r="F87" s="3471" t="s">
        <v>4397</v>
      </c>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2171</v>
      </c>
      <c r="S87" s="665">
        <f t="shared" ca="1" si="11"/>
        <v>1.7846</v>
      </c>
    </row>
    <row r="88" spans="1:19">
      <c r="A88" s="150" t="s">
        <v>3636</v>
      </c>
      <c r="B88" s="3473">
        <v>8.35</v>
      </c>
      <c r="C88" s="21">
        <f t="shared" si="12"/>
        <v>1.01</v>
      </c>
      <c r="D88" s="3466" t="s">
        <v>3524</v>
      </c>
      <c r="E88" s="21">
        <f t="shared" si="13"/>
        <v>0.9</v>
      </c>
      <c r="F88" s="3471" t="s">
        <v>4397</v>
      </c>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2171</v>
      </c>
      <c r="S88" s="665">
        <f t="shared" ca="1" si="11"/>
        <v>1.8128</v>
      </c>
    </row>
    <row r="89" spans="1:19">
      <c r="A89" s="150" t="s">
        <v>3639</v>
      </c>
      <c r="B89" s="3473">
        <v>10.65</v>
      </c>
      <c r="C89" s="21">
        <f t="shared" si="12"/>
        <v>1</v>
      </c>
      <c r="D89" s="3466" t="s">
        <v>3524</v>
      </c>
      <c r="E89" s="21">
        <f t="shared" si="13"/>
        <v>0.9</v>
      </c>
      <c r="F89" s="3471" t="s">
        <v>4397</v>
      </c>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2149</v>
      </c>
      <c r="S89" s="665">
        <f t="shared" ref="S89:S152" ca="1" si="21">ROUND(R89*B89/10000,4)</f>
        <v>2.2887</v>
      </c>
    </row>
    <row r="90" spans="1:19">
      <c r="A90" s="150" t="s">
        <v>3642</v>
      </c>
      <c r="B90" s="3473">
        <v>10.65</v>
      </c>
      <c r="C90" s="21">
        <f t="shared" ref="C90:C153" si="22">IF(B90="",1,(LOOKUP(B90,$3:$3,$4:$4)-LOOKUP($B$24,$3:$3,$4:$4)+100)/100)</f>
        <v>1</v>
      </c>
      <c r="D90" s="3466" t="s">
        <v>3524</v>
      </c>
      <c r="E90" s="21">
        <f t="shared" ref="E90:E153" si="23">(SUMIF($5:$5,D90,$6:$6)-SUMIF($5:$5,$D$24,$6:$6)+100)/100</f>
        <v>0.9</v>
      </c>
      <c r="F90" s="3471" t="s">
        <v>4397</v>
      </c>
      <c r="G90" s="21">
        <f t="shared" ref="G90:G153" si="24">(SUMIF($7:$7,F90,$8:$8)-SUMIF($7:$7,$F$24,$8:$8)+100)/100</f>
        <v>1</v>
      </c>
      <c r="H90" s="666"/>
      <c r="I90" s="21">
        <f t="shared" ref="I90:I153" si="25">(SUMIF($9:$9,H90,$10:$10)-SUMIF($9:$9,$H$24,$10:$10)+100)/100</f>
        <v>1</v>
      </c>
      <c r="J90" s="666"/>
      <c r="K90" s="21">
        <f t="shared" ref="K90:K153" si="26">(SUMIF($11:$11,J90,$12:$12)-SUMIF($11:$11,$J$24,$12:$12)+100)/100</f>
        <v>1</v>
      </c>
      <c r="L90" s="666"/>
      <c r="M90" s="21">
        <f t="shared" ref="M90:M153" si="27">(SUMIF($13:$13,L90,$14:$14)-SUMIF($13:$13,$L$24,$14:$14)+100)/100</f>
        <v>1</v>
      </c>
      <c r="N90" s="666"/>
      <c r="O90" s="21">
        <f t="shared" ref="O90:O153" si="28">(SUMIF($15:$15,N90,$16:$16)-SUMIF($15:$15,$N$24,$16:$16)+100)/100</f>
        <v>1</v>
      </c>
      <c r="P90" s="666"/>
      <c r="Q90" s="21">
        <f t="shared" ref="Q90:Q153" si="29">(SUMIF($17:$17,P90,$18:$18)-SUMIF($17:$17,$P$24,$18:$18)+100)/100</f>
        <v>1</v>
      </c>
      <c r="R90" s="662">
        <f t="shared" ref="R90:R153" ca="1" si="30">IF(B90="",0,ROUND($R$24*C90*E90*G90*I90*K90*M90*O90*Q90,0))</f>
        <v>2149</v>
      </c>
      <c r="S90" s="665">
        <f t="shared" ca="1" si="21"/>
        <v>2.2887</v>
      </c>
    </row>
    <row r="91" spans="1:19">
      <c r="A91" s="150" t="s">
        <v>3645</v>
      </c>
      <c r="B91" s="3473">
        <v>7.86</v>
      </c>
      <c r="C91" s="21">
        <f t="shared" si="22"/>
        <v>1.01</v>
      </c>
      <c r="D91" s="3466" t="s">
        <v>3524</v>
      </c>
      <c r="E91" s="21">
        <f t="shared" si="23"/>
        <v>0.9</v>
      </c>
      <c r="F91" s="3471" t="s">
        <v>4391</v>
      </c>
      <c r="G91" s="21">
        <f t="shared" si="24"/>
        <v>1.2</v>
      </c>
      <c r="H91" s="666"/>
      <c r="I91" s="21">
        <f t="shared" si="25"/>
        <v>1</v>
      </c>
      <c r="J91" s="666"/>
      <c r="K91" s="21">
        <f t="shared" si="26"/>
        <v>1</v>
      </c>
      <c r="L91" s="666"/>
      <c r="M91" s="21">
        <f t="shared" si="27"/>
        <v>1</v>
      </c>
      <c r="N91" s="666"/>
      <c r="O91" s="21">
        <f t="shared" si="28"/>
        <v>1</v>
      </c>
      <c r="P91" s="666"/>
      <c r="Q91" s="21">
        <f t="shared" si="29"/>
        <v>1</v>
      </c>
      <c r="R91" s="662">
        <f t="shared" ca="1" si="30"/>
        <v>2605</v>
      </c>
      <c r="S91" s="665">
        <f t="shared" ca="1" si="21"/>
        <v>2.0474999999999999</v>
      </c>
    </row>
    <row r="92" spans="1:19">
      <c r="A92" s="150" t="s">
        <v>3648</v>
      </c>
      <c r="B92" s="3473">
        <v>7.86</v>
      </c>
      <c r="C92" s="21">
        <f t="shared" si="22"/>
        <v>1.01</v>
      </c>
      <c r="D92" s="3466" t="s">
        <v>3524</v>
      </c>
      <c r="E92" s="21">
        <f t="shared" si="23"/>
        <v>0.9</v>
      </c>
      <c r="F92" s="3471" t="s">
        <v>4397</v>
      </c>
      <c r="G92" s="21">
        <f t="shared" si="24"/>
        <v>1</v>
      </c>
      <c r="H92" s="666"/>
      <c r="I92" s="21">
        <f t="shared" si="25"/>
        <v>1</v>
      </c>
      <c r="J92" s="666"/>
      <c r="K92" s="21">
        <f t="shared" si="26"/>
        <v>1</v>
      </c>
      <c r="L92" s="666"/>
      <c r="M92" s="21">
        <f t="shared" si="27"/>
        <v>1</v>
      </c>
      <c r="N92" s="666"/>
      <c r="O92" s="21">
        <f t="shared" si="28"/>
        <v>1</v>
      </c>
      <c r="P92" s="666"/>
      <c r="Q92" s="21">
        <f t="shared" si="29"/>
        <v>1</v>
      </c>
      <c r="R92" s="662">
        <f t="shared" ca="1" si="30"/>
        <v>2171</v>
      </c>
      <c r="S92" s="665">
        <f t="shared" ca="1" si="21"/>
        <v>1.7063999999999999</v>
      </c>
    </row>
    <row r="93" spans="1:19">
      <c r="A93" s="150" t="s">
        <v>3651</v>
      </c>
      <c r="B93" s="3473">
        <v>7.2</v>
      </c>
      <c r="C93" s="21">
        <f t="shared" si="22"/>
        <v>1.01</v>
      </c>
      <c r="D93" s="3466" t="s">
        <v>3524</v>
      </c>
      <c r="E93" s="21">
        <f t="shared" si="23"/>
        <v>0.9</v>
      </c>
      <c r="F93" s="3471" t="s">
        <v>4397</v>
      </c>
      <c r="G93" s="21">
        <f t="shared" si="24"/>
        <v>1</v>
      </c>
      <c r="H93" s="666"/>
      <c r="I93" s="21">
        <f t="shared" si="25"/>
        <v>1</v>
      </c>
      <c r="J93" s="666"/>
      <c r="K93" s="21">
        <f t="shared" si="26"/>
        <v>1</v>
      </c>
      <c r="L93" s="666"/>
      <c r="M93" s="21">
        <f t="shared" si="27"/>
        <v>1</v>
      </c>
      <c r="N93" s="666"/>
      <c r="O93" s="21">
        <f t="shared" si="28"/>
        <v>1</v>
      </c>
      <c r="P93" s="666"/>
      <c r="Q93" s="21">
        <f t="shared" si="29"/>
        <v>1</v>
      </c>
      <c r="R93" s="662">
        <f t="shared" ca="1" si="30"/>
        <v>2171</v>
      </c>
      <c r="S93" s="665">
        <f t="shared" ca="1" si="21"/>
        <v>1.5630999999999999</v>
      </c>
    </row>
    <row r="94" spans="1:19">
      <c r="A94" s="150" t="s">
        <v>3654</v>
      </c>
      <c r="B94" s="3473">
        <v>7.5</v>
      </c>
      <c r="C94" s="21">
        <f t="shared" si="22"/>
        <v>1.01</v>
      </c>
      <c r="D94" s="3466" t="s">
        <v>3524</v>
      </c>
      <c r="E94" s="21">
        <f t="shared" si="23"/>
        <v>0.9</v>
      </c>
      <c r="F94" s="3471" t="s">
        <v>4397</v>
      </c>
      <c r="G94" s="21">
        <f t="shared" si="24"/>
        <v>1</v>
      </c>
      <c r="H94" s="666"/>
      <c r="I94" s="21">
        <f t="shared" si="25"/>
        <v>1</v>
      </c>
      <c r="J94" s="666"/>
      <c r="K94" s="21">
        <f t="shared" si="26"/>
        <v>1</v>
      </c>
      <c r="L94" s="666"/>
      <c r="M94" s="21">
        <f t="shared" si="27"/>
        <v>1</v>
      </c>
      <c r="N94" s="666"/>
      <c r="O94" s="21">
        <f t="shared" si="28"/>
        <v>1</v>
      </c>
      <c r="P94" s="666"/>
      <c r="Q94" s="21">
        <f t="shared" si="29"/>
        <v>1</v>
      </c>
      <c r="R94" s="662">
        <f t="shared" ca="1" si="30"/>
        <v>2171</v>
      </c>
      <c r="S94" s="665">
        <f t="shared" ca="1" si="21"/>
        <v>1.6283000000000001</v>
      </c>
    </row>
    <row r="95" spans="1:19">
      <c r="A95" s="150" t="s">
        <v>3657</v>
      </c>
      <c r="B95" s="3473">
        <v>7.73</v>
      </c>
      <c r="C95" s="21">
        <f t="shared" si="22"/>
        <v>1.01</v>
      </c>
      <c r="D95" s="3466" t="s">
        <v>3524</v>
      </c>
      <c r="E95" s="21">
        <f t="shared" si="23"/>
        <v>0.9</v>
      </c>
      <c r="F95" s="3471" t="s">
        <v>4397</v>
      </c>
      <c r="G95" s="21">
        <f t="shared" si="24"/>
        <v>1</v>
      </c>
      <c r="H95" s="666"/>
      <c r="I95" s="21">
        <f t="shared" si="25"/>
        <v>1</v>
      </c>
      <c r="J95" s="666"/>
      <c r="K95" s="21">
        <f t="shared" si="26"/>
        <v>1</v>
      </c>
      <c r="L95" s="666"/>
      <c r="M95" s="21">
        <f t="shared" si="27"/>
        <v>1</v>
      </c>
      <c r="N95" s="666"/>
      <c r="O95" s="21">
        <f t="shared" si="28"/>
        <v>1</v>
      </c>
      <c r="P95" s="666"/>
      <c r="Q95" s="21">
        <f t="shared" si="29"/>
        <v>1</v>
      </c>
      <c r="R95" s="662">
        <f t="shared" ca="1" si="30"/>
        <v>2171</v>
      </c>
      <c r="S95" s="665">
        <f t="shared" ca="1" si="21"/>
        <v>1.6781999999999999</v>
      </c>
    </row>
    <row r="96" spans="1:19">
      <c r="A96" s="150" t="s">
        <v>3660</v>
      </c>
      <c r="B96" s="3473">
        <v>9.8699999999999992</v>
      </c>
      <c r="C96" s="21">
        <f t="shared" si="22"/>
        <v>1.01</v>
      </c>
      <c r="D96" s="3466" t="s">
        <v>3524</v>
      </c>
      <c r="E96" s="21">
        <f t="shared" si="23"/>
        <v>0.9</v>
      </c>
      <c r="F96" s="3471" t="s">
        <v>4397</v>
      </c>
      <c r="G96" s="21">
        <f t="shared" si="24"/>
        <v>1</v>
      </c>
      <c r="H96" s="666"/>
      <c r="I96" s="21">
        <f t="shared" si="25"/>
        <v>1</v>
      </c>
      <c r="J96" s="666"/>
      <c r="K96" s="21">
        <f t="shared" si="26"/>
        <v>1</v>
      </c>
      <c r="L96" s="666"/>
      <c r="M96" s="21">
        <f t="shared" si="27"/>
        <v>1</v>
      </c>
      <c r="N96" s="666"/>
      <c r="O96" s="21">
        <f t="shared" si="28"/>
        <v>1</v>
      </c>
      <c r="P96" s="666"/>
      <c r="Q96" s="21">
        <f t="shared" si="29"/>
        <v>1</v>
      </c>
      <c r="R96" s="662">
        <f t="shared" ca="1" si="30"/>
        <v>2171</v>
      </c>
      <c r="S96" s="665">
        <f t="shared" ca="1" si="21"/>
        <v>2.1427999999999998</v>
      </c>
    </row>
    <row r="97" spans="1:19">
      <c r="A97" s="150" t="s">
        <v>3663</v>
      </c>
      <c r="B97" s="3473">
        <v>9.52</v>
      </c>
      <c r="C97" s="21">
        <f t="shared" si="22"/>
        <v>1.01</v>
      </c>
      <c r="D97" s="3466" t="s">
        <v>3524</v>
      </c>
      <c r="E97" s="21">
        <f t="shared" si="23"/>
        <v>0.9</v>
      </c>
      <c r="F97" s="3471" t="s">
        <v>4397</v>
      </c>
      <c r="G97" s="21">
        <f t="shared" si="24"/>
        <v>1</v>
      </c>
      <c r="H97" s="666"/>
      <c r="I97" s="21">
        <f t="shared" si="25"/>
        <v>1</v>
      </c>
      <c r="J97" s="666"/>
      <c r="K97" s="21">
        <f t="shared" si="26"/>
        <v>1</v>
      </c>
      <c r="L97" s="666"/>
      <c r="M97" s="21">
        <f t="shared" si="27"/>
        <v>1</v>
      </c>
      <c r="N97" s="666"/>
      <c r="O97" s="21">
        <f t="shared" si="28"/>
        <v>1</v>
      </c>
      <c r="P97" s="666"/>
      <c r="Q97" s="21">
        <f t="shared" si="29"/>
        <v>1</v>
      </c>
      <c r="R97" s="662">
        <f t="shared" ca="1" si="30"/>
        <v>2171</v>
      </c>
      <c r="S97" s="665">
        <f t="shared" ca="1" si="21"/>
        <v>2.0668000000000002</v>
      </c>
    </row>
    <row r="98" spans="1:19">
      <c r="A98" s="150" t="s">
        <v>3667</v>
      </c>
      <c r="B98" s="3473">
        <v>10.56</v>
      </c>
      <c r="C98" s="21">
        <f t="shared" si="22"/>
        <v>1</v>
      </c>
      <c r="D98" s="3466" t="s">
        <v>3442</v>
      </c>
      <c r="E98" s="21">
        <f t="shared" si="23"/>
        <v>1</v>
      </c>
      <c r="F98" s="3471" t="s">
        <v>4397</v>
      </c>
      <c r="G98" s="21">
        <f t="shared" si="24"/>
        <v>1</v>
      </c>
      <c r="H98" s="666"/>
      <c r="I98" s="21">
        <f t="shared" si="25"/>
        <v>1</v>
      </c>
      <c r="J98" s="666"/>
      <c r="K98" s="21">
        <f t="shared" si="26"/>
        <v>1</v>
      </c>
      <c r="L98" s="666"/>
      <c r="M98" s="21">
        <f t="shared" si="27"/>
        <v>1</v>
      </c>
      <c r="N98" s="666"/>
      <c r="O98" s="21">
        <f t="shared" si="28"/>
        <v>1</v>
      </c>
      <c r="P98" s="666"/>
      <c r="Q98" s="21">
        <f t="shared" si="29"/>
        <v>1</v>
      </c>
      <c r="R98" s="662">
        <f t="shared" ca="1" si="30"/>
        <v>2388</v>
      </c>
      <c r="S98" s="665">
        <f t="shared" ca="1" si="21"/>
        <v>2.5217000000000001</v>
      </c>
    </row>
    <row r="99" spans="1:19">
      <c r="A99" s="150" t="s">
        <v>3670</v>
      </c>
      <c r="B99" s="3473">
        <v>8.43</v>
      </c>
      <c r="C99" s="21">
        <f t="shared" si="22"/>
        <v>1.01</v>
      </c>
      <c r="D99" s="3466" t="s">
        <v>3442</v>
      </c>
      <c r="E99" s="21">
        <f t="shared" si="23"/>
        <v>1</v>
      </c>
      <c r="F99" s="3471" t="s">
        <v>4397</v>
      </c>
      <c r="G99" s="21">
        <f t="shared" si="24"/>
        <v>1</v>
      </c>
      <c r="H99" s="666"/>
      <c r="I99" s="21">
        <f t="shared" si="25"/>
        <v>1</v>
      </c>
      <c r="J99" s="666"/>
      <c r="K99" s="21">
        <f t="shared" si="26"/>
        <v>1</v>
      </c>
      <c r="L99" s="666"/>
      <c r="M99" s="21">
        <f t="shared" si="27"/>
        <v>1</v>
      </c>
      <c r="N99" s="666"/>
      <c r="O99" s="21">
        <f t="shared" si="28"/>
        <v>1</v>
      </c>
      <c r="P99" s="666"/>
      <c r="Q99" s="21">
        <f t="shared" si="29"/>
        <v>1</v>
      </c>
      <c r="R99" s="662">
        <f t="shared" ca="1" si="30"/>
        <v>2412</v>
      </c>
      <c r="S99" s="665">
        <f t="shared" ca="1" si="21"/>
        <v>2.0333000000000001</v>
      </c>
    </row>
    <row r="100" spans="1:19">
      <c r="A100" s="150" t="s">
        <v>3673</v>
      </c>
      <c r="B100" s="3473">
        <v>10.75</v>
      </c>
      <c r="C100" s="21">
        <f t="shared" si="22"/>
        <v>1</v>
      </c>
      <c r="D100" s="3466" t="s">
        <v>3442</v>
      </c>
      <c r="E100" s="21">
        <f t="shared" si="23"/>
        <v>1</v>
      </c>
      <c r="F100" s="3471" t="s">
        <v>4391</v>
      </c>
      <c r="G100" s="21">
        <f t="shared" si="24"/>
        <v>1.2</v>
      </c>
      <c r="H100" s="666"/>
      <c r="I100" s="21">
        <f t="shared" si="25"/>
        <v>1</v>
      </c>
      <c r="J100" s="666"/>
      <c r="K100" s="21">
        <f t="shared" si="26"/>
        <v>1</v>
      </c>
      <c r="L100" s="666"/>
      <c r="M100" s="21">
        <f t="shared" si="27"/>
        <v>1</v>
      </c>
      <c r="N100" s="666"/>
      <c r="O100" s="21">
        <f t="shared" si="28"/>
        <v>1</v>
      </c>
      <c r="P100" s="666"/>
      <c r="Q100" s="21">
        <f t="shared" si="29"/>
        <v>1</v>
      </c>
      <c r="R100" s="662">
        <f t="shared" ca="1" si="30"/>
        <v>2866</v>
      </c>
      <c r="S100" s="665">
        <f t="shared" ca="1" si="21"/>
        <v>3.081</v>
      </c>
    </row>
    <row r="101" spans="1:19">
      <c r="A101" s="150" t="s">
        <v>3676</v>
      </c>
      <c r="B101" s="3473">
        <v>10.64</v>
      </c>
      <c r="C101" s="21">
        <f t="shared" si="22"/>
        <v>1</v>
      </c>
      <c r="D101" s="3466" t="s">
        <v>3442</v>
      </c>
      <c r="E101" s="21">
        <f t="shared" si="23"/>
        <v>1</v>
      </c>
      <c r="F101" s="3471" t="s">
        <v>4397</v>
      </c>
      <c r="G101" s="21">
        <f t="shared" si="24"/>
        <v>1</v>
      </c>
      <c r="H101" s="666"/>
      <c r="I101" s="21">
        <f t="shared" si="25"/>
        <v>1</v>
      </c>
      <c r="J101" s="666"/>
      <c r="K101" s="21">
        <f t="shared" si="26"/>
        <v>1</v>
      </c>
      <c r="L101" s="666"/>
      <c r="M101" s="21">
        <f t="shared" si="27"/>
        <v>1</v>
      </c>
      <c r="N101" s="666"/>
      <c r="O101" s="21">
        <f t="shared" si="28"/>
        <v>1</v>
      </c>
      <c r="P101" s="666"/>
      <c r="Q101" s="21">
        <f t="shared" si="29"/>
        <v>1</v>
      </c>
      <c r="R101" s="662">
        <f t="shared" ca="1" si="30"/>
        <v>2388</v>
      </c>
      <c r="S101" s="665">
        <f t="shared" ca="1" si="21"/>
        <v>2.5407999999999999</v>
      </c>
    </row>
    <row r="102" spans="1:19">
      <c r="A102" s="150" t="s">
        <v>3679</v>
      </c>
      <c r="B102" s="3473">
        <v>10.64</v>
      </c>
      <c r="C102" s="21">
        <f t="shared" si="22"/>
        <v>1</v>
      </c>
      <c r="D102" s="3466" t="s">
        <v>3442</v>
      </c>
      <c r="E102" s="21">
        <f t="shared" si="23"/>
        <v>1</v>
      </c>
      <c r="F102" s="3471" t="s">
        <v>4397</v>
      </c>
      <c r="G102" s="21">
        <f t="shared" si="24"/>
        <v>1</v>
      </c>
      <c r="H102" s="666"/>
      <c r="I102" s="21">
        <f t="shared" si="25"/>
        <v>1</v>
      </c>
      <c r="J102" s="666"/>
      <c r="K102" s="21">
        <f t="shared" si="26"/>
        <v>1</v>
      </c>
      <c r="L102" s="666"/>
      <c r="M102" s="21">
        <f t="shared" si="27"/>
        <v>1</v>
      </c>
      <c r="N102" s="666"/>
      <c r="O102" s="21">
        <f t="shared" si="28"/>
        <v>1</v>
      </c>
      <c r="P102" s="666"/>
      <c r="Q102" s="21">
        <f t="shared" si="29"/>
        <v>1</v>
      </c>
      <c r="R102" s="662">
        <f t="shared" ca="1" si="30"/>
        <v>2388</v>
      </c>
      <c r="S102" s="665">
        <f t="shared" ca="1" si="21"/>
        <v>2.5407999999999999</v>
      </c>
    </row>
    <row r="103" spans="1:19">
      <c r="A103" s="150" t="s">
        <v>3682</v>
      </c>
      <c r="B103" s="3473">
        <v>10.64</v>
      </c>
      <c r="C103" s="21">
        <f t="shared" si="22"/>
        <v>1</v>
      </c>
      <c r="D103" s="3466" t="s">
        <v>3442</v>
      </c>
      <c r="E103" s="21">
        <f t="shared" si="23"/>
        <v>1</v>
      </c>
      <c r="F103" s="3471" t="s">
        <v>4397</v>
      </c>
      <c r="G103" s="21">
        <f t="shared" si="24"/>
        <v>1</v>
      </c>
      <c r="H103" s="666"/>
      <c r="I103" s="21">
        <f t="shared" si="25"/>
        <v>1</v>
      </c>
      <c r="J103" s="666"/>
      <c r="K103" s="21">
        <f t="shared" si="26"/>
        <v>1</v>
      </c>
      <c r="L103" s="666"/>
      <c r="M103" s="21">
        <f t="shared" si="27"/>
        <v>1</v>
      </c>
      <c r="N103" s="666"/>
      <c r="O103" s="21">
        <f t="shared" si="28"/>
        <v>1</v>
      </c>
      <c r="P103" s="666"/>
      <c r="Q103" s="21">
        <f t="shared" si="29"/>
        <v>1</v>
      </c>
      <c r="R103" s="662">
        <f t="shared" ca="1" si="30"/>
        <v>2388</v>
      </c>
      <c r="S103" s="665">
        <f t="shared" ca="1" si="21"/>
        <v>2.5407999999999999</v>
      </c>
    </row>
    <row r="104" spans="1:19">
      <c r="A104" s="150" t="s">
        <v>3685</v>
      </c>
      <c r="B104" s="3473">
        <v>10.64</v>
      </c>
      <c r="C104" s="21">
        <f t="shared" si="22"/>
        <v>1</v>
      </c>
      <c r="D104" s="3466" t="s">
        <v>3442</v>
      </c>
      <c r="E104" s="21">
        <f t="shared" si="23"/>
        <v>1</v>
      </c>
      <c r="F104" s="3471" t="s">
        <v>4397</v>
      </c>
      <c r="G104" s="21">
        <f t="shared" si="24"/>
        <v>1</v>
      </c>
      <c r="H104" s="666"/>
      <c r="I104" s="21">
        <f t="shared" si="25"/>
        <v>1</v>
      </c>
      <c r="J104" s="666"/>
      <c r="K104" s="21">
        <f t="shared" si="26"/>
        <v>1</v>
      </c>
      <c r="L104" s="666"/>
      <c r="M104" s="21">
        <f t="shared" si="27"/>
        <v>1</v>
      </c>
      <c r="N104" s="666"/>
      <c r="O104" s="21">
        <f t="shared" si="28"/>
        <v>1</v>
      </c>
      <c r="P104" s="666"/>
      <c r="Q104" s="21">
        <f t="shared" si="29"/>
        <v>1</v>
      </c>
      <c r="R104" s="662">
        <f t="shared" ca="1" si="30"/>
        <v>2388</v>
      </c>
      <c r="S104" s="665">
        <f t="shared" ca="1" si="21"/>
        <v>2.5407999999999999</v>
      </c>
    </row>
    <row r="105" spans="1:19">
      <c r="A105" s="150" t="s">
        <v>3688</v>
      </c>
      <c r="B105" s="3473">
        <v>8.35</v>
      </c>
      <c r="C105" s="21">
        <f t="shared" si="22"/>
        <v>1.01</v>
      </c>
      <c r="D105" s="3466" t="s">
        <v>3442</v>
      </c>
      <c r="E105" s="21">
        <f t="shared" si="23"/>
        <v>1</v>
      </c>
      <c r="F105" s="3471" t="s">
        <v>4397</v>
      </c>
      <c r="G105" s="21">
        <f t="shared" si="24"/>
        <v>1</v>
      </c>
      <c r="H105" s="666"/>
      <c r="I105" s="21">
        <f t="shared" si="25"/>
        <v>1</v>
      </c>
      <c r="J105" s="666"/>
      <c r="K105" s="21">
        <f t="shared" si="26"/>
        <v>1</v>
      </c>
      <c r="L105" s="666"/>
      <c r="M105" s="21">
        <f t="shared" si="27"/>
        <v>1</v>
      </c>
      <c r="N105" s="666"/>
      <c r="O105" s="21">
        <f t="shared" si="28"/>
        <v>1</v>
      </c>
      <c r="P105" s="666"/>
      <c r="Q105" s="21">
        <f t="shared" si="29"/>
        <v>1</v>
      </c>
      <c r="R105" s="662">
        <f t="shared" ca="1" si="30"/>
        <v>2412</v>
      </c>
      <c r="S105" s="665">
        <f t="shared" ca="1" si="21"/>
        <v>2.0139999999999998</v>
      </c>
    </row>
    <row r="106" spans="1:19">
      <c r="A106" s="150" t="s">
        <v>3691</v>
      </c>
      <c r="B106" s="3473">
        <v>7.84</v>
      </c>
      <c r="C106" s="21">
        <f t="shared" si="22"/>
        <v>1.01</v>
      </c>
      <c r="D106" s="3466" t="s">
        <v>3442</v>
      </c>
      <c r="E106" s="21">
        <f t="shared" si="23"/>
        <v>1</v>
      </c>
      <c r="F106" s="3471" t="s">
        <v>4397</v>
      </c>
      <c r="G106" s="21">
        <f t="shared" si="24"/>
        <v>1</v>
      </c>
      <c r="H106" s="666"/>
      <c r="I106" s="21">
        <f t="shared" si="25"/>
        <v>1</v>
      </c>
      <c r="J106" s="666"/>
      <c r="K106" s="21">
        <f t="shared" si="26"/>
        <v>1</v>
      </c>
      <c r="L106" s="666"/>
      <c r="M106" s="21">
        <f t="shared" si="27"/>
        <v>1</v>
      </c>
      <c r="N106" s="666"/>
      <c r="O106" s="21">
        <f t="shared" si="28"/>
        <v>1</v>
      </c>
      <c r="P106" s="666"/>
      <c r="Q106" s="21">
        <f t="shared" si="29"/>
        <v>1</v>
      </c>
      <c r="R106" s="662">
        <f t="shared" ca="1" si="30"/>
        <v>2412</v>
      </c>
      <c r="S106" s="665">
        <f t="shared" ca="1" si="21"/>
        <v>1.891</v>
      </c>
    </row>
    <row r="107" spans="1:19">
      <c r="A107" s="150" t="s">
        <v>3694</v>
      </c>
      <c r="B107" s="3473">
        <v>6.43</v>
      </c>
      <c r="C107" s="21">
        <f t="shared" si="22"/>
        <v>1.01</v>
      </c>
      <c r="D107" s="3466" t="s">
        <v>3442</v>
      </c>
      <c r="E107" s="21">
        <f t="shared" si="23"/>
        <v>1</v>
      </c>
      <c r="F107" s="3471" t="s">
        <v>4397</v>
      </c>
      <c r="G107" s="21">
        <f t="shared" si="24"/>
        <v>1</v>
      </c>
      <c r="H107" s="666"/>
      <c r="I107" s="21">
        <f t="shared" si="25"/>
        <v>1</v>
      </c>
      <c r="J107" s="666"/>
      <c r="K107" s="21">
        <f t="shared" si="26"/>
        <v>1</v>
      </c>
      <c r="L107" s="666"/>
      <c r="M107" s="21">
        <f t="shared" si="27"/>
        <v>1</v>
      </c>
      <c r="N107" s="666"/>
      <c r="O107" s="21">
        <f t="shared" si="28"/>
        <v>1</v>
      </c>
      <c r="P107" s="666"/>
      <c r="Q107" s="21">
        <f t="shared" si="29"/>
        <v>1</v>
      </c>
      <c r="R107" s="662">
        <f t="shared" ca="1" si="30"/>
        <v>2412</v>
      </c>
      <c r="S107" s="665">
        <f t="shared" ca="1" si="21"/>
        <v>1.5508999999999999</v>
      </c>
    </row>
    <row r="108" spans="1:19">
      <c r="A108" s="150" t="s">
        <v>3697</v>
      </c>
      <c r="B108" s="3473">
        <v>7.86</v>
      </c>
      <c r="C108" s="21">
        <f t="shared" si="22"/>
        <v>1.01</v>
      </c>
      <c r="D108" s="3466" t="s">
        <v>3442</v>
      </c>
      <c r="E108" s="21">
        <f t="shared" si="23"/>
        <v>1</v>
      </c>
      <c r="F108" s="3471" t="s">
        <v>4392</v>
      </c>
      <c r="G108" s="21">
        <f t="shared" si="24"/>
        <v>1.2</v>
      </c>
      <c r="H108" s="666"/>
      <c r="I108" s="21">
        <f t="shared" si="25"/>
        <v>1</v>
      </c>
      <c r="J108" s="666"/>
      <c r="K108" s="21">
        <f t="shared" si="26"/>
        <v>1</v>
      </c>
      <c r="L108" s="666"/>
      <c r="M108" s="21">
        <f t="shared" si="27"/>
        <v>1</v>
      </c>
      <c r="N108" s="666"/>
      <c r="O108" s="21">
        <f t="shared" si="28"/>
        <v>1</v>
      </c>
      <c r="P108" s="666"/>
      <c r="Q108" s="21">
        <f t="shared" si="29"/>
        <v>1</v>
      </c>
      <c r="R108" s="662">
        <f t="shared" ca="1" si="30"/>
        <v>2894</v>
      </c>
      <c r="S108" s="665">
        <f t="shared" ca="1" si="21"/>
        <v>2.2747000000000002</v>
      </c>
    </row>
    <row r="109" spans="1:19">
      <c r="A109" s="150" t="s">
        <v>3700</v>
      </c>
      <c r="B109" s="3473">
        <v>7.86</v>
      </c>
      <c r="C109" s="21">
        <f t="shared" si="22"/>
        <v>1.01</v>
      </c>
      <c r="D109" s="3466" t="s">
        <v>3442</v>
      </c>
      <c r="E109" s="21">
        <f t="shared" si="23"/>
        <v>1</v>
      </c>
      <c r="F109" s="3471" t="s">
        <v>4391</v>
      </c>
      <c r="G109" s="21">
        <f t="shared" si="24"/>
        <v>1.2</v>
      </c>
      <c r="H109" s="666"/>
      <c r="I109" s="21">
        <f t="shared" si="25"/>
        <v>1</v>
      </c>
      <c r="J109" s="666"/>
      <c r="K109" s="21">
        <f t="shared" si="26"/>
        <v>1</v>
      </c>
      <c r="L109" s="666"/>
      <c r="M109" s="21">
        <f t="shared" si="27"/>
        <v>1</v>
      </c>
      <c r="N109" s="666"/>
      <c r="O109" s="21">
        <f t="shared" si="28"/>
        <v>1</v>
      </c>
      <c r="P109" s="666"/>
      <c r="Q109" s="21">
        <f t="shared" si="29"/>
        <v>1</v>
      </c>
      <c r="R109" s="662">
        <f t="shared" ca="1" si="30"/>
        <v>2894</v>
      </c>
      <c r="S109" s="665">
        <f t="shared" ca="1" si="21"/>
        <v>2.2747000000000002</v>
      </c>
    </row>
    <row r="110" spans="1:19">
      <c r="A110" s="150" t="s">
        <v>3703</v>
      </c>
      <c r="B110" s="3473">
        <v>7.86</v>
      </c>
      <c r="C110" s="21">
        <f t="shared" si="22"/>
        <v>1.01</v>
      </c>
      <c r="D110" s="3466" t="s">
        <v>3442</v>
      </c>
      <c r="E110" s="21">
        <f t="shared" si="23"/>
        <v>1</v>
      </c>
      <c r="F110" s="3471" t="s">
        <v>4392</v>
      </c>
      <c r="G110" s="21">
        <f t="shared" si="24"/>
        <v>1.2</v>
      </c>
      <c r="H110" s="666"/>
      <c r="I110" s="21">
        <f t="shared" si="25"/>
        <v>1</v>
      </c>
      <c r="J110" s="666"/>
      <c r="K110" s="21">
        <f t="shared" si="26"/>
        <v>1</v>
      </c>
      <c r="L110" s="666"/>
      <c r="M110" s="21">
        <f t="shared" si="27"/>
        <v>1</v>
      </c>
      <c r="N110" s="666"/>
      <c r="O110" s="21">
        <f t="shared" si="28"/>
        <v>1</v>
      </c>
      <c r="P110" s="666"/>
      <c r="Q110" s="21">
        <f t="shared" si="29"/>
        <v>1</v>
      </c>
      <c r="R110" s="662">
        <f t="shared" ca="1" si="30"/>
        <v>2894</v>
      </c>
      <c r="S110" s="665">
        <f t="shared" ca="1" si="21"/>
        <v>2.2747000000000002</v>
      </c>
    </row>
    <row r="111" spans="1:19">
      <c r="A111" s="150" t="s">
        <v>3706</v>
      </c>
      <c r="B111" s="3473">
        <v>10.55</v>
      </c>
      <c r="C111" s="21">
        <f t="shared" si="22"/>
        <v>1</v>
      </c>
      <c r="D111" s="3466" t="s">
        <v>3442</v>
      </c>
      <c r="E111" s="21">
        <f t="shared" si="23"/>
        <v>1</v>
      </c>
      <c r="F111" s="3471" t="s">
        <v>4397</v>
      </c>
      <c r="G111" s="21">
        <f t="shared" si="24"/>
        <v>1</v>
      </c>
      <c r="H111" s="666"/>
      <c r="I111" s="21">
        <f t="shared" si="25"/>
        <v>1</v>
      </c>
      <c r="J111" s="666"/>
      <c r="K111" s="21">
        <f t="shared" si="26"/>
        <v>1</v>
      </c>
      <c r="L111" s="666"/>
      <c r="M111" s="21">
        <f t="shared" si="27"/>
        <v>1</v>
      </c>
      <c r="N111" s="666"/>
      <c r="O111" s="21">
        <f t="shared" si="28"/>
        <v>1</v>
      </c>
      <c r="P111" s="666"/>
      <c r="Q111" s="21">
        <f t="shared" si="29"/>
        <v>1</v>
      </c>
      <c r="R111" s="662">
        <f t="shared" ca="1" si="30"/>
        <v>2388</v>
      </c>
      <c r="S111" s="665">
        <f t="shared" ca="1" si="21"/>
        <v>2.5192999999999999</v>
      </c>
    </row>
    <row r="112" spans="1:19">
      <c r="A112" s="150" t="s">
        <v>3709</v>
      </c>
      <c r="B112" s="3473">
        <v>4.43</v>
      </c>
      <c r="C112" s="21">
        <f t="shared" si="22"/>
        <v>1.02</v>
      </c>
      <c r="D112" s="3466" t="s">
        <v>3442</v>
      </c>
      <c r="E112" s="21">
        <f t="shared" si="23"/>
        <v>1</v>
      </c>
      <c r="F112" s="3471" t="s">
        <v>4397</v>
      </c>
      <c r="G112" s="21">
        <f t="shared" si="24"/>
        <v>1</v>
      </c>
      <c r="H112" s="666"/>
      <c r="I112" s="21">
        <f t="shared" si="25"/>
        <v>1</v>
      </c>
      <c r="J112" s="666"/>
      <c r="K112" s="21">
        <f t="shared" si="26"/>
        <v>1</v>
      </c>
      <c r="L112" s="666"/>
      <c r="M112" s="21">
        <f t="shared" si="27"/>
        <v>1</v>
      </c>
      <c r="N112" s="666"/>
      <c r="O112" s="21">
        <f t="shared" si="28"/>
        <v>1</v>
      </c>
      <c r="P112" s="666"/>
      <c r="Q112" s="21">
        <f t="shared" si="29"/>
        <v>1</v>
      </c>
      <c r="R112" s="662">
        <f t="shared" ca="1" si="30"/>
        <v>2436</v>
      </c>
      <c r="S112" s="665">
        <f t="shared" ca="1" si="21"/>
        <v>1.0790999999999999</v>
      </c>
    </row>
    <row r="113" spans="1:19">
      <c r="A113" s="150" t="s">
        <v>3712</v>
      </c>
      <c r="B113" s="3473">
        <v>6.43</v>
      </c>
      <c r="C113" s="21">
        <f t="shared" si="22"/>
        <v>1.01</v>
      </c>
      <c r="D113" s="3466" t="s">
        <v>3442</v>
      </c>
      <c r="E113" s="21">
        <f t="shared" si="23"/>
        <v>1</v>
      </c>
      <c r="F113" s="3471" t="s">
        <v>4397</v>
      </c>
      <c r="G113" s="21">
        <f t="shared" si="24"/>
        <v>1</v>
      </c>
      <c r="H113" s="666"/>
      <c r="I113" s="21">
        <f t="shared" si="25"/>
        <v>1</v>
      </c>
      <c r="J113" s="666"/>
      <c r="K113" s="21">
        <f t="shared" si="26"/>
        <v>1</v>
      </c>
      <c r="L113" s="666"/>
      <c r="M113" s="21">
        <f t="shared" si="27"/>
        <v>1</v>
      </c>
      <c r="N113" s="666"/>
      <c r="O113" s="21">
        <f t="shared" si="28"/>
        <v>1</v>
      </c>
      <c r="P113" s="666"/>
      <c r="Q113" s="21">
        <f t="shared" si="29"/>
        <v>1</v>
      </c>
      <c r="R113" s="662">
        <f t="shared" ca="1" si="30"/>
        <v>2412</v>
      </c>
      <c r="S113" s="665">
        <f t="shared" ca="1" si="21"/>
        <v>1.5508999999999999</v>
      </c>
    </row>
    <row r="114" spans="1:19">
      <c r="A114" s="150" t="s">
        <v>3715</v>
      </c>
      <c r="B114" s="3473">
        <v>7.84</v>
      </c>
      <c r="C114" s="21">
        <f t="shared" si="22"/>
        <v>1.01</v>
      </c>
      <c r="D114" s="3466" t="s">
        <v>3442</v>
      </c>
      <c r="E114" s="21">
        <f t="shared" si="23"/>
        <v>1</v>
      </c>
      <c r="F114" s="3471" t="s">
        <v>4397</v>
      </c>
      <c r="G114" s="21">
        <f t="shared" si="24"/>
        <v>1</v>
      </c>
      <c r="H114" s="666"/>
      <c r="I114" s="21">
        <f t="shared" si="25"/>
        <v>1</v>
      </c>
      <c r="J114" s="666"/>
      <c r="K114" s="21">
        <f t="shared" si="26"/>
        <v>1</v>
      </c>
      <c r="L114" s="666"/>
      <c r="M114" s="21">
        <f t="shared" si="27"/>
        <v>1</v>
      </c>
      <c r="N114" s="666"/>
      <c r="O114" s="21">
        <f t="shared" si="28"/>
        <v>1</v>
      </c>
      <c r="P114" s="666"/>
      <c r="Q114" s="21">
        <f t="shared" si="29"/>
        <v>1</v>
      </c>
      <c r="R114" s="662">
        <f t="shared" ca="1" si="30"/>
        <v>2412</v>
      </c>
      <c r="S114" s="665">
        <f t="shared" ca="1" si="21"/>
        <v>1.891</v>
      </c>
    </row>
    <row r="115" spans="1:19">
      <c r="A115" s="150" t="s">
        <v>3718</v>
      </c>
      <c r="B115" s="3473">
        <v>8.35</v>
      </c>
      <c r="C115" s="21">
        <f t="shared" si="22"/>
        <v>1.01</v>
      </c>
      <c r="D115" s="3466" t="s">
        <v>3442</v>
      </c>
      <c r="E115" s="21">
        <f t="shared" si="23"/>
        <v>1</v>
      </c>
      <c r="F115" s="3471" t="s">
        <v>4397</v>
      </c>
      <c r="G115" s="21">
        <f t="shared" si="24"/>
        <v>1</v>
      </c>
      <c r="H115" s="666"/>
      <c r="I115" s="21">
        <f t="shared" si="25"/>
        <v>1</v>
      </c>
      <c r="J115" s="666"/>
      <c r="K115" s="21">
        <f t="shared" si="26"/>
        <v>1</v>
      </c>
      <c r="L115" s="666"/>
      <c r="M115" s="21">
        <f t="shared" si="27"/>
        <v>1</v>
      </c>
      <c r="N115" s="666"/>
      <c r="O115" s="21">
        <f t="shared" si="28"/>
        <v>1</v>
      </c>
      <c r="P115" s="666"/>
      <c r="Q115" s="21">
        <f t="shared" si="29"/>
        <v>1</v>
      </c>
      <c r="R115" s="662">
        <f t="shared" ca="1" si="30"/>
        <v>2412</v>
      </c>
      <c r="S115" s="665">
        <f t="shared" ca="1" si="21"/>
        <v>2.0139999999999998</v>
      </c>
    </row>
    <row r="116" spans="1:19">
      <c r="A116" s="150" t="s">
        <v>3721</v>
      </c>
      <c r="B116" s="3473">
        <v>10.64</v>
      </c>
      <c r="C116" s="21">
        <f t="shared" si="22"/>
        <v>1</v>
      </c>
      <c r="D116" s="3466" t="s">
        <v>3442</v>
      </c>
      <c r="E116" s="21">
        <f t="shared" si="23"/>
        <v>1</v>
      </c>
      <c r="F116" s="3471" t="s">
        <v>4397</v>
      </c>
      <c r="G116" s="21">
        <f t="shared" si="24"/>
        <v>1</v>
      </c>
      <c r="H116" s="666"/>
      <c r="I116" s="21">
        <f t="shared" si="25"/>
        <v>1</v>
      </c>
      <c r="J116" s="666"/>
      <c r="K116" s="21">
        <f t="shared" si="26"/>
        <v>1</v>
      </c>
      <c r="L116" s="666"/>
      <c r="M116" s="21">
        <f t="shared" si="27"/>
        <v>1</v>
      </c>
      <c r="N116" s="666"/>
      <c r="O116" s="21">
        <f t="shared" si="28"/>
        <v>1</v>
      </c>
      <c r="P116" s="666"/>
      <c r="Q116" s="21">
        <f t="shared" si="29"/>
        <v>1</v>
      </c>
      <c r="R116" s="662">
        <f t="shared" ca="1" si="30"/>
        <v>2388</v>
      </c>
      <c r="S116" s="665">
        <f t="shared" ca="1" si="21"/>
        <v>2.5407999999999999</v>
      </c>
    </row>
    <row r="117" spans="1:19">
      <c r="A117" s="150" t="s">
        <v>3724</v>
      </c>
      <c r="B117" s="3473">
        <v>10.64</v>
      </c>
      <c r="C117" s="21">
        <f t="shared" si="22"/>
        <v>1</v>
      </c>
      <c r="D117" s="3466" t="s">
        <v>3442</v>
      </c>
      <c r="E117" s="21">
        <f t="shared" si="23"/>
        <v>1</v>
      </c>
      <c r="F117" s="3471" t="s">
        <v>4397</v>
      </c>
      <c r="G117" s="21">
        <f t="shared" si="24"/>
        <v>1</v>
      </c>
      <c r="H117" s="666"/>
      <c r="I117" s="21">
        <f t="shared" si="25"/>
        <v>1</v>
      </c>
      <c r="J117" s="666"/>
      <c r="K117" s="21">
        <f t="shared" si="26"/>
        <v>1</v>
      </c>
      <c r="L117" s="666"/>
      <c r="M117" s="21">
        <f t="shared" si="27"/>
        <v>1</v>
      </c>
      <c r="N117" s="666"/>
      <c r="O117" s="21">
        <f t="shared" si="28"/>
        <v>1</v>
      </c>
      <c r="P117" s="666"/>
      <c r="Q117" s="21">
        <f t="shared" si="29"/>
        <v>1</v>
      </c>
      <c r="R117" s="662">
        <f t="shared" ca="1" si="30"/>
        <v>2388</v>
      </c>
      <c r="S117" s="665">
        <f t="shared" ca="1" si="21"/>
        <v>2.5407999999999999</v>
      </c>
    </row>
    <row r="118" spans="1:19">
      <c r="A118" s="150" t="s">
        <v>3727</v>
      </c>
      <c r="B118" s="3473">
        <v>10.64</v>
      </c>
      <c r="C118" s="21">
        <f t="shared" si="22"/>
        <v>1</v>
      </c>
      <c r="D118" s="3466" t="s">
        <v>3442</v>
      </c>
      <c r="E118" s="21">
        <f t="shared" si="23"/>
        <v>1</v>
      </c>
      <c r="F118" s="3471" t="s">
        <v>4397</v>
      </c>
      <c r="G118" s="21">
        <f t="shared" si="24"/>
        <v>1</v>
      </c>
      <c r="H118" s="666"/>
      <c r="I118" s="21">
        <f t="shared" si="25"/>
        <v>1</v>
      </c>
      <c r="J118" s="666"/>
      <c r="K118" s="21">
        <f t="shared" si="26"/>
        <v>1</v>
      </c>
      <c r="L118" s="666"/>
      <c r="M118" s="21">
        <f t="shared" si="27"/>
        <v>1</v>
      </c>
      <c r="N118" s="666"/>
      <c r="O118" s="21">
        <f t="shared" si="28"/>
        <v>1</v>
      </c>
      <c r="P118" s="666"/>
      <c r="Q118" s="21">
        <f t="shared" si="29"/>
        <v>1</v>
      </c>
      <c r="R118" s="662">
        <f t="shared" ca="1" si="30"/>
        <v>2388</v>
      </c>
      <c r="S118" s="665">
        <f t="shared" ca="1" si="21"/>
        <v>2.5407999999999999</v>
      </c>
    </row>
    <row r="119" spans="1:19">
      <c r="A119" s="150" t="s">
        <v>3730</v>
      </c>
      <c r="B119" s="3473">
        <v>8.35</v>
      </c>
      <c r="C119" s="21">
        <f t="shared" si="22"/>
        <v>1.01</v>
      </c>
      <c r="D119" s="3466" t="s">
        <v>3442</v>
      </c>
      <c r="E119" s="21">
        <f t="shared" si="23"/>
        <v>1</v>
      </c>
      <c r="F119" s="3471" t="s">
        <v>4397</v>
      </c>
      <c r="G119" s="21">
        <f t="shared" si="24"/>
        <v>1</v>
      </c>
      <c r="H119" s="666"/>
      <c r="I119" s="21">
        <f t="shared" si="25"/>
        <v>1</v>
      </c>
      <c r="J119" s="666"/>
      <c r="K119" s="21">
        <f t="shared" si="26"/>
        <v>1</v>
      </c>
      <c r="L119" s="666"/>
      <c r="M119" s="21">
        <f t="shared" si="27"/>
        <v>1</v>
      </c>
      <c r="N119" s="666"/>
      <c r="O119" s="21">
        <f t="shared" si="28"/>
        <v>1</v>
      </c>
      <c r="P119" s="666"/>
      <c r="Q119" s="21">
        <f t="shared" si="29"/>
        <v>1</v>
      </c>
      <c r="R119" s="662">
        <f t="shared" ca="1" si="30"/>
        <v>2412</v>
      </c>
      <c r="S119" s="665">
        <f t="shared" ca="1" si="21"/>
        <v>2.0139999999999998</v>
      </c>
    </row>
    <row r="120" spans="1:19">
      <c r="A120" s="150" t="s">
        <v>3733</v>
      </c>
      <c r="B120" s="3473">
        <v>7.84</v>
      </c>
      <c r="C120" s="21">
        <f t="shared" si="22"/>
        <v>1.01</v>
      </c>
      <c r="D120" s="3466" t="s">
        <v>3442</v>
      </c>
      <c r="E120" s="21">
        <f t="shared" si="23"/>
        <v>1</v>
      </c>
      <c r="F120" s="3471" t="s">
        <v>4397</v>
      </c>
      <c r="G120" s="21">
        <f t="shared" si="24"/>
        <v>1</v>
      </c>
      <c r="H120" s="666"/>
      <c r="I120" s="21">
        <f t="shared" si="25"/>
        <v>1</v>
      </c>
      <c r="J120" s="666"/>
      <c r="K120" s="21">
        <f t="shared" si="26"/>
        <v>1</v>
      </c>
      <c r="L120" s="666"/>
      <c r="M120" s="21">
        <f t="shared" si="27"/>
        <v>1</v>
      </c>
      <c r="N120" s="666"/>
      <c r="O120" s="21">
        <f t="shared" si="28"/>
        <v>1</v>
      </c>
      <c r="P120" s="666"/>
      <c r="Q120" s="21">
        <f t="shared" si="29"/>
        <v>1</v>
      </c>
      <c r="R120" s="662">
        <f t="shared" ca="1" si="30"/>
        <v>2412</v>
      </c>
      <c r="S120" s="665">
        <f t="shared" ca="1" si="21"/>
        <v>1.891</v>
      </c>
    </row>
    <row r="121" spans="1:19">
      <c r="A121" s="150" t="s">
        <v>3736</v>
      </c>
      <c r="B121" s="3473">
        <v>10.55</v>
      </c>
      <c r="C121" s="21">
        <f t="shared" si="22"/>
        <v>1</v>
      </c>
      <c r="D121" s="3466" t="s">
        <v>3442</v>
      </c>
      <c r="E121" s="21">
        <f t="shared" si="23"/>
        <v>1</v>
      </c>
      <c r="F121" s="3471" t="s">
        <v>4391</v>
      </c>
      <c r="G121" s="21">
        <f t="shared" si="24"/>
        <v>1.2</v>
      </c>
      <c r="H121" s="666"/>
      <c r="I121" s="21">
        <f t="shared" si="25"/>
        <v>1</v>
      </c>
      <c r="J121" s="666"/>
      <c r="K121" s="21">
        <f t="shared" si="26"/>
        <v>1</v>
      </c>
      <c r="L121" s="666"/>
      <c r="M121" s="21">
        <f t="shared" si="27"/>
        <v>1</v>
      </c>
      <c r="N121" s="666"/>
      <c r="O121" s="21">
        <f t="shared" si="28"/>
        <v>1</v>
      </c>
      <c r="P121" s="666"/>
      <c r="Q121" s="21">
        <f t="shared" si="29"/>
        <v>1</v>
      </c>
      <c r="R121" s="662">
        <f t="shared" ca="1" si="30"/>
        <v>2866</v>
      </c>
      <c r="S121" s="665">
        <f t="shared" ca="1" si="21"/>
        <v>3.0236000000000001</v>
      </c>
    </row>
    <row r="122" spans="1:19">
      <c r="A122" s="150" t="s">
        <v>3739</v>
      </c>
      <c r="B122" s="3473">
        <v>10.75</v>
      </c>
      <c r="C122" s="21">
        <f t="shared" si="22"/>
        <v>1</v>
      </c>
      <c r="D122" s="3466" t="s">
        <v>3442</v>
      </c>
      <c r="E122" s="21">
        <f t="shared" si="23"/>
        <v>1</v>
      </c>
      <c r="F122" s="3471" t="s">
        <v>4391</v>
      </c>
      <c r="G122" s="21">
        <f t="shared" si="24"/>
        <v>1.2</v>
      </c>
      <c r="H122" s="666"/>
      <c r="I122" s="21">
        <f t="shared" si="25"/>
        <v>1</v>
      </c>
      <c r="J122" s="666"/>
      <c r="K122" s="21">
        <f t="shared" si="26"/>
        <v>1</v>
      </c>
      <c r="L122" s="666"/>
      <c r="M122" s="21">
        <f t="shared" si="27"/>
        <v>1</v>
      </c>
      <c r="N122" s="666"/>
      <c r="O122" s="21">
        <f t="shared" si="28"/>
        <v>1</v>
      </c>
      <c r="P122" s="666"/>
      <c r="Q122" s="21">
        <f t="shared" si="29"/>
        <v>1</v>
      </c>
      <c r="R122" s="662">
        <f t="shared" ca="1" si="30"/>
        <v>2866</v>
      </c>
      <c r="S122" s="665">
        <f t="shared" ca="1" si="21"/>
        <v>3.081</v>
      </c>
    </row>
    <row r="123" spans="1:19">
      <c r="A123" s="150" t="s">
        <v>3742</v>
      </c>
      <c r="B123" s="3473">
        <v>8.43</v>
      </c>
      <c r="C123" s="21">
        <f t="shared" si="22"/>
        <v>1.01</v>
      </c>
      <c r="D123" s="3466" t="s">
        <v>3442</v>
      </c>
      <c r="E123" s="21">
        <f t="shared" si="23"/>
        <v>1</v>
      </c>
      <c r="F123" s="3471" t="s">
        <v>4397</v>
      </c>
      <c r="G123" s="21">
        <f t="shared" si="24"/>
        <v>1</v>
      </c>
      <c r="H123" s="666"/>
      <c r="I123" s="21">
        <f t="shared" si="25"/>
        <v>1</v>
      </c>
      <c r="J123" s="666"/>
      <c r="K123" s="21">
        <f t="shared" si="26"/>
        <v>1</v>
      </c>
      <c r="L123" s="666"/>
      <c r="M123" s="21">
        <f t="shared" si="27"/>
        <v>1</v>
      </c>
      <c r="N123" s="666"/>
      <c r="O123" s="21">
        <f t="shared" si="28"/>
        <v>1</v>
      </c>
      <c r="P123" s="666"/>
      <c r="Q123" s="21">
        <f t="shared" si="29"/>
        <v>1</v>
      </c>
      <c r="R123" s="662">
        <f t="shared" ca="1" si="30"/>
        <v>2412</v>
      </c>
      <c r="S123" s="665">
        <f t="shared" ca="1" si="21"/>
        <v>2.0333000000000001</v>
      </c>
    </row>
    <row r="124" spans="1:19">
      <c r="A124" s="150" t="s">
        <v>3745</v>
      </c>
      <c r="B124" s="3473">
        <v>10.56</v>
      </c>
      <c r="C124" s="21">
        <f t="shared" si="22"/>
        <v>1</v>
      </c>
      <c r="D124" s="3466" t="s">
        <v>3442</v>
      </c>
      <c r="E124" s="21">
        <f t="shared" si="23"/>
        <v>1</v>
      </c>
      <c r="F124" s="3471" t="s">
        <v>4397</v>
      </c>
      <c r="G124" s="21">
        <f t="shared" si="24"/>
        <v>1</v>
      </c>
      <c r="H124" s="666"/>
      <c r="I124" s="21">
        <f t="shared" si="25"/>
        <v>1</v>
      </c>
      <c r="J124" s="666"/>
      <c r="K124" s="21">
        <f t="shared" si="26"/>
        <v>1</v>
      </c>
      <c r="L124" s="666"/>
      <c r="M124" s="21">
        <f t="shared" si="27"/>
        <v>1</v>
      </c>
      <c r="N124" s="666"/>
      <c r="O124" s="21">
        <f t="shared" si="28"/>
        <v>1</v>
      </c>
      <c r="P124" s="666"/>
      <c r="Q124" s="21">
        <f t="shared" si="29"/>
        <v>1</v>
      </c>
      <c r="R124" s="662">
        <f t="shared" ca="1" si="30"/>
        <v>2388</v>
      </c>
      <c r="S124" s="665">
        <f t="shared" ca="1" si="21"/>
        <v>2.5217000000000001</v>
      </c>
    </row>
    <row r="125" spans="1:19">
      <c r="A125" s="150" t="s">
        <v>3748</v>
      </c>
      <c r="B125" s="3473">
        <v>9.0500000000000007</v>
      </c>
      <c r="C125" s="21">
        <f t="shared" si="22"/>
        <v>1.01</v>
      </c>
      <c r="D125" s="3466" t="s">
        <v>3524</v>
      </c>
      <c r="E125" s="21">
        <f t="shared" si="23"/>
        <v>0.9</v>
      </c>
      <c r="F125" s="3471" t="s">
        <v>4397</v>
      </c>
      <c r="G125" s="21">
        <f t="shared" si="24"/>
        <v>1</v>
      </c>
      <c r="H125" s="666"/>
      <c r="I125" s="21">
        <f t="shared" si="25"/>
        <v>1</v>
      </c>
      <c r="J125" s="666"/>
      <c r="K125" s="21">
        <f t="shared" si="26"/>
        <v>1</v>
      </c>
      <c r="L125" s="666"/>
      <c r="M125" s="21">
        <f t="shared" si="27"/>
        <v>1</v>
      </c>
      <c r="N125" s="666"/>
      <c r="O125" s="21">
        <f t="shared" si="28"/>
        <v>1</v>
      </c>
      <c r="P125" s="666"/>
      <c r="Q125" s="21">
        <f t="shared" si="29"/>
        <v>1</v>
      </c>
      <c r="R125" s="662">
        <f t="shared" ca="1" si="30"/>
        <v>2171</v>
      </c>
      <c r="S125" s="665">
        <f t="shared" ca="1" si="21"/>
        <v>1.9648000000000001</v>
      </c>
    </row>
    <row r="126" spans="1:19">
      <c r="A126" s="150" t="s">
        <v>3751</v>
      </c>
      <c r="B126" s="3473">
        <v>9.0500000000000007</v>
      </c>
      <c r="C126" s="21">
        <f t="shared" si="22"/>
        <v>1.01</v>
      </c>
      <c r="D126" s="3466" t="s">
        <v>3524</v>
      </c>
      <c r="E126" s="21">
        <f t="shared" si="23"/>
        <v>0.9</v>
      </c>
      <c r="F126" s="3471" t="s">
        <v>4397</v>
      </c>
      <c r="G126" s="21">
        <f t="shared" si="24"/>
        <v>1</v>
      </c>
      <c r="H126" s="666"/>
      <c r="I126" s="21">
        <f t="shared" si="25"/>
        <v>1</v>
      </c>
      <c r="J126" s="666"/>
      <c r="K126" s="21">
        <f t="shared" si="26"/>
        <v>1</v>
      </c>
      <c r="L126" s="666"/>
      <c r="M126" s="21">
        <f t="shared" si="27"/>
        <v>1</v>
      </c>
      <c r="N126" s="666"/>
      <c r="O126" s="21">
        <f t="shared" si="28"/>
        <v>1</v>
      </c>
      <c r="P126" s="666"/>
      <c r="Q126" s="21">
        <f t="shared" si="29"/>
        <v>1</v>
      </c>
      <c r="R126" s="662">
        <f t="shared" ca="1" si="30"/>
        <v>2171</v>
      </c>
      <c r="S126" s="665">
        <f t="shared" ca="1" si="21"/>
        <v>1.9648000000000001</v>
      </c>
    </row>
    <row r="127" spans="1:19">
      <c r="A127" s="150" t="s">
        <v>3754</v>
      </c>
      <c r="B127" s="3473">
        <v>9.0500000000000007</v>
      </c>
      <c r="C127" s="21">
        <f t="shared" si="22"/>
        <v>1.01</v>
      </c>
      <c r="D127" s="3466" t="s">
        <v>3524</v>
      </c>
      <c r="E127" s="21">
        <f t="shared" si="23"/>
        <v>0.9</v>
      </c>
      <c r="F127" s="3471" t="s">
        <v>4397</v>
      </c>
      <c r="G127" s="21">
        <f t="shared" si="24"/>
        <v>1</v>
      </c>
      <c r="H127" s="666"/>
      <c r="I127" s="21">
        <f t="shared" si="25"/>
        <v>1</v>
      </c>
      <c r="J127" s="666"/>
      <c r="K127" s="21">
        <f t="shared" si="26"/>
        <v>1</v>
      </c>
      <c r="L127" s="666"/>
      <c r="M127" s="21">
        <f t="shared" si="27"/>
        <v>1</v>
      </c>
      <c r="N127" s="666"/>
      <c r="O127" s="21">
        <f t="shared" si="28"/>
        <v>1</v>
      </c>
      <c r="P127" s="666"/>
      <c r="Q127" s="21">
        <f t="shared" si="29"/>
        <v>1</v>
      </c>
      <c r="R127" s="662">
        <f t="shared" ca="1" si="30"/>
        <v>2171</v>
      </c>
      <c r="S127" s="665">
        <f t="shared" ca="1" si="21"/>
        <v>1.9648000000000001</v>
      </c>
    </row>
    <row r="128" spans="1:19">
      <c r="A128" s="150" t="s">
        <v>3757</v>
      </c>
      <c r="B128" s="3473">
        <v>8.1999999999999993</v>
      </c>
      <c r="C128" s="21">
        <f t="shared" si="22"/>
        <v>1.01</v>
      </c>
      <c r="D128" s="3466" t="s">
        <v>3524</v>
      </c>
      <c r="E128" s="21">
        <f t="shared" si="23"/>
        <v>0.9</v>
      </c>
      <c r="F128" s="3471" t="s">
        <v>4397</v>
      </c>
      <c r="G128" s="21">
        <f t="shared" si="24"/>
        <v>1</v>
      </c>
      <c r="H128" s="666"/>
      <c r="I128" s="21">
        <f t="shared" si="25"/>
        <v>1</v>
      </c>
      <c r="J128" s="666"/>
      <c r="K128" s="21">
        <f t="shared" si="26"/>
        <v>1</v>
      </c>
      <c r="L128" s="666"/>
      <c r="M128" s="21">
        <f t="shared" si="27"/>
        <v>1</v>
      </c>
      <c r="N128" s="666"/>
      <c r="O128" s="21">
        <f t="shared" si="28"/>
        <v>1</v>
      </c>
      <c r="P128" s="666"/>
      <c r="Q128" s="21">
        <f t="shared" si="29"/>
        <v>1</v>
      </c>
      <c r="R128" s="662">
        <f t="shared" ca="1" si="30"/>
        <v>2171</v>
      </c>
      <c r="S128" s="665">
        <f t="shared" ca="1" si="21"/>
        <v>1.7802</v>
      </c>
    </row>
    <row r="129" spans="1:19">
      <c r="A129" s="150" t="s">
        <v>3760</v>
      </c>
      <c r="B129" s="3473">
        <v>10.59</v>
      </c>
      <c r="C129" s="21">
        <f t="shared" si="22"/>
        <v>1</v>
      </c>
      <c r="D129" s="3466" t="s">
        <v>3524</v>
      </c>
      <c r="E129" s="21">
        <f t="shared" si="23"/>
        <v>0.9</v>
      </c>
      <c r="F129" s="3471" t="s">
        <v>4397</v>
      </c>
      <c r="G129" s="21">
        <f t="shared" si="24"/>
        <v>1</v>
      </c>
      <c r="H129" s="666"/>
      <c r="I129" s="21">
        <f t="shared" si="25"/>
        <v>1</v>
      </c>
      <c r="J129" s="666"/>
      <c r="K129" s="21">
        <f t="shared" si="26"/>
        <v>1</v>
      </c>
      <c r="L129" s="666"/>
      <c r="M129" s="21">
        <f t="shared" si="27"/>
        <v>1</v>
      </c>
      <c r="N129" s="666"/>
      <c r="O129" s="21">
        <f t="shared" si="28"/>
        <v>1</v>
      </c>
      <c r="P129" s="666"/>
      <c r="Q129" s="21">
        <f t="shared" si="29"/>
        <v>1</v>
      </c>
      <c r="R129" s="662">
        <f t="shared" ca="1" si="30"/>
        <v>2149</v>
      </c>
      <c r="S129" s="665">
        <f t="shared" ca="1" si="21"/>
        <v>2.2757999999999998</v>
      </c>
    </row>
    <row r="130" spans="1:19">
      <c r="A130" s="150" t="s">
        <v>3763</v>
      </c>
      <c r="B130" s="3473">
        <v>10.59</v>
      </c>
      <c r="C130" s="21">
        <f t="shared" si="22"/>
        <v>1</v>
      </c>
      <c r="D130" s="3466" t="s">
        <v>3524</v>
      </c>
      <c r="E130" s="21">
        <f t="shared" si="23"/>
        <v>0.9</v>
      </c>
      <c r="F130" s="3471" t="s">
        <v>4397</v>
      </c>
      <c r="G130" s="21">
        <f t="shared" si="24"/>
        <v>1</v>
      </c>
      <c r="H130" s="666"/>
      <c r="I130" s="21">
        <f t="shared" si="25"/>
        <v>1</v>
      </c>
      <c r="J130" s="666"/>
      <c r="K130" s="21">
        <f t="shared" si="26"/>
        <v>1</v>
      </c>
      <c r="L130" s="666"/>
      <c r="M130" s="21">
        <f t="shared" si="27"/>
        <v>1</v>
      </c>
      <c r="N130" s="666"/>
      <c r="O130" s="21">
        <f t="shared" si="28"/>
        <v>1</v>
      </c>
      <c r="P130" s="666"/>
      <c r="Q130" s="21">
        <f t="shared" si="29"/>
        <v>1</v>
      </c>
      <c r="R130" s="662">
        <f t="shared" ca="1" si="30"/>
        <v>2149</v>
      </c>
      <c r="S130" s="665">
        <f t="shared" ca="1" si="21"/>
        <v>2.2757999999999998</v>
      </c>
    </row>
    <row r="131" spans="1:19">
      <c r="A131" s="150" t="s">
        <v>3766</v>
      </c>
      <c r="B131" s="3473">
        <v>10.59</v>
      </c>
      <c r="C131" s="21">
        <f t="shared" si="22"/>
        <v>1</v>
      </c>
      <c r="D131" s="3466" t="s">
        <v>3524</v>
      </c>
      <c r="E131" s="21">
        <f t="shared" si="23"/>
        <v>0.9</v>
      </c>
      <c r="F131" s="3471" t="s">
        <v>4397</v>
      </c>
      <c r="G131" s="21">
        <f t="shared" si="24"/>
        <v>1</v>
      </c>
      <c r="H131" s="666"/>
      <c r="I131" s="21">
        <f t="shared" si="25"/>
        <v>1</v>
      </c>
      <c r="J131" s="666"/>
      <c r="K131" s="21">
        <f t="shared" si="26"/>
        <v>1</v>
      </c>
      <c r="L131" s="666"/>
      <c r="M131" s="21">
        <f t="shared" si="27"/>
        <v>1</v>
      </c>
      <c r="N131" s="666"/>
      <c r="O131" s="21">
        <f t="shared" si="28"/>
        <v>1</v>
      </c>
      <c r="P131" s="666"/>
      <c r="Q131" s="21">
        <f t="shared" si="29"/>
        <v>1</v>
      </c>
      <c r="R131" s="662">
        <f t="shared" ca="1" si="30"/>
        <v>2149</v>
      </c>
      <c r="S131" s="665">
        <f t="shared" ca="1" si="21"/>
        <v>2.2757999999999998</v>
      </c>
    </row>
    <row r="132" spans="1:19">
      <c r="A132" s="150" t="s">
        <v>3769</v>
      </c>
      <c r="B132" s="3473">
        <v>8.31</v>
      </c>
      <c r="C132" s="21">
        <f t="shared" si="22"/>
        <v>1.01</v>
      </c>
      <c r="D132" s="3466" t="s">
        <v>3524</v>
      </c>
      <c r="E132" s="21">
        <f t="shared" si="23"/>
        <v>0.9</v>
      </c>
      <c r="F132" s="3471" t="s">
        <v>4397</v>
      </c>
      <c r="G132" s="21">
        <f t="shared" si="24"/>
        <v>1</v>
      </c>
      <c r="H132" s="666"/>
      <c r="I132" s="21">
        <f t="shared" si="25"/>
        <v>1</v>
      </c>
      <c r="J132" s="666"/>
      <c r="K132" s="21">
        <f t="shared" si="26"/>
        <v>1</v>
      </c>
      <c r="L132" s="666"/>
      <c r="M132" s="21">
        <f t="shared" si="27"/>
        <v>1</v>
      </c>
      <c r="N132" s="666"/>
      <c r="O132" s="21">
        <f t="shared" si="28"/>
        <v>1</v>
      </c>
      <c r="P132" s="666"/>
      <c r="Q132" s="21">
        <f t="shared" si="29"/>
        <v>1</v>
      </c>
      <c r="R132" s="662">
        <f t="shared" ca="1" si="30"/>
        <v>2171</v>
      </c>
      <c r="S132" s="665">
        <f t="shared" ca="1" si="21"/>
        <v>1.8041</v>
      </c>
    </row>
    <row r="133" spans="1:19">
      <c r="A133" s="150" t="s">
        <v>3772</v>
      </c>
      <c r="B133" s="3473">
        <v>8.18</v>
      </c>
      <c r="C133" s="21">
        <f t="shared" si="22"/>
        <v>1.01</v>
      </c>
      <c r="D133" s="3466" t="s">
        <v>3524</v>
      </c>
      <c r="E133" s="21">
        <f t="shared" si="23"/>
        <v>0.9</v>
      </c>
      <c r="F133" s="3471" t="s">
        <v>4397</v>
      </c>
      <c r="G133" s="21">
        <f t="shared" si="24"/>
        <v>1</v>
      </c>
      <c r="H133" s="666"/>
      <c r="I133" s="21">
        <f t="shared" si="25"/>
        <v>1</v>
      </c>
      <c r="J133" s="666"/>
      <c r="K133" s="21">
        <f t="shared" si="26"/>
        <v>1</v>
      </c>
      <c r="L133" s="666"/>
      <c r="M133" s="21">
        <f t="shared" si="27"/>
        <v>1</v>
      </c>
      <c r="N133" s="666"/>
      <c r="O133" s="21">
        <f t="shared" si="28"/>
        <v>1</v>
      </c>
      <c r="P133" s="666"/>
      <c r="Q133" s="21">
        <f t="shared" si="29"/>
        <v>1</v>
      </c>
      <c r="R133" s="662">
        <f t="shared" ca="1" si="30"/>
        <v>2171</v>
      </c>
      <c r="S133" s="665">
        <f t="shared" ca="1" si="21"/>
        <v>1.7759</v>
      </c>
    </row>
    <row r="134" spans="1:19">
      <c r="A134" s="150" t="s">
        <v>3775</v>
      </c>
      <c r="B134" s="3473">
        <v>7.82</v>
      </c>
      <c r="C134" s="21">
        <f t="shared" si="22"/>
        <v>1.01</v>
      </c>
      <c r="D134" s="3466" t="s">
        <v>3524</v>
      </c>
      <c r="E134" s="21">
        <f t="shared" si="23"/>
        <v>0.9</v>
      </c>
      <c r="F134" s="3471" t="s">
        <v>4391</v>
      </c>
      <c r="G134" s="21">
        <f t="shared" si="24"/>
        <v>1.2</v>
      </c>
      <c r="H134" s="666"/>
      <c r="I134" s="21">
        <f t="shared" si="25"/>
        <v>1</v>
      </c>
      <c r="J134" s="666"/>
      <c r="K134" s="21">
        <f t="shared" si="26"/>
        <v>1</v>
      </c>
      <c r="L134" s="666"/>
      <c r="M134" s="21">
        <f t="shared" si="27"/>
        <v>1</v>
      </c>
      <c r="N134" s="666"/>
      <c r="O134" s="21">
        <f t="shared" si="28"/>
        <v>1</v>
      </c>
      <c r="P134" s="666"/>
      <c r="Q134" s="21">
        <f t="shared" si="29"/>
        <v>1</v>
      </c>
      <c r="R134" s="662">
        <f t="shared" ca="1" si="30"/>
        <v>2605</v>
      </c>
      <c r="S134" s="665">
        <f t="shared" ca="1" si="21"/>
        <v>2.0371000000000001</v>
      </c>
    </row>
    <row r="135" spans="1:19">
      <c r="A135" s="150" t="s">
        <v>3778</v>
      </c>
      <c r="B135" s="3473">
        <v>7.82</v>
      </c>
      <c r="C135" s="21">
        <f t="shared" si="22"/>
        <v>1.01</v>
      </c>
      <c r="D135" s="3466" t="s">
        <v>3524</v>
      </c>
      <c r="E135" s="21">
        <f t="shared" si="23"/>
        <v>0.9</v>
      </c>
      <c r="F135" s="3471" t="s">
        <v>4391</v>
      </c>
      <c r="G135" s="21">
        <f t="shared" si="24"/>
        <v>1.2</v>
      </c>
      <c r="H135" s="666"/>
      <c r="I135" s="21">
        <f t="shared" si="25"/>
        <v>1</v>
      </c>
      <c r="J135" s="666"/>
      <c r="K135" s="21">
        <f t="shared" si="26"/>
        <v>1</v>
      </c>
      <c r="L135" s="666"/>
      <c r="M135" s="21">
        <f t="shared" si="27"/>
        <v>1</v>
      </c>
      <c r="N135" s="666"/>
      <c r="O135" s="21">
        <f t="shared" si="28"/>
        <v>1</v>
      </c>
      <c r="P135" s="666"/>
      <c r="Q135" s="21">
        <f t="shared" si="29"/>
        <v>1</v>
      </c>
      <c r="R135" s="662">
        <f t="shared" ca="1" si="30"/>
        <v>2605</v>
      </c>
      <c r="S135" s="665">
        <f t="shared" ca="1" si="21"/>
        <v>2.0371000000000001</v>
      </c>
    </row>
    <row r="136" spans="1:19">
      <c r="A136" s="150" t="s">
        <v>3781</v>
      </c>
      <c r="B136" s="3473">
        <v>9.82</v>
      </c>
      <c r="C136" s="21">
        <f t="shared" si="22"/>
        <v>1.01</v>
      </c>
      <c r="D136" s="3466" t="s">
        <v>3524</v>
      </c>
      <c r="E136" s="21">
        <f t="shared" si="23"/>
        <v>0.9</v>
      </c>
      <c r="F136" s="3471" t="s">
        <v>4397</v>
      </c>
      <c r="G136" s="21">
        <f t="shared" si="24"/>
        <v>1</v>
      </c>
      <c r="H136" s="666"/>
      <c r="I136" s="21">
        <f t="shared" si="25"/>
        <v>1</v>
      </c>
      <c r="J136" s="666"/>
      <c r="K136" s="21">
        <f t="shared" si="26"/>
        <v>1</v>
      </c>
      <c r="L136" s="666"/>
      <c r="M136" s="21">
        <f t="shared" si="27"/>
        <v>1</v>
      </c>
      <c r="N136" s="666"/>
      <c r="O136" s="21">
        <f t="shared" si="28"/>
        <v>1</v>
      </c>
      <c r="P136" s="666"/>
      <c r="Q136" s="21">
        <f t="shared" si="29"/>
        <v>1</v>
      </c>
      <c r="R136" s="662">
        <f t="shared" ca="1" si="30"/>
        <v>2171</v>
      </c>
      <c r="S136" s="665">
        <f t="shared" ca="1" si="21"/>
        <v>2.1318999999999999</v>
      </c>
    </row>
    <row r="137" spans="1:19">
      <c r="A137" s="150" t="s">
        <v>3784</v>
      </c>
      <c r="B137" s="3473">
        <v>7.69</v>
      </c>
      <c r="C137" s="21">
        <f t="shared" si="22"/>
        <v>1.01</v>
      </c>
      <c r="D137" s="3466" t="s">
        <v>3524</v>
      </c>
      <c r="E137" s="21">
        <f t="shared" si="23"/>
        <v>0.9</v>
      </c>
      <c r="F137" s="3471" t="s">
        <v>4397</v>
      </c>
      <c r="G137" s="21">
        <f t="shared" si="24"/>
        <v>1</v>
      </c>
      <c r="H137" s="666"/>
      <c r="I137" s="21">
        <f t="shared" si="25"/>
        <v>1</v>
      </c>
      <c r="J137" s="666"/>
      <c r="K137" s="21">
        <f t="shared" si="26"/>
        <v>1</v>
      </c>
      <c r="L137" s="666"/>
      <c r="M137" s="21">
        <f t="shared" si="27"/>
        <v>1</v>
      </c>
      <c r="N137" s="666"/>
      <c r="O137" s="21">
        <f t="shared" si="28"/>
        <v>1</v>
      </c>
      <c r="P137" s="666"/>
      <c r="Q137" s="21">
        <f t="shared" si="29"/>
        <v>1</v>
      </c>
      <c r="R137" s="662">
        <f t="shared" ca="1" si="30"/>
        <v>2171</v>
      </c>
      <c r="S137" s="665">
        <f t="shared" ca="1" si="21"/>
        <v>1.6695</v>
      </c>
    </row>
    <row r="138" spans="1:19">
      <c r="A138" s="150" t="s">
        <v>3787</v>
      </c>
      <c r="B138" s="3473">
        <v>7.69</v>
      </c>
      <c r="C138" s="21">
        <f t="shared" si="22"/>
        <v>1.01</v>
      </c>
      <c r="D138" s="3466" t="s">
        <v>3524</v>
      </c>
      <c r="E138" s="21">
        <f t="shared" si="23"/>
        <v>0.9</v>
      </c>
      <c r="F138" s="3471" t="s">
        <v>4397</v>
      </c>
      <c r="G138" s="21">
        <f t="shared" si="24"/>
        <v>1</v>
      </c>
      <c r="H138" s="666"/>
      <c r="I138" s="21">
        <f t="shared" si="25"/>
        <v>1</v>
      </c>
      <c r="J138" s="666"/>
      <c r="K138" s="21">
        <f t="shared" si="26"/>
        <v>1</v>
      </c>
      <c r="L138" s="666"/>
      <c r="M138" s="21">
        <f t="shared" si="27"/>
        <v>1</v>
      </c>
      <c r="N138" s="666"/>
      <c r="O138" s="21">
        <f t="shared" si="28"/>
        <v>1</v>
      </c>
      <c r="P138" s="666"/>
      <c r="Q138" s="21">
        <f t="shared" si="29"/>
        <v>1</v>
      </c>
      <c r="R138" s="662">
        <f t="shared" ca="1" si="30"/>
        <v>2171</v>
      </c>
      <c r="S138" s="665">
        <f t="shared" ca="1" si="21"/>
        <v>1.6695</v>
      </c>
    </row>
    <row r="139" spans="1:19">
      <c r="A139" s="150" t="s">
        <v>3790</v>
      </c>
      <c r="B139" s="3473">
        <v>7.69</v>
      </c>
      <c r="C139" s="21">
        <f t="shared" si="22"/>
        <v>1.01</v>
      </c>
      <c r="D139" s="3466" t="s">
        <v>3524</v>
      </c>
      <c r="E139" s="21">
        <f t="shared" si="23"/>
        <v>0.9</v>
      </c>
      <c r="F139" s="3471" t="s">
        <v>4397</v>
      </c>
      <c r="G139" s="21">
        <f t="shared" si="24"/>
        <v>1</v>
      </c>
      <c r="H139" s="666"/>
      <c r="I139" s="21">
        <f t="shared" si="25"/>
        <v>1</v>
      </c>
      <c r="J139" s="666"/>
      <c r="K139" s="21">
        <f t="shared" si="26"/>
        <v>1</v>
      </c>
      <c r="L139" s="666"/>
      <c r="M139" s="21">
        <f t="shared" si="27"/>
        <v>1</v>
      </c>
      <c r="N139" s="666"/>
      <c r="O139" s="21">
        <f t="shared" si="28"/>
        <v>1</v>
      </c>
      <c r="P139" s="666"/>
      <c r="Q139" s="21">
        <f t="shared" si="29"/>
        <v>1</v>
      </c>
      <c r="R139" s="662">
        <f t="shared" ca="1" si="30"/>
        <v>2171</v>
      </c>
      <c r="S139" s="665">
        <f t="shared" ca="1" si="21"/>
        <v>1.6695</v>
      </c>
    </row>
    <row r="140" spans="1:19">
      <c r="A140" s="150" t="s">
        <v>3793</v>
      </c>
      <c r="B140" s="3473">
        <v>7.69</v>
      </c>
      <c r="C140" s="21">
        <f t="shared" si="22"/>
        <v>1.01</v>
      </c>
      <c r="D140" s="3466" t="s">
        <v>3524</v>
      </c>
      <c r="E140" s="21">
        <f t="shared" si="23"/>
        <v>0.9</v>
      </c>
      <c r="F140" s="3471" t="s">
        <v>4397</v>
      </c>
      <c r="G140" s="21">
        <f t="shared" si="24"/>
        <v>1</v>
      </c>
      <c r="H140" s="666"/>
      <c r="I140" s="21">
        <f t="shared" si="25"/>
        <v>1</v>
      </c>
      <c r="J140" s="666"/>
      <c r="K140" s="21">
        <f t="shared" si="26"/>
        <v>1</v>
      </c>
      <c r="L140" s="666"/>
      <c r="M140" s="21">
        <f t="shared" si="27"/>
        <v>1</v>
      </c>
      <c r="N140" s="666"/>
      <c r="O140" s="21">
        <f t="shared" si="28"/>
        <v>1</v>
      </c>
      <c r="P140" s="666"/>
      <c r="Q140" s="21">
        <f t="shared" si="29"/>
        <v>1</v>
      </c>
      <c r="R140" s="662">
        <f t="shared" ca="1" si="30"/>
        <v>2171</v>
      </c>
      <c r="S140" s="665">
        <f t="shared" ca="1" si="21"/>
        <v>1.6695</v>
      </c>
    </row>
    <row r="141" spans="1:19">
      <c r="A141" s="150" t="s">
        <v>3796</v>
      </c>
      <c r="B141" s="3473">
        <v>9.82</v>
      </c>
      <c r="C141" s="21">
        <f t="shared" si="22"/>
        <v>1.01</v>
      </c>
      <c r="D141" s="3466" t="s">
        <v>3524</v>
      </c>
      <c r="E141" s="21">
        <f t="shared" si="23"/>
        <v>0.9</v>
      </c>
      <c r="F141" s="3471" t="s">
        <v>4397</v>
      </c>
      <c r="G141" s="21">
        <f t="shared" si="24"/>
        <v>1</v>
      </c>
      <c r="H141" s="666"/>
      <c r="I141" s="21">
        <f t="shared" si="25"/>
        <v>1</v>
      </c>
      <c r="J141" s="666"/>
      <c r="K141" s="21">
        <f t="shared" si="26"/>
        <v>1</v>
      </c>
      <c r="L141" s="666"/>
      <c r="M141" s="21">
        <f t="shared" si="27"/>
        <v>1</v>
      </c>
      <c r="N141" s="666"/>
      <c r="O141" s="21">
        <f t="shared" si="28"/>
        <v>1</v>
      </c>
      <c r="P141" s="666"/>
      <c r="Q141" s="21">
        <f t="shared" si="29"/>
        <v>1</v>
      </c>
      <c r="R141" s="662">
        <f t="shared" ca="1" si="30"/>
        <v>2171</v>
      </c>
      <c r="S141" s="665">
        <f t="shared" ca="1" si="21"/>
        <v>2.1318999999999999</v>
      </c>
    </row>
    <row r="142" spans="1:19">
      <c r="A142" s="150" t="s">
        <v>3799</v>
      </c>
      <c r="B142" s="3473">
        <v>7.82</v>
      </c>
      <c r="C142" s="21">
        <f t="shared" si="22"/>
        <v>1.01</v>
      </c>
      <c r="D142" s="3466" t="s">
        <v>3524</v>
      </c>
      <c r="E142" s="21">
        <f t="shared" si="23"/>
        <v>0.9</v>
      </c>
      <c r="F142" s="3471" t="s">
        <v>4391</v>
      </c>
      <c r="G142" s="21">
        <f t="shared" si="24"/>
        <v>1.2</v>
      </c>
      <c r="H142" s="666"/>
      <c r="I142" s="21">
        <f t="shared" si="25"/>
        <v>1</v>
      </c>
      <c r="J142" s="666"/>
      <c r="K142" s="21">
        <f t="shared" si="26"/>
        <v>1</v>
      </c>
      <c r="L142" s="666"/>
      <c r="M142" s="21">
        <f t="shared" si="27"/>
        <v>1</v>
      </c>
      <c r="N142" s="666"/>
      <c r="O142" s="21">
        <f t="shared" si="28"/>
        <v>1</v>
      </c>
      <c r="P142" s="666"/>
      <c r="Q142" s="21">
        <f t="shared" si="29"/>
        <v>1</v>
      </c>
      <c r="R142" s="662">
        <f t="shared" ca="1" si="30"/>
        <v>2605</v>
      </c>
      <c r="S142" s="665">
        <f t="shared" ca="1" si="21"/>
        <v>2.0371000000000001</v>
      </c>
    </row>
    <row r="143" spans="1:19">
      <c r="A143" s="150" t="s">
        <v>3802</v>
      </c>
      <c r="B143" s="3473">
        <v>7.82</v>
      </c>
      <c r="C143" s="21">
        <f t="shared" si="22"/>
        <v>1.01</v>
      </c>
      <c r="D143" s="3466" t="s">
        <v>3524</v>
      </c>
      <c r="E143" s="21">
        <f t="shared" si="23"/>
        <v>0.9</v>
      </c>
      <c r="F143" s="3471" t="s">
        <v>4391</v>
      </c>
      <c r="G143" s="21">
        <f t="shared" si="24"/>
        <v>1.2</v>
      </c>
      <c r="H143" s="666"/>
      <c r="I143" s="21">
        <f t="shared" si="25"/>
        <v>1</v>
      </c>
      <c r="J143" s="666"/>
      <c r="K143" s="21">
        <f t="shared" si="26"/>
        <v>1</v>
      </c>
      <c r="L143" s="666"/>
      <c r="M143" s="21">
        <f t="shared" si="27"/>
        <v>1</v>
      </c>
      <c r="N143" s="666"/>
      <c r="O143" s="21">
        <f t="shared" si="28"/>
        <v>1</v>
      </c>
      <c r="P143" s="666"/>
      <c r="Q143" s="21">
        <f t="shared" si="29"/>
        <v>1</v>
      </c>
      <c r="R143" s="662">
        <f t="shared" ca="1" si="30"/>
        <v>2605</v>
      </c>
      <c r="S143" s="665">
        <f t="shared" ca="1" si="21"/>
        <v>2.0371000000000001</v>
      </c>
    </row>
    <row r="144" spans="1:19">
      <c r="A144" s="150" t="s">
        <v>3805</v>
      </c>
      <c r="B144" s="3473">
        <v>6.79</v>
      </c>
      <c r="C144" s="21">
        <f t="shared" si="22"/>
        <v>1.01</v>
      </c>
      <c r="D144" s="3466" t="s">
        <v>3524</v>
      </c>
      <c r="E144" s="21">
        <f t="shared" si="23"/>
        <v>0.9</v>
      </c>
      <c r="F144" s="3471" t="s">
        <v>4397</v>
      </c>
      <c r="G144" s="21">
        <f t="shared" si="24"/>
        <v>1</v>
      </c>
      <c r="H144" s="666"/>
      <c r="I144" s="21">
        <f t="shared" si="25"/>
        <v>1</v>
      </c>
      <c r="J144" s="666"/>
      <c r="K144" s="21">
        <f t="shared" si="26"/>
        <v>1</v>
      </c>
      <c r="L144" s="666"/>
      <c r="M144" s="21">
        <f t="shared" si="27"/>
        <v>1</v>
      </c>
      <c r="N144" s="666"/>
      <c r="O144" s="21">
        <f t="shared" si="28"/>
        <v>1</v>
      </c>
      <c r="P144" s="666"/>
      <c r="Q144" s="21">
        <f t="shared" si="29"/>
        <v>1</v>
      </c>
      <c r="R144" s="662">
        <f t="shared" ca="1" si="30"/>
        <v>2171</v>
      </c>
      <c r="S144" s="665">
        <f t="shared" ca="1" si="21"/>
        <v>1.4741</v>
      </c>
    </row>
    <row r="145" spans="1:19">
      <c r="A145" s="150" t="s">
        <v>3808</v>
      </c>
      <c r="B145" s="3473">
        <v>8.18</v>
      </c>
      <c r="C145" s="21">
        <f t="shared" si="22"/>
        <v>1.01</v>
      </c>
      <c r="D145" s="3466" t="s">
        <v>3524</v>
      </c>
      <c r="E145" s="21">
        <f t="shared" si="23"/>
        <v>0.9</v>
      </c>
      <c r="F145" s="3471" t="s">
        <v>4397</v>
      </c>
      <c r="G145" s="21">
        <f t="shared" si="24"/>
        <v>1</v>
      </c>
      <c r="H145" s="666"/>
      <c r="I145" s="21">
        <f t="shared" si="25"/>
        <v>1</v>
      </c>
      <c r="J145" s="666"/>
      <c r="K145" s="21">
        <f t="shared" si="26"/>
        <v>1</v>
      </c>
      <c r="L145" s="666"/>
      <c r="M145" s="21">
        <f t="shared" si="27"/>
        <v>1</v>
      </c>
      <c r="N145" s="666"/>
      <c r="O145" s="21">
        <f t="shared" si="28"/>
        <v>1</v>
      </c>
      <c r="P145" s="666"/>
      <c r="Q145" s="21">
        <f t="shared" si="29"/>
        <v>1</v>
      </c>
      <c r="R145" s="662">
        <f t="shared" ca="1" si="30"/>
        <v>2171</v>
      </c>
      <c r="S145" s="665">
        <f t="shared" ca="1" si="21"/>
        <v>1.7759</v>
      </c>
    </row>
    <row r="146" spans="1:19">
      <c r="A146" s="150" t="s">
        <v>3811</v>
      </c>
      <c r="B146" s="3473">
        <v>8.31</v>
      </c>
      <c r="C146" s="21">
        <f t="shared" si="22"/>
        <v>1.01</v>
      </c>
      <c r="D146" s="3466" t="s">
        <v>3524</v>
      </c>
      <c r="E146" s="21">
        <f t="shared" si="23"/>
        <v>0.9</v>
      </c>
      <c r="F146" s="3471" t="s">
        <v>4397</v>
      </c>
      <c r="G146" s="21">
        <f t="shared" si="24"/>
        <v>1</v>
      </c>
      <c r="H146" s="666"/>
      <c r="I146" s="21">
        <f t="shared" si="25"/>
        <v>1</v>
      </c>
      <c r="J146" s="666"/>
      <c r="K146" s="21">
        <f t="shared" si="26"/>
        <v>1</v>
      </c>
      <c r="L146" s="666"/>
      <c r="M146" s="21">
        <f t="shared" si="27"/>
        <v>1</v>
      </c>
      <c r="N146" s="666"/>
      <c r="O146" s="21">
        <f t="shared" si="28"/>
        <v>1</v>
      </c>
      <c r="P146" s="666"/>
      <c r="Q146" s="21">
        <f t="shared" si="29"/>
        <v>1</v>
      </c>
      <c r="R146" s="662">
        <f t="shared" ca="1" si="30"/>
        <v>2171</v>
      </c>
      <c r="S146" s="665">
        <f t="shared" ca="1" si="21"/>
        <v>1.8041</v>
      </c>
    </row>
    <row r="147" spans="1:19">
      <c r="A147" s="150" t="s">
        <v>3814</v>
      </c>
      <c r="B147" s="3473">
        <v>10.59</v>
      </c>
      <c r="C147" s="21">
        <f t="shared" si="22"/>
        <v>1</v>
      </c>
      <c r="D147" s="3466" t="s">
        <v>3524</v>
      </c>
      <c r="E147" s="21">
        <f t="shared" si="23"/>
        <v>0.9</v>
      </c>
      <c r="F147" s="3471" t="s">
        <v>4397</v>
      </c>
      <c r="G147" s="21">
        <f t="shared" si="24"/>
        <v>1</v>
      </c>
      <c r="H147" s="666"/>
      <c r="I147" s="21">
        <f t="shared" si="25"/>
        <v>1</v>
      </c>
      <c r="J147" s="666"/>
      <c r="K147" s="21">
        <f t="shared" si="26"/>
        <v>1</v>
      </c>
      <c r="L147" s="666"/>
      <c r="M147" s="21">
        <f t="shared" si="27"/>
        <v>1</v>
      </c>
      <c r="N147" s="666"/>
      <c r="O147" s="21">
        <f t="shared" si="28"/>
        <v>1</v>
      </c>
      <c r="P147" s="666"/>
      <c r="Q147" s="21">
        <f t="shared" si="29"/>
        <v>1</v>
      </c>
      <c r="R147" s="662">
        <f t="shared" ca="1" si="30"/>
        <v>2149</v>
      </c>
      <c r="S147" s="665">
        <f t="shared" ca="1" si="21"/>
        <v>2.2757999999999998</v>
      </c>
    </row>
    <row r="148" spans="1:19">
      <c r="A148" s="150" t="s">
        <v>3817</v>
      </c>
      <c r="B148" s="3473">
        <v>10.59</v>
      </c>
      <c r="C148" s="21">
        <f t="shared" si="22"/>
        <v>1</v>
      </c>
      <c r="D148" s="3466" t="s">
        <v>3524</v>
      </c>
      <c r="E148" s="21">
        <f t="shared" si="23"/>
        <v>0.9</v>
      </c>
      <c r="F148" s="3471" t="s">
        <v>4397</v>
      </c>
      <c r="G148" s="21">
        <f t="shared" si="24"/>
        <v>1</v>
      </c>
      <c r="H148" s="666"/>
      <c r="I148" s="21">
        <f t="shared" si="25"/>
        <v>1</v>
      </c>
      <c r="J148" s="666"/>
      <c r="K148" s="21">
        <f t="shared" si="26"/>
        <v>1</v>
      </c>
      <c r="L148" s="666"/>
      <c r="M148" s="21">
        <f t="shared" si="27"/>
        <v>1</v>
      </c>
      <c r="N148" s="666"/>
      <c r="O148" s="21">
        <f t="shared" si="28"/>
        <v>1</v>
      </c>
      <c r="P148" s="666"/>
      <c r="Q148" s="21">
        <f t="shared" si="29"/>
        <v>1</v>
      </c>
      <c r="R148" s="662">
        <f t="shared" ca="1" si="30"/>
        <v>2149</v>
      </c>
      <c r="S148" s="665">
        <f t="shared" ca="1" si="21"/>
        <v>2.2757999999999998</v>
      </c>
    </row>
    <row r="149" spans="1:19">
      <c r="A149" s="150" t="s">
        <v>3820</v>
      </c>
      <c r="B149" s="3473">
        <v>10.59</v>
      </c>
      <c r="C149" s="21">
        <f t="shared" si="22"/>
        <v>1</v>
      </c>
      <c r="D149" s="3466" t="s">
        <v>3524</v>
      </c>
      <c r="E149" s="21">
        <f t="shared" si="23"/>
        <v>0.9</v>
      </c>
      <c r="F149" s="3471" t="s">
        <v>4397</v>
      </c>
      <c r="G149" s="21">
        <f t="shared" si="24"/>
        <v>1</v>
      </c>
      <c r="H149" s="666"/>
      <c r="I149" s="21">
        <f t="shared" si="25"/>
        <v>1</v>
      </c>
      <c r="J149" s="666"/>
      <c r="K149" s="21">
        <f t="shared" si="26"/>
        <v>1</v>
      </c>
      <c r="L149" s="666"/>
      <c r="M149" s="21">
        <f t="shared" si="27"/>
        <v>1</v>
      </c>
      <c r="N149" s="666"/>
      <c r="O149" s="21">
        <f t="shared" si="28"/>
        <v>1</v>
      </c>
      <c r="P149" s="666"/>
      <c r="Q149" s="21">
        <f t="shared" si="29"/>
        <v>1</v>
      </c>
      <c r="R149" s="662">
        <f t="shared" ca="1" si="30"/>
        <v>2149</v>
      </c>
      <c r="S149" s="665">
        <f t="shared" ca="1" si="21"/>
        <v>2.2757999999999998</v>
      </c>
    </row>
    <row r="150" spans="1:19">
      <c r="A150" s="150" t="s">
        <v>3823</v>
      </c>
      <c r="B150" s="3473">
        <v>8.31</v>
      </c>
      <c r="C150" s="21">
        <f t="shared" si="22"/>
        <v>1.01</v>
      </c>
      <c r="D150" s="3466" t="s">
        <v>3524</v>
      </c>
      <c r="E150" s="21">
        <f t="shared" si="23"/>
        <v>0.9</v>
      </c>
      <c r="F150" s="3471" t="s">
        <v>4397</v>
      </c>
      <c r="G150" s="21">
        <f t="shared" si="24"/>
        <v>1</v>
      </c>
      <c r="H150" s="666"/>
      <c r="I150" s="21">
        <f t="shared" si="25"/>
        <v>1</v>
      </c>
      <c r="J150" s="666"/>
      <c r="K150" s="21">
        <f t="shared" si="26"/>
        <v>1</v>
      </c>
      <c r="L150" s="666"/>
      <c r="M150" s="21">
        <f t="shared" si="27"/>
        <v>1</v>
      </c>
      <c r="N150" s="666"/>
      <c r="O150" s="21">
        <f t="shared" si="28"/>
        <v>1</v>
      </c>
      <c r="P150" s="666"/>
      <c r="Q150" s="21">
        <f t="shared" si="29"/>
        <v>1</v>
      </c>
      <c r="R150" s="662">
        <f t="shared" ca="1" si="30"/>
        <v>2171</v>
      </c>
      <c r="S150" s="665">
        <f t="shared" ca="1" si="21"/>
        <v>1.8041</v>
      </c>
    </row>
    <row r="151" spans="1:19">
      <c r="A151" s="150" t="s">
        <v>3826</v>
      </c>
      <c r="B151" s="3473">
        <v>8.18</v>
      </c>
      <c r="C151" s="21">
        <f t="shared" si="22"/>
        <v>1.01</v>
      </c>
      <c r="D151" s="3466" t="s">
        <v>3524</v>
      </c>
      <c r="E151" s="21">
        <f t="shared" si="23"/>
        <v>0.9</v>
      </c>
      <c r="F151" s="3471" t="s">
        <v>4397</v>
      </c>
      <c r="G151" s="21">
        <f t="shared" si="24"/>
        <v>1</v>
      </c>
      <c r="H151" s="666"/>
      <c r="I151" s="21">
        <f t="shared" si="25"/>
        <v>1</v>
      </c>
      <c r="J151" s="666"/>
      <c r="K151" s="21">
        <f t="shared" si="26"/>
        <v>1</v>
      </c>
      <c r="L151" s="666"/>
      <c r="M151" s="21">
        <f t="shared" si="27"/>
        <v>1</v>
      </c>
      <c r="N151" s="666"/>
      <c r="O151" s="21">
        <f t="shared" si="28"/>
        <v>1</v>
      </c>
      <c r="P151" s="666"/>
      <c r="Q151" s="21">
        <f t="shared" si="29"/>
        <v>1</v>
      </c>
      <c r="R151" s="662">
        <f t="shared" ca="1" si="30"/>
        <v>2171</v>
      </c>
      <c r="S151" s="665">
        <f t="shared" ca="1" si="21"/>
        <v>1.7759</v>
      </c>
    </row>
    <row r="152" spans="1:19">
      <c r="A152" s="150" t="s">
        <v>3829</v>
      </c>
      <c r="B152" s="3473">
        <v>9.0500000000000007</v>
      </c>
      <c r="C152" s="21">
        <f t="shared" si="22"/>
        <v>1.01</v>
      </c>
      <c r="D152" s="3466" t="s">
        <v>3524</v>
      </c>
      <c r="E152" s="21">
        <f t="shared" si="23"/>
        <v>0.9</v>
      </c>
      <c r="F152" s="3471" t="s">
        <v>4397</v>
      </c>
      <c r="G152" s="21">
        <f t="shared" si="24"/>
        <v>1</v>
      </c>
      <c r="H152" s="666"/>
      <c r="I152" s="21">
        <f t="shared" si="25"/>
        <v>1</v>
      </c>
      <c r="J152" s="666"/>
      <c r="K152" s="21">
        <f t="shared" si="26"/>
        <v>1</v>
      </c>
      <c r="L152" s="666"/>
      <c r="M152" s="21">
        <f t="shared" si="27"/>
        <v>1</v>
      </c>
      <c r="N152" s="666"/>
      <c r="O152" s="21">
        <f t="shared" si="28"/>
        <v>1</v>
      </c>
      <c r="P152" s="666"/>
      <c r="Q152" s="21">
        <f t="shared" si="29"/>
        <v>1</v>
      </c>
      <c r="R152" s="662">
        <f t="shared" ca="1" si="30"/>
        <v>2171</v>
      </c>
      <c r="S152" s="665">
        <f t="shared" ca="1" si="21"/>
        <v>1.9648000000000001</v>
      </c>
    </row>
    <row r="153" spans="1:19">
      <c r="A153" s="150" t="s">
        <v>3832</v>
      </c>
      <c r="B153" s="3473">
        <v>9.0500000000000007</v>
      </c>
      <c r="C153" s="21">
        <f t="shared" si="22"/>
        <v>1.01</v>
      </c>
      <c r="D153" s="3466" t="s">
        <v>3524</v>
      </c>
      <c r="E153" s="21">
        <f t="shared" si="23"/>
        <v>0.9</v>
      </c>
      <c r="F153" s="3471" t="s">
        <v>4397</v>
      </c>
      <c r="G153" s="21">
        <f t="shared" si="24"/>
        <v>1</v>
      </c>
      <c r="H153" s="666"/>
      <c r="I153" s="21">
        <f t="shared" si="25"/>
        <v>1</v>
      </c>
      <c r="J153" s="666"/>
      <c r="K153" s="21">
        <f t="shared" si="26"/>
        <v>1</v>
      </c>
      <c r="L153" s="666"/>
      <c r="M153" s="21">
        <f t="shared" si="27"/>
        <v>1</v>
      </c>
      <c r="N153" s="666"/>
      <c r="O153" s="21">
        <f t="shared" si="28"/>
        <v>1</v>
      </c>
      <c r="P153" s="666"/>
      <c r="Q153" s="21">
        <f t="shared" si="29"/>
        <v>1</v>
      </c>
      <c r="R153" s="662">
        <f t="shared" ca="1" si="30"/>
        <v>2171</v>
      </c>
      <c r="S153" s="665">
        <f t="shared" ref="S153:S216" ca="1" si="31">ROUND(R153*B153/10000,4)</f>
        <v>1.9648000000000001</v>
      </c>
    </row>
    <row r="154" spans="1:19">
      <c r="A154" s="150" t="s">
        <v>3835</v>
      </c>
      <c r="B154" s="3473">
        <v>9.0500000000000007</v>
      </c>
      <c r="C154" s="21">
        <f t="shared" ref="C154:C217" si="32">IF(B154="",1,(LOOKUP(B154,$3:$3,$4:$4)-LOOKUP($B$24,$3:$3,$4:$4)+100)/100)</f>
        <v>1.01</v>
      </c>
      <c r="D154" s="3466" t="s">
        <v>3524</v>
      </c>
      <c r="E154" s="21">
        <f t="shared" ref="E154:E217" si="33">(SUMIF($5:$5,D154,$6:$6)-SUMIF($5:$5,$D$24,$6:$6)+100)/100</f>
        <v>0.9</v>
      </c>
      <c r="F154" s="3471" t="s">
        <v>4397</v>
      </c>
      <c r="G154" s="21">
        <f t="shared" ref="G154:G217" si="34">(SUMIF($7:$7,F154,$8:$8)-SUMIF($7:$7,$F$24,$8:$8)+100)/100</f>
        <v>1</v>
      </c>
      <c r="H154" s="666"/>
      <c r="I154" s="21">
        <f t="shared" ref="I154:I217" si="35">(SUMIF($9:$9,H154,$10:$10)-SUMIF($9:$9,$H$24,$10:$10)+100)/100</f>
        <v>1</v>
      </c>
      <c r="J154" s="666"/>
      <c r="K154" s="21">
        <f t="shared" ref="K154:K217" si="36">(SUMIF($11:$11,J154,$12:$12)-SUMIF($11:$11,$J$24,$12:$12)+100)/100</f>
        <v>1</v>
      </c>
      <c r="L154" s="666"/>
      <c r="M154" s="21">
        <f t="shared" ref="M154:M217" si="37">(SUMIF($13:$13,L154,$14:$14)-SUMIF($13:$13,$L$24,$14:$14)+100)/100</f>
        <v>1</v>
      </c>
      <c r="N154" s="666"/>
      <c r="O154" s="21">
        <f t="shared" ref="O154:O217" si="38">(SUMIF($15:$15,N154,$16:$16)-SUMIF($15:$15,$N$24,$16:$16)+100)/100</f>
        <v>1</v>
      </c>
      <c r="P154" s="666"/>
      <c r="Q154" s="21">
        <f t="shared" ref="Q154:Q217" si="39">(SUMIF($17:$17,P154,$18:$18)-SUMIF($17:$17,$P$24,$18:$18)+100)/100</f>
        <v>1</v>
      </c>
      <c r="R154" s="662">
        <f t="shared" ref="R154:R217" ca="1" si="40">IF(B154="",0,ROUND($R$24*C154*E154*G154*I154*K154*M154*O154*Q154,0))</f>
        <v>2171</v>
      </c>
      <c r="S154" s="665">
        <f t="shared" ca="1" si="31"/>
        <v>1.9648000000000001</v>
      </c>
    </row>
    <row r="155" spans="1:19">
      <c r="A155" s="150" t="s">
        <v>3838</v>
      </c>
      <c r="B155" s="3473">
        <v>10.63</v>
      </c>
      <c r="C155" s="21">
        <f t="shared" si="32"/>
        <v>1</v>
      </c>
      <c r="D155" s="3466" t="s">
        <v>3524</v>
      </c>
      <c r="E155" s="21">
        <f t="shared" si="33"/>
        <v>0.9</v>
      </c>
      <c r="F155" s="3471" t="s">
        <v>4391</v>
      </c>
      <c r="G155" s="21">
        <f t="shared" si="34"/>
        <v>1.2</v>
      </c>
      <c r="H155" s="666"/>
      <c r="I155" s="21">
        <f t="shared" si="35"/>
        <v>1</v>
      </c>
      <c r="J155" s="666"/>
      <c r="K155" s="21">
        <f t="shared" si="36"/>
        <v>1</v>
      </c>
      <c r="L155" s="666"/>
      <c r="M155" s="21">
        <f t="shared" si="37"/>
        <v>1</v>
      </c>
      <c r="N155" s="666"/>
      <c r="O155" s="21">
        <f t="shared" si="38"/>
        <v>1</v>
      </c>
      <c r="P155" s="666"/>
      <c r="Q155" s="21">
        <f t="shared" si="39"/>
        <v>1</v>
      </c>
      <c r="R155" s="662">
        <f t="shared" ca="1" si="40"/>
        <v>2579</v>
      </c>
      <c r="S155" s="665">
        <f t="shared" ca="1" si="31"/>
        <v>2.7414999999999998</v>
      </c>
    </row>
    <row r="156" spans="1:19">
      <c r="A156" s="150" t="s">
        <v>3841</v>
      </c>
      <c r="B156" s="3473">
        <v>8.1999999999999993</v>
      </c>
      <c r="C156" s="21">
        <f t="shared" si="32"/>
        <v>1.01</v>
      </c>
      <c r="D156" s="3466" t="s">
        <v>3524</v>
      </c>
      <c r="E156" s="21">
        <f t="shared" si="33"/>
        <v>0.9</v>
      </c>
      <c r="F156" s="3471" t="s">
        <v>4397</v>
      </c>
      <c r="G156" s="21">
        <f t="shared" si="34"/>
        <v>1</v>
      </c>
      <c r="H156" s="666"/>
      <c r="I156" s="21">
        <f t="shared" si="35"/>
        <v>1</v>
      </c>
      <c r="J156" s="666"/>
      <c r="K156" s="21">
        <f t="shared" si="36"/>
        <v>1</v>
      </c>
      <c r="L156" s="666"/>
      <c r="M156" s="21">
        <f t="shared" si="37"/>
        <v>1</v>
      </c>
      <c r="N156" s="666"/>
      <c r="O156" s="21">
        <f t="shared" si="38"/>
        <v>1</v>
      </c>
      <c r="P156" s="666"/>
      <c r="Q156" s="21">
        <f t="shared" si="39"/>
        <v>1</v>
      </c>
      <c r="R156" s="662">
        <f t="shared" ca="1" si="40"/>
        <v>2171</v>
      </c>
      <c r="S156" s="665">
        <f t="shared" ca="1" si="31"/>
        <v>1.7802</v>
      </c>
    </row>
    <row r="157" spans="1:19">
      <c r="A157" s="150" t="s">
        <v>3844</v>
      </c>
      <c r="B157" s="3473">
        <v>10.32</v>
      </c>
      <c r="C157" s="21">
        <f t="shared" si="32"/>
        <v>1</v>
      </c>
      <c r="D157" s="3466" t="s">
        <v>3524</v>
      </c>
      <c r="E157" s="21">
        <f t="shared" si="33"/>
        <v>0.9</v>
      </c>
      <c r="F157" s="3471" t="s">
        <v>4397</v>
      </c>
      <c r="G157" s="21">
        <f t="shared" si="34"/>
        <v>1</v>
      </c>
      <c r="H157" s="666"/>
      <c r="I157" s="21">
        <f t="shared" si="35"/>
        <v>1</v>
      </c>
      <c r="J157" s="666"/>
      <c r="K157" s="21">
        <f t="shared" si="36"/>
        <v>1</v>
      </c>
      <c r="L157" s="666"/>
      <c r="M157" s="21">
        <f t="shared" si="37"/>
        <v>1</v>
      </c>
      <c r="N157" s="666"/>
      <c r="O157" s="21">
        <f t="shared" si="38"/>
        <v>1</v>
      </c>
      <c r="P157" s="666"/>
      <c r="Q157" s="21">
        <f t="shared" si="39"/>
        <v>1</v>
      </c>
      <c r="R157" s="662">
        <f t="shared" ca="1" si="40"/>
        <v>2149</v>
      </c>
      <c r="S157" s="665">
        <f t="shared" ca="1" si="31"/>
        <v>2.2178</v>
      </c>
    </row>
    <row r="158" spans="1:19">
      <c r="A158" s="150" t="s">
        <v>3848</v>
      </c>
      <c r="B158" s="3473">
        <v>6.94</v>
      </c>
      <c r="C158" s="21">
        <f t="shared" si="32"/>
        <v>1.01</v>
      </c>
      <c r="D158" s="3466" t="s">
        <v>3442</v>
      </c>
      <c r="E158" s="21">
        <f t="shared" si="33"/>
        <v>1</v>
      </c>
      <c r="F158" s="3471" t="s">
        <v>4397</v>
      </c>
      <c r="G158" s="21">
        <f t="shared" si="34"/>
        <v>1</v>
      </c>
      <c r="H158" s="666"/>
      <c r="I158" s="21">
        <f t="shared" si="35"/>
        <v>1</v>
      </c>
      <c r="J158" s="666"/>
      <c r="K158" s="21">
        <f t="shared" si="36"/>
        <v>1</v>
      </c>
      <c r="L158" s="666"/>
      <c r="M158" s="21">
        <f t="shared" si="37"/>
        <v>1</v>
      </c>
      <c r="N158" s="666"/>
      <c r="O158" s="21">
        <f t="shared" si="38"/>
        <v>1</v>
      </c>
      <c r="P158" s="666"/>
      <c r="Q158" s="21">
        <f t="shared" si="39"/>
        <v>1</v>
      </c>
      <c r="R158" s="662">
        <f t="shared" ca="1" si="40"/>
        <v>2412</v>
      </c>
      <c r="S158" s="665">
        <f t="shared" ca="1" si="31"/>
        <v>1.6738999999999999</v>
      </c>
    </row>
    <row r="159" spans="1:19">
      <c r="A159" s="150" t="s">
        <v>3851</v>
      </c>
      <c r="B159" s="3473">
        <v>8.3000000000000007</v>
      </c>
      <c r="C159" s="21">
        <f t="shared" si="32"/>
        <v>1.01</v>
      </c>
      <c r="D159" s="3466" t="s">
        <v>3442</v>
      </c>
      <c r="E159" s="21">
        <f t="shared" si="33"/>
        <v>1</v>
      </c>
      <c r="F159" s="3471" t="s">
        <v>4397</v>
      </c>
      <c r="G159" s="21">
        <f t="shared" si="34"/>
        <v>1</v>
      </c>
      <c r="H159" s="666"/>
      <c r="I159" s="21">
        <f t="shared" si="35"/>
        <v>1</v>
      </c>
      <c r="J159" s="666"/>
      <c r="K159" s="21">
        <f t="shared" si="36"/>
        <v>1</v>
      </c>
      <c r="L159" s="666"/>
      <c r="M159" s="21">
        <f t="shared" si="37"/>
        <v>1</v>
      </c>
      <c r="N159" s="666"/>
      <c r="O159" s="21">
        <f t="shared" si="38"/>
        <v>1</v>
      </c>
      <c r="P159" s="666"/>
      <c r="Q159" s="21">
        <f t="shared" si="39"/>
        <v>1</v>
      </c>
      <c r="R159" s="662">
        <f t="shared" ca="1" si="40"/>
        <v>2412</v>
      </c>
      <c r="S159" s="665">
        <f t="shared" ca="1" si="31"/>
        <v>2.0019999999999998</v>
      </c>
    </row>
    <row r="160" spans="1:19">
      <c r="A160" s="150" t="s">
        <v>3853</v>
      </c>
      <c r="B160" s="3473">
        <v>8.42</v>
      </c>
      <c r="C160" s="21">
        <f t="shared" si="32"/>
        <v>1.01</v>
      </c>
      <c r="D160" s="3466" t="s">
        <v>3442</v>
      </c>
      <c r="E160" s="21">
        <f t="shared" si="33"/>
        <v>1</v>
      </c>
      <c r="F160" s="3471" t="s">
        <v>4397</v>
      </c>
      <c r="G160" s="21">
        <f t="shared" si="34"/>
        <v>1</v>
      </c>
      <c r="H160" s="666"/>
      <c r="I160" s="21">
        <f t="shared" si="35"/>
        <v>1</v>
      </c>
      <c r="J160" s="666"/>
      <c r="K160" s="21">
        <f t="shared" si="36"/>
        <v>1</v>
      </c>
      <c r="L160" s="666"/>
      <c r="M160" s="21">
        <f t="shared" si="37"/>
        <v>1</v>
      </c>
      <c r="N160" s="666"/>
      <c r="O160" s="21">
        <f t="shared" si="38"/>
        <v>1</v>
      </c>
      <c r="P160" s="666"/>
      <c r="Q160" s="21">
        <f t="shared" si="39"/>
        <v>1</v>
      </c>
      <c r="R160" s="662">
        <f t="shared" ca="1" si="40"/>
        <v>2412</v>
      </c>
      <c r="S160" s="665">
        <f t="shared" ca="1" si="31"/>
        <v>2.0308999999999999</v>
      </c>
    </row>
    <row r="161" spans="1:19">
      <c r="A161" s="150" t="s">
        <v>3855</v>
      </c>
      <c r="B161" s="3473">
        <v>8.42</v>
      </c>
      <c r="C161" s="21">
        <f t="shared" si="32"/>
        <v>1.01</v>
      </c>
      <c r="D161" s="3466" t="s">
        <v>3442</v>
      </c>
      <c r="E161" s="21">
        <f t="shared" si="33"/>
        <v>1</v>
      </c>
      <c r="F161" s="3471" t="s">
        <v>4397</v>
      </c>
      <c r="G161" s="21">
        <f t="shared" si="34"/>
        <v>1</v>
      </c>
      <c r="H161" s="666"/>
      <c r="I161" s="21">
        <f t="shared" si="35"/>
        <v>1</v>
      </c>
      <c r="J161" s="666"/>
      <c r="K161" s="21">
        <f t="shared" si="36"/>
        <v>1</v>
      </c>
      <c r="L161" s="666"/>
      <c r="M161" s="21">
        <f t="shared" si="37"/>
        <v>1</v>
      </c>
      <c r="N161" s="666"/>
      <c r="O161" s="21">
        <f t="shared" si="38"/>
        <v>1</v>
      </c>
      <c r="P161" s="666"/>
      <c r="Q161" s="21">
        <f t="shared" si="39"/>
        <v>1</v>
      </c>
      <c r="R161" s="662">
        <f t="shared" ca="1" si="40"/>
        <v>2412</v>
      </c>
      <c r="S161" s="665">
        <f t="shared" ca="1" si="31"/>
        <v>2.0308999999999999</v>
      </c>
    </row>
    <row r="162" spans="1:19">
      <c r="A162" s="150" t="s">
        <v>3857</v>
      </c>
      <c r="B162" s="3473">
        <v>8.3000000000000007</v>
      </c>
      <c r="C162" s="21">
        <f t="shared" si="32"/>
        <v>1.01</v>
      </c>
      <c r="D162" s="3466" t="s">
        <v>3442</v>
      </c>
      <c r="E162" s="21">
        <f t="shared" si="33"/>
        <v>1</v>
      </c>
      <c r="F162" s="3471" t="s">
        <v>4397</v>
      </c>
      <c r="G162" s="21">
        <f t="shared" si="34"/>
        <v>1</v>
      </c>
      <c r="H162" s="666"/>
      <c r="I162" s="21">
        <f t="shared" si="35"/>
        <v>1</v>
      </c>
      <c r="J162" s="666"/>
      <c r="K162" s="21">
        <f t="shared" si="36"/>
        <v>1</v>
      </c>
      <c r="L162" s="666"/>
      <c r="M162" s="21">
        <f t="shared" si="37"/>
        <v>1</v>
      </c>
      <c r="N162" s="666"/>
      <c r="O162" s="21">
        <f t="shared" si="38"/>
        <v>1</v>
      </c>
      <c r="P162" s="666"/>
      <c r="Q162" s="21">
        <f t="shared" si="39"/>
        <v>1</v>
      </c>
      <c r="R162" s="662">
        <f t="shared" ca="1" si="40"/>
        <v>2412</v>
      </c>
      <c r="S162" s="665">
        <f t="shared" ca="1" si="31"/>
        <v>2.0019999999999998</v>
      </c>
    </row>
    <row r="163" spans="1:19">
      <c r="A163" s="150" t="s">
        <v>3860</v>
      </c>
      <c r="B163" s="3473">
        <v>11.48</v>
      </c>
      <c r="C163" s="21">
        <f t="shared" si="32"/>
        <v>1</v>
      </c>
      <c r="D163" s="3466" t="s">
        <v>3442</v>
      </c>
      <c r="E163" s="21">
        <f t="shared" si="33"/>
        <v>1</v>
      </c>
      <c r="F163" s="3471" t="s">
        <v>4392</v>
      </c>
      <c r="G163" s="21">
        <f t="shared" si="34"/>
        <v>1.2</v>
      </c>
      <c r="H163" s="666"/>
      <c r="I163" s="21">
        <f t="shared" si="35"/>
        <v>1</v>
      </c>
      <c r="J163" s="666"/>
      <c r="K163" s="21">
        <f t="shared" si="36"/>
        <v>1</v>
      </c>
      <c r="L163" s="666"/>
      <c r="M163" s="21">
        <f t="shared" si="37"/>
        <v>1</v>
      </c>
      <c r="N163" s="666"/>
      <c r="O163" s="21">
        <f t="shared" si="38"/>
        <v>1</v>
      </c>
      <c r="P163" s="666"/>
      <c r="Q163" s="21">
        <f t="shared" si="39"/>
        <v>1</v>
      </c>
      <c r="R163" s="662">
        <f t="shared" ca="1" si="40"/>
        <v>2866</v>
      </c>
      <c r="S163" s="665">
        <f t="shared" ca="1" si="31"/>
        <v>3.2902</v>
      </c>
    </row>
    <row r="164" spans="1:19">
      <c r="A164" s="150" t="s">
        <v>3863</v>
      </c>
      <c r="B164" s="3473">
        <v>8.86</v>
      </c>
      <c r="C164" s="21">
        <f t="shared" si="32"/>
        <v>1.01</v>
      </c>
      <c r="D164" s="3466" t="s">
        <v>3442</v>
      </c>
      <c r="E164" s="21">
        <f t="shared" si="33"/>
        <v>1</v>
      </c>
      <c r="F164" s="3471" t="s">
        <v>4397</v>
      </c>
      <c r="G164" s="21">
        <f t="shared" si="34"/>
        <v>1</v>
      </c>
      <c r="H164" s="666"/>
      <c r="I164" s="21">
        <f t="shared" si="35"/>
        <v>1</v>
      </c>
      <c r="J164" s="666"/>
      <c r="K164" s="21">
        <f t="shared" si="36"/>
        <v>1</v>
      </c>
      <c r="L164" s="666"/>
      <c r="M164" s="21">
        <f t="shared" si="37"/>
        <v>1</v>
      </c>
      <c r="N164" s="666"/>
      <c r="O164" s="21">
        <f t="shared" si="38"/>
        <v>1</v>
      </c>
      <c r="P164" s="666"/>
      <c r="Q164" s="21">
        <f t="shared" si="39"/>
        <v>1</v>
      </c>
      <c r="R164" s="662">
        <f t="shared" ca="1" si="40"/>
        <v>2412</v>
      </c>
      <c r="S164" s="665">
        <f t="shared" ca="1" si="31"/>
        <v>2.137</v>
      </c>
    </row>
    <row r="165" spans="1:19">
      <c r="A165" s="150" t="s">
        <v>3867</v>
      </c>
      <c r="B165" s="3473">
        <v>8.1300000000000008</v>
      </c>
      <c r="C165" s="21">
        <f t="shared" si="32"/>
        <v>1.01</v>
      </c>
      <c r="D165" s="3466" t="s">
        <v>3442</v>
      </c>
      <c r="E165" s="21">
        <f t="shared" si="33"/>
        <v>1</v>
      </c>
      <c r="F165" s="3471" t="s">
        <v>4397</v>
      </c>
      <c r="G165" s="21">
        <f t="shared" si="34"/>
        <v>1</v>
      </c>
      <c r="H165" s="666"/>
      <c r="I165" s="21">
        <f t="shared" si="35"/>
        <v>1</v>
      </c>
      <c r="J165" s="666"/>
      <c r="K165" s="21">
        <f t="shared" si="36"/>
        <v>1</v>
      </c>
      <c r="L165" s="666"/>
      <c r="M165" s="21">
        <f t="shared" si="37"/>
        <v>1</v>
      </c>
      <c r="N165" s="666"/>
      <c r="O165" s="21">
        <f t="shared" si="38"/>
        <v>1</v>
      </c>
      <c r="P165" s="666"/>
      <c r="Q165" s="21">
        <f t="shared" si="39"/>
        <v>1</v>
      </c>
      <c r="R165" s="662">
        <f t="shared" ca="1" si="40"/>
        <v>2412</v>
      </c>
      <c r="S165" s="665">
        <f t="shared" ca="1" si="31"/>
        <v>1.9610000000000001</v>
      </c>
    </row>
    <row r="166" spans="1:19">
      <c r="A166" s="150" t="s">
        <v>3870</v>
      </c>
      <c r="B166" s="3473">
        <v>10.54</v>
      </c>
      <c r="C166" s="21">
        <f t="shared" si="32"/>
        <v>1</v>
      </c>
      <c r="D166" s="3466" t="s">
        <v>3442</v>
      </c>
      <c r="E166" s="21">
        <f t="shared" si="33"/>
        <v>1</v>
      </c>
      <c r="F166" s="3471" t="s">
        <v>4391</v>
      </c>
      <c r="G166" s="21">
        <f t="shared" si="34"/>
        <v>1.2</v>
      </c>
      <c r="H166" s="666"/>
      <c r="I166" s="21">
        <f t="shared" si="35"/>
        <v>1</v>
      </c>
      <c r="J166" s="666"/>
      <c r="K166" s="21">
        <f t="shared" si="36"/>
        <v>1</v>
      </c>
      <c r="L166" s="666"/>
      <c r="M166" s="21">
        <f t="shared" si="37"/>
        <v>1</v>
      </c>
      <c r="N166" s="666"/>
      <c r="O166" s="21">
        <f t="shared" si="38"/>
        <v>1</v>
      </c>
      <c r="P166" s="666"/>
      <c r="Q166" s="21">
        <f t="shared" si="39"/>
        <v>1</v>
      </c>
      <c r="R166" s="662">
        <f t="shared" ca="1" si="40"/>
        <v>2866</v>
      </c>
      <c r="S166" s="665">
        <f t="shared" ca="1" si="31"/>
        <v>3.0207999999999999</v>
      </c>
    </row>
    <row r="167" spans="1:19">
      <c r="A167" s="150" t="s">
        <v>3873</v>
      </c>
      <c r="B167" s="3473">
        <v>7.61</v>
      </c>
      <c r="C167" s="21">
        <f t="shared" si="32"/>
        <v>1.01</v>
      </c>
      <c r="D167" s="3466" t="s">
        <v>3442</v>
      </c>
      <c r="E167" s="21">
        <f t="shared" si="33"/>
        <v>1</v>
      </c>
      <c r="F167" s="3471" t="s">
        <v>4397</v>
      </c>
      <c r="G167" s="21">
        <f t="shared" si="34"/>
        <v>1</v>
      </c>
      <c r="H167" s="666"/>
      <c r="I167" s="21">
        <f t="shared" si="35"/>
        <v>1</v>
      </c>
      <c r="J167" s="666"/>
      <c r="K167" s="21">
        <f t="shared" si="36"/>
        <v>1</v>
      </c>
      <c r="L167" s="666"/>
      <c r="M167" s="21">
        <f t="shared" si="37"/>
        <v>1</v>
      </c>
      <c r="N167" s="666"/>
      <c r="O167" s="21">
        <f t="shared" si="38"/>
        <v>1</v>
      </c>
      <c r="P167" s="666"/>
      <c r="Q167" s="21">
        <f t="shared" si="39"/>
        <v>1</v>
      </c>
      <c r="R167" s="662">
        <f t="shared" ca="1" si="40"/>
        <v>2412</v>
      </c>
      <c r="S167" s="665">
        <f t="shared" ca="1" si="31"/>
        <v>1.8354999999999999</v>
      </c>
    </row>
    <row r="168" spans="1:19">
      <c r="A168" s="150" t="s">
        <v>3876</v>
      </c>
      <c r="B168" s="3473">
        <v>8.24</v>
      </c>
      <c r="C168" s="21">
        <f t="shared" si="32"/>
        <v>1.01</v>
      </c>
      <c r="D168" s="3466" t="s">
        <v>3442</v>
      </c>
      <c r="E168" s="21">
        <f t="shared" si="33"/>
        <v>1</v>
      </c>
      <c r="F168" s="3471" t="s">
        <v>4397</v>
      </c>
      <c r="G168" s="21">
        <f t="shared" si="34"/>
        <v>1</v>
      </c>
      <c r="H168" s="666"/>
      <c r="I168" s="21">
        <f t="shared" si="35"/>
        <v>1</v>
      </c>
      <c r="J168" s="666"/>
      <c r="K168" s="21">
        <f t="shared" si="36"/>
        <v>1</v>
      </c>
      <c r="L168" s="666"/>
      <c r="M168" s="21">
        <f t="shared" si="37"/>
        <v>1</v>
      </c>
      <c r="N168" s="666"/>
      <c r="O168" s="21">
        <f t="shared" si="38"/>
        <v>1</v>
      </c>
      <c r="P168" s="666"/>
      <c r="Q168" s="21">
        <f t="shared" si="39"/>
        <v>1</v>
      </c>
      <c r="R168" s="662">
        <f t="shared" ca="1" si="40"/>
        <v>2412</v>
      </c>
      <c r="S168" s="665">
        <f t="shared" ca="1" si="31"/>
        <v>1.9875</v>
      </c>
    </row>
    <row r="169" spans="1:19">
      <c r="A169" s="150" t="s">
        <v>3879</v>
      </c>
      <c r="B169" s="3473">
        <v>10.51</v>
      </c>
      <c r="C169" s="21">
        <f t="shared" si="32"/>
        <v>1</v>
      </c>
      <c r="D169" s="3466" t="s">
        <v>3442</v>
      </c>
      <c r="E169" s="21">
        <f t="shared" si="33"/>
        <v>1</v>
      </c>
      <c r="F169" s="3471" t="s">
        <v>4397</v>
      </c>
      <c r="G169" s="21">
        <f t="shared" si="34"/>
        <v>1</v>
      </c>
      <c r="H169" s="666"/>
      <c r="I169" s="21">
        <f t="shared" si="35"/>
        <v>1</v>
      </c>
      <c r="J169" s="666"/>
      <c r="K169" s="21">
        <f t="shared" si="36"/>
        <v>1</v>
      </c>
      <c r="L169" s="666"/>
      <c r="M169" s="21">
        <f t="shared" si="37"/>
        <v>1</v>
      </c>
      <c r="N169" s="666"/>
      <c r="O169" s="21">
        <f t="shared" si="38"/>
        <v>1</v>
      </c>
      <c r="P169" s="666"/>
      <c r="Q169" s="21">
        <f t="shared" si="39"/>
        <v>1</v>
      </c>
      <c r="R169" s="662">
        <f t="shared" ca="1" si="40"/>
        <v>2388</v>
      </c>
      <c r="S169" s="665">
        <f t="shared" ca="1" si="31"/>
        <v>2.5097999999999998</v>
      </c>
    </row>
    <row r="170" spans="1:19">
      <c r="A170" s="150" t="s">
        <v>3882</v>
      </c>
      <c r="B170" s="3473">
        <v>10.51</v>
      </c>
      <c r="C170" s="21">
        <f t="shared" si="32"/>
        <v>1</v>
      </c>
      <c r="D170" s="3466" t="s">
        <v>3442</v>
      </c>
      <c r="E170" s="21">
        <f t="shared" si="33"/>
        <v>1</v>
      </c>
      <c r="F170" s="3471" t="s">
        <v>4397</v>
      </c>
      <c r="G170" s="21">
        <f t="shared" si="34"/>
        <v>1</v>
      </c>
      <c r="H170" s="666"/>
      <c r="I170" s="21">
        <f t="shared" si="35"/>
        <v>1</v>
      </c>
      <c r="J170" s="666"/>
      <c r="K170" s="21">
        <f t="shared" si="36"/>
        <v>1</v>
      </c>
      <c r="L170" s="666"/>
      <c r="M170" s="21">
        <f t="shared" si="37"/>
        <v>1</v>
      </c>
      <c r="N170" s="666"/>
      <c r="O170" s="21">
        <f t="shared" si="38"/>
        <v>1</v>
      </c>
      <c r="P170" s="666"/>
      <c r="Q170" s="21">
        <f t="shared" si="39"/>
        <v>1</v>
      </c>
      <c r="R170" s="662">
        <f t="shared" ca="1" si="40"/>
        <v>2388</v>
      </c>
      <c r="S170" s="665">
        <f t="shared" ca="1" si="31"/>
        <v>2.5097999999999998</v>
      </c>
    </row>
    <row r="171" spans="1:19">
      <c r="A171" s="150" t="s">
        <v>3885</v>
      </c>
      <c r="B171" s="3473">
        <v>6.38</v>
      </c>
      <c r="C171" s="21">
        <f t="shared" si="32"/>
        <v>1.01</v>
      </c>
      <c r="D171" s="3466" t="s">
        <v>3442</v>
      </c>
      <c r="E171" s="21">
        <f t="shared" si="33"/>
        <v>1</v>
      </c>
      <c r="F171" s="3471" t="s">
        <v>4397</v>
      </c>
      <c r="G171" s="21">
        <f t="shared" si="34"/>
        <v>1</v>
      </c>
      <c r="H171" s="666"/>
      <c r="I171" s="21">
        <f t="shared" si="35"/>
        <v>1</v>
      </c>
      <c r="J171" s="666"/>
      <c r="K171" s="21">
        <f t="shared" si="36"/>
        <v>1</v>
      </c>
      <c r="L171" s="666"/>
      <c r="M171" s="21">
        <f t="shared" si="37"/>
        <v>1</v>
      </c>
      <c r="N171" s="666"/>
      <c r="O171" s="21">
        <f t="shared" si="38"/>
        <v>1</v>
      </c>
      <c r="P171" s="666"/>
      <c r="Q171" s="21">
        <f t="shared" si="39"/>
        <v>1</v>
      </c>
      <c r="R171" s="662">
        <f t="shared" ca="1" si="40"/>
        <v>2412</v>
      </c>
      <c r="S171" s="665">
        <f t="shared" ca="1" si="31"/>
        <v>1.5388999999999999</v>
      </c>
    </row>
    <row r="172" spans="1:19">
      <c r="A172" s="150" t="s">
        <v>3888</v>
      </c>
      <c r="B172" s="3473">
        <v>4.3899999999999997</v>
      </c>
      <c r="C172" s="21">
        <f t="shared" si="32"/>
        <v>1.02</v>
      </c>
      <c r="D172" s="3466" t="s">
        <v>3442</v>
      </c>
      <c r="E172" s="21">
        <f t="shared" si="33"/>
        <v>1</v>
      </c>
      <c r="F172" s="3471" t="s">
        <v>4397</v>
      </c>
      <c r="G172" s="21">
        <f t="shared" si="34"/>
        <v>1</v>
      </c>
      <c r="H172" s="666"/>
      <c r="I172" s="21">
        <f t="shared" si="35"/>
        <v>1</v>
      </c>
      <c r="J172" s="666"/>
      <c r="K172" s="21">
        <f t="shared" si="36"/>
        <v>1</v>
      </c>
      <c r="L172" s="666"/>
      <c r="M172" s="21">
        <f t="shared" si="37"/>
        <v>1</v>
      </c>
      <c r="N172" s="666"/>
      <c r="O172" s="21">
        <f t="shared" si="38"/>
        <v>1</v>
      </c>
      <c r="P172" s="666"/>
      <c r="Q172" s="21">
        <f t="shared" si="39"/>
        <v>1</v>
      </c>
      <c r="R172" s="662">
        <f t="shared" ca="1" si="40"/>
        <v>2436</v>
      </c>
      <c r="S172" s="665">
        <f t="shared" ca="1" si="31"/>
        <v>1.0693999999999999</v>
      </c>
    </row>
    <row r="173" spans="1:19">
      <c r="A173" s="150" t="s">
        <v>3891</v>
      </c>
      <c r="B173" s="3473">
        <v>7.1</v>
      </c>
      <c r="C173" s="21">
        <f t="shared" si="32"/>
        <v>1.01</v>
      </c>
      <c r="D173" s="3466" t="s">
        <v>3442</v>
      </c>
      <c r="E173" s="21">
        <f t="shared" si="33"/>
        <v>1</v>
      </c>
      <c r="F173" s="3471" t="s">
        <v>4397</v>
      </c>
      <c r="G173" s="21">
        <f t="shared" si="34"/>
        <v>1</v>
      </c>
      <c r="H173" s="666"/>
      <c r="I173" s="21">
        <f t="shared" si="35"/>
        <v>1</v>
      </c>
      <c r="J173" s="666"/>
      <c r="K173" s="21">
        <f t="shared" si="36"/>
        <v>1</v>
      </c>
      <c r="L173" s="666"/>
      <c r="M173" s="21">
        <f t="shared" si="37"/>
        <v>1</v>
      </c>
      <c r="N173" s="666"/>
      <c r="O173" s="21">
        <f t="shared" si="38"/>
        <v>1</v>
      </c>
      <c r="P173" s="666"/>
      <c r="Q173" s="21">
        <f t="shared" si="39"/>
        <v>1</v>
      </c>
      <c r="R173" s="662">
        <f t="shared" ca="1" si="40"/>
        <v>2412</v>
      </c>
      <c r="S173" s="665">
        <f t="shared" ca="1" si="31"/>
        <v>1.7124999999999999</v>
      </c>
    </row>
    <row r="174" spans="1:19">
      <c r="A174" s="150" t="s">
        <v>3894</v>
      </c>
      <c r="B174" s="3473">
        <v>6.88</v>
      </c>
      <c r="C174" s="21">
        <f t="shared" si="32"/>
        <v>1.01</v>
      </c>
      <c r="D174" s="3466" t="s">
        <v>3442</v>
      </c>
      <c r="E174" s="21">
        <f t="shared" si="33"/>
        <v>1</v>
      </c>
      <c r="F174" s="3471" t="s">
        <v>4397</v>
      </c>
      <c r="G174" s="21">
        <f t="shared" si="34"/>
        <v>1</v>
      </c>
      <c r="H174" s="666"/>
      <c r="I174" s="21">
        <f t="shared" si="35"/>
        <v>1</v>
      </c>
      <c r="J174" s="666"/>
      <c r="K174" s="21">
        <f t="shared" si="36"/>
        <v>1</v>
      </c>
      <c r="L174" s="666"/>
      <c r="M174" s="21">
        <f t="shared" si="37"/>
        <v>1</v>
      </c>
      <c r="N174" s="666"/>
      <c r="O174" s="21">
        <f t="shared" si="38"/>
        <v>1</v>
      </c>
      <c r="P174" s="666"/>
      <c r="Q174" s="21">
        <f t="shared" si="39"/>
        <v>1</v>
      </c>
      <c r="R174" s="662">
        <f t="shared" ca="1" si="40"/>
        <v>2412</v>
      </c>
      <c r="S174" s="665">
        <f t="shared" ca="1" si="31"/>
        <v>1.6595</v>
      </c>
    </row>
    <row r="175" spans="1:19">
      <c r="A175" s="150" t="s">
        <v>3897</v>
      </c>
      <c r="B175" s="3473">
        <v>10.23</v>
      </c>
      <c r="C175" s="21">
        <f t="shared" si="32"/>
        <v>1</v>
      </c>
      <c r="D175" s="3466" t="s">
        <v>3524</v>
      </c>
      <c r="E175" s="21">
        <f t="shared" si="33"/>
        <v>0.9</v>
      </c>
      <c r="F175" s="3471" t="s">
        <v>4397</v>
      </c>
      <c r="G175" s="21">
        <f t="shared" si="34"/>
        <v>1</v>
      </c>
      <c r="H175" s="666"/>
      <c r="I175" s="21">
        <f t="shared" si="35"/>
        <v>1</v>
      </c>
      <c r="J175" s="666"/>
      <c r="K175" s="21">
        <f t="shared" si="36"/>
        <v>1</v>
      </c>
      <c r="L175" s="666"/>
      <c r="M175" s="21">
        <f t="shared" si="37"/>
        <v>1</v>
      </c>
      <c r="N175" s="666"/>
      <c r="O175" s="21">
        <f t="shared" si="38"/>
        <v>1</v>
      </c>
      <c r="P175" s="666"/>
      <c r="Q175" s="21">
        <f t="shared" si="39"/>
        <v>1</v>
      </c>
      <c r="R175" s="662">
        <f t="shared" ca="1" si="40"/>
        <v>2149</v>
      </c>
      <c r="S175" s="665">
        <f t="shared" ca="1" si="31"/>
        <v>2.1983999999999999</v>
      </c>
    </row>
    <row r="176" spans="1:19">
      <c r="A176" s="150" t="s">
        <v>3900</v>
      </c>
      <c r="B176" s="3473">
        <v>8.9700000000000006</v>
      </c>
      <c r="C176" s="21">
        <f t="shared" si="32"/>
        <v>1.01</v>
      </c>
      <c r="D176" s="3466" t="s">
        <v>3524</v>
      </c>
      <c r="E176" s="21">
        <f t="shared" si="33"/>
        <v>0.9</v>
      </c>
      <c r="F176" s="3471" t="s">
        <v>4397</v>
      </c>
      <c r="G176" s="21">
        <f t="shared" si="34"/>
        <v>1</v>
      </c>
      <c r="H176" s="666"/>
      <c r="I176" s="21">
        <f t="shared" si="35"/>
        <v>1</v>
      </c>
      <c r="J176" s="666"/>
      <c r="K176" s="21">
        <f t="shared" si="36"/>
        <v>1</v>
      </c>
      <c r="L176" s="666"/>
      <c r="M176" s="21">
        <f t="shared" si="37"/>
        <v>1</v>
      </c>
      <c r="N176" s="666"/>
      <c r="O176" s="21">
        <f t="shared" si="38"/>
        <v>1</v>
      </c>
      <c r="P176" s="666"/>
      <c r="Q176" s="21">
        <f t="shared" si="39"/>
        <v>1</v>
      </c>
      <c r="R176" s="662">
        <f t="shared" ca="1" si="40"/>
        <v>2171</v>
      </c>
      <c r="S176" s="665">
        <f t="shared" ca="1" si="31"/>
        <v>1.9474</v>
      </c>
    </row>
    <row r="177" spans="1:19">
      <c r="A177" s="150" t="s">
        <v>3903</v>
      </c>
      <c r="B177" s="3473">
        <v>8.9700000000000006</v>
      </c>
      <c r="C177" s="21">
        <f t="shared" si="32"/>
        <v>1.01</v>
      </c>
      <c r="D177" s="3466" t="s">
        <v>3524</v>
      </c>
      <c r="E177" s="21">
        <f t="shared" si="33"/>
        <v>0.9</v>
      </c>
      <c r="F177" s="3471" t="s">
        <v>4397</v>
      </c>
      <c r="G177" s="21">
        <f t="shared" si="34"/>
        <v>1</v>
      </c>
      <c r="H177" s="666"/>
      <c r="I177" s="21">
        <f t="shared" si="35"/>
        <v>1</v>
      </c>
      <c r="J177" s="666"/>
      <c r="K177" s="21">
        <f t="shared" si="36"/>
        <v>1</v>
      </c>
      <c r="L177" s="666"/>
      <c r="M177" s="21">
        <f t="shared" si="37"/>
        <v>1</v>
      </c>
      <c r="N177" s="666"/>
      <c r="O177" s="21">
        <f t="shared" si="38"/>
        <v>1</v>
      </c>
      <c r="P177" s="666"/>
      <c r="Q177" s="21">
        <f t="shared" si="39"/>
        <v>1</v>
      </c>
      <c r="R177" s="662">
        <f t="shared" ca="1" si="40"/>
        <v>2171</v>
      </c>
      <c r="S177" s="665">
        <f t="shared" ca="1" si="31"/>
        <v>1.9474</v>
      </c>
    </row>
    <row r="178" spans="1:19">
      <c r="A178" s="150" t="s">
        <v>3906</v>
      </c>
      <c r="B178" s="3473">
        <v>8.9700000000000006</v>
      </c>
      <c r="C178" s="21">
        <f t="shared" si="32"/>
        <v>1.01</v>
      </c>
      <c r="D178" s="3466" t="s">
        <v>3524</v>
      </c>
      <c r="E178" s="21">
        <f t="shared" si="33"/>
        <v>0.9</v>
      </c>
      <c r="F178" s="3471" t="s">
        <v>4392</v>
      </c>
      <c r="G178" s="21">
        <f t="shared" si="34"/>
        <v>1.2</v>
      </c>
      <c r="H178" s="666"/>
      <c r="I178" s="21">
        <f t="shared" si="35"/>
        <v>1</v>
      </c>
      <c r="J178" s="666"/>
      <c r="K178" s="21">
        <f t="shared" si="36"/>
        <v>1</v>
      </c>
      <c r="L178" s="666"/>
      <c r="M178" s="21">
        <f t="shared" si="37"/>
        <v>1</v>
      </c>
      <c r="N178" s="666"/>
      <c r="O178" s="21">
        <f t="shared" si="38"/>
        <v>1</v>
      </c>
      <c r="P178" s="666"/>
      <c r="Q178" s="21">
        <f t="shared" si="39"/>
        <v>1</v>
      </c>
      <c r="R178" s="662">
        <f t="shared" ca="1" si="40"/>
        <v>2605</v>
      </c>
      <c r="S178" s="665">
        <f t="shared" ca="1" si="31"/>
        <v>2.3367</v>
      </c>
    </row>
    <row r="179" spans="1:19">
      <c r="A179" s="150" t="s">
        <v>3909</v>
      </c>
      <c r="B179" s="3473">
        <v>8.1300000000000008</v>
      </c>
      <c r="C179" s="21">
        <f t="shared" si="32"/>
        <v>1.01</v>
      </c>
      <c r="D179" s="3466" t="s">
        <v>3524</v>
      </c>
      <c r="E179" s="21">
        <f t="shared" si="33"/>
        <v>0.9</v>
      </c>
      <c r="F179" s="3471" t="s">
        <v>4397</v>
      </c>
      <c r="G179" s="21">
        <f t="shared" si="34"/>
        <v>1</v>
      </c>
      <c r="H179" s="666"/>
      <c r="I179" s="21">
        <f t="shared" si="35"/>
        <v>1</v>
      </c>
      <c r="J179" s="666"/>
      <c r="K179" s="21">
        <f t="shared" si="36"/>
        <v>1</v>
      </c>
      <c r="L179" s="666"/>
      <c r="M179" s="21">
        <f t="shared" si="37"/>
        <v>1</v>
      </c>
      <c r="N179" s="666"/>
      <c r="O179" s="21">
        <f t="shared" si="38"/>
        <v>1</v>
      </c>
      <c r="P179" s="666"/>
      <c r="Q179" s="21">
        <f t="shared" si="39"/>
        <v>1</v>
      </c>
      <c r="R179" s="662">
        <f t="shared" ca="1" si="40"/>
        <v>2171</v>
      </c>
      <c r="S179" s="665">
        <f t="shared" ca="1" si="31"/>
        <v>1.7649999999999999</v>
      </c>
    </row>
    <row r="180" spans="1:19">
      <c r="A180" s="150" t="s">
        <v>3912</v>
      </c>
      <c r="B180" s="3473">
        <v>10.54</v>
      </c>
      <c r="C180" s="21">
        <f t="shared" si="32"/>
        <v>1</v>
      </c>
      <c r="D180" s="3466" t="s">
        <v>3524</v>
      </c>
      <c r="E180" s="21">
        <f t="shared" si="33"/>
        <v>0.9</v>
      </c>
      <c r="F180" s="3471" t="s">
        <v>4391</v>
      </c>
      <c r="G180" s="21">
        <f t="shared" si="34"/>
        <v>1.2</v>
      </c>
      <c r="H180" s="666"/>
      <c r="I180" s="21">
        <f t="shared" si="35"/>
        <v>1</v>
      </c>
      <c r="J180" s="666"/>
      <c r="K180" s="21">
        <f t="shared" si="36"/>
        <v>1</v>
      </c>
      <c r="L180" s="666"/>
      <c r="M180" s="21">
        <f t="shared" si="37"/>
        <v>1</v>
      </c>
      <c r="N180" s="666"/>
      <c r="O180" s="21">
        <f t="shared" si="38"/>
        <v>1</v>
      </c>
      <c r="P180" s="666"/>
      <c r="Q180" s="21">
        <f t="shared" si="39"/>
        <v>1</v>
      </c>
      <c r="R180" s="662">
        <f t="shared" ca="1" si="40"/>
        <v>2579</v>
      </c>
      <c r="S180" s="665">
        <f t="shared" ca="1" si="31"/>
        <v>2.7183000000000002</v>
      </c>
    </row>
    <row r="181" spans="1:19">
      <c r="A181" s="150" t="s">
        <v>3915</v>
      </c>
      <c r="B181" s="3473">
        <v>9.2200000000000006</v>
      </c>
      <c r="C181" s="21">
        <f t="shared" si="32"/>
        <v>1.01</v>
      </c>
      <c r="D181" s="3466" t="s">
        <v>3524</v>
      </c>
      <c r="E181" s="21">
        <f t="shared" si="33"/>
        <v>0.9</v>
      </c>
      <c r="F181" s="3471" t="s">
        <v>4397</v>
      </c>
      <c r="G181" s="21">
        <f t="shared" si="34"/>
        <v>1</v>
      </c>
      <c r="H181" s="666"/>
      <c r="I181" s="21">
        <f t="shared" si="35"/>
        <v>1</v>
      </c>
      <c r="J181" s="666"/>
      <c r="K181" s="21">
        <f t="shared" si="36"/>
        <v>1</v>
      </c>
      <c r="L181" s="666"/>
      <c r="M181" s="21">
        <f t="shared" si="37"/>
        <v>1</v>
      </c>
      <c r="N181" s="666"/>
      <c r="O181" s="21">
        <f t="shared" si="38"/>
        <v>1</v>
      </c>
      <c r="P181" s="666"/>
      <c r="Q181" s="21">
        <f t="shared" si="39"/>
        <v>1</v>
      </c>
      <c r="R181" s="662">
        <f t="shared" ca="1" si="40"/>
        <v>2171</v>
      </c>
      <c r="S181" s="665">
        <f t="shared" ca="1" si="31"/>
        <v>2.0017</v>
      </c>
    </row>
    <row r="182" spans="1:19">
      <c r="A182" s="150" t="s">
        <v>3918</v>
      </c>
      <c r="B182" s="3473">
        <v>6.46</v>
      </c>
      <c r="C182" s="21">
        <f t="shared" si="32"/>
        <v>1.01</v>
      </c>
      <c r="D182" s="3466" t="s">
        <v>3524</v>
      </c>
      <c r="E182" s="21">
        <f t="shared" si="33"/>
        <v>0.9</v>
      </c>
      <c r="F182" s="3471" t="s">
        <v>4397</v>
      </c>
      <c r="G182" s="21">
        <f t="shared" si="34"/>
        <v>1</v>
      </c>
      <c r="H182" s="666"/>
      <c r="I182" s="21">
        <f t="shared" si="35"/>
        <v>1</v>
      </c>
      <c r="J182" s="666"/>
      <c r="K182" s="21">
        <f t="shared" si="36"/>
        <v>1</v>
      </c>
      <c r="L182" s="666"/>
      <c r="M182" s="21">
        <f t="shared" si="37"/>
        <v>1</v>
      </c>
      <c r="N182" s="666"/>
      <c r="O182" s="21">
        <f t="shared" si="38"/>
        <v>1</v>
      </c>
      <c r="P182" s="666"/>
      <c r="Q182" s="21">
        <f t="shared" si="39"/>
        <v>1</v>
      </c>
      <c r="R182" s="662">
        <f t="shared" ca="1" si="40"/>
        <v>2171</v>
      </c>
      <c r="S182" s="665">
        <f t="shared" ca="1" si="31"/>
        <v>1.4025000000000001</v>
      </c>
    </row>
    <row r="183" spans="1:19">
      <c r="A183" s="150" t="s">
        <v>3921</v>
      </c>
      <c r="B183" s="3473">
        <v>6.74</v>
      </c>
      <c r="C183" s="21">
        <f t="shared" si="32"/>
        <v>1.01</v>
      </c>
      <c r="D183" s="3466" t="s">
        <v>3524</v>
      </c>
      <c r="E183" s="21">
        <f t="shared" si="33"/>
        <v>0.9</v>
      </c>
      <c r="F183" s="3471" t="s">
        <v>4397</v>
      </c>
      <c r="G183" s="21">
        <f t="shared" si="34"/>
        <v>1</v>
      </c>
      <c r="H183" s="666"/>
      <c r="I183" s="21">
        <f t="shared" si="35"/>
        <v>1</v>
      </c>
      <c r="J183" s="666"/>
      <c r="K183" s="21">
        <f t="shared" si="36"/>
        <v>1</v>
      </c>
      <c r="L183" s="666"/>
      <c r="M183" s="21">
        <f t="shared" si="37"/>
        <v>1</v>
      </c>
      <c r="N183" s="666"/>
      <c r="O183" s="21">
        <f t="shared" si="38"/>
        <v>1</v>
      </c>
      <c r="P183" s="666"/>
      <c r="Q183" s="21">
        <f t="shared" si="39"/>
        <v>1</v>
      </c>
      <c r="R183" s="662">
        <f t="shared" ca="1" si="40"/>
        <v>2171</v>
      </c>
      <c r="S183" s="665">
        <f t="shared" ca="1" si="31"/>
        <v>1.4633</v>
      </c>
    </row>
    <row r="184" spans="1:19">
      <c r="A184" s="150" t="s">
        <v>3924</v>
      </c>
      <c r="B184" s="3473">
        <v>8.07</v>
      </c>
      <c r="C184" s="21">
        <f t="shared" si="32"/>
        <v>1.01</v>
      </c>
      <c r="D184" s="3466" t="s">
        <v>3524</v>
      </c>
      <c r="E184" s="21">
        <f t="shared" si="33"/>
        <v>0.9</v>
      </c>
      <c r="F184" s="3471" t="s">
        <v>4397</v>
      </c>
      <c r="G184" s="21">
        <f t="shared" si="34"/>
        <v>1</v>
      </c>
      <c r="H184" s="666"/>
      <c r="I184" s="21">
        <f t="shared" si="35"/>
        <v>1</v>
      </c>
      <c r="J184" s="666"/>
      <c r="K184" s="21">
        <f t="shared" si="36"/>
        <v>1</v>
      </c>
      <c r="L184" s="666"/>
      <c r="M184" s="21">
        <f t="shared" si="37"/>
        <v>1</v>
      </c>
      <c r="N184" s="666"/>
      <c r="O184" s="21">
        <f t="shared" si="38"/>
        <v>1</v>
      </c>
      <c r="P184" s="666"/>
      <c r="Q184" s="21">
        <f t="shared" si="39"/>
        <v>1</v>
      </c>
      <c r="R184" s="662">
        <f t="shared" ca="1" si="40"/>
        <v>2171</v>
      </c>
      <c r="S184" s="665">
        <f t="shared" ca="1" si="31"/>
        <v>1.752</v>
      </c>
    </row>
    <row r="185" spans="1:19">
      <c r="A185" s="150" t="s">
        <v>3927</v>
      </c>
      <c r="B185" s="3473">
        <v>5.23</v>
      </c>
      <c r="C185" s="21">
        <f t="shared" si="32"/>
        <v>1.01</v>
      </c>
      <c r="D185" s="3466" t="s">
        <v>3524</v>
      </c>
      <c r="E185" s="21">
        <f t="shared" si="33"/>
        <v>0.9</v>
      </c>
      <c r="F185" s="3471" t="s">
        <v>4397</v>
      </c>
      <c r="G185" s="21">
        <f t="shared" si="34"/>
        <v>1</v>
      </c>
      <c r="H185" s="666"/>
      <c r="I185" s="21">
        <f t="shared" si="35"/>
        <v>1</v>
      </c>
      <c r="J185" s="666"/>
      <c r="K185" s="21">
        <f t="shared" si="36"/>
        <v>1</v>
      </c>
      <c r="L185" s="666"/>
      <c r="M185" s="21">
        <f t="shared" si="37"/>
        <v>1</v>
      </c>
      <c r="N185" s="666"/>
      <c r="O185" s="21">
        <f t="shared" si="38"/>
        <v>1</v>
      </c>
      <c r="P185" s="666"/>
      <c r="Q185" s="21">
        <f t="shared" si="39"/>
        <v>1</v>
      </c>
      <c r="R185" s="662">
        <f t="shared" ca="1" si="40"/>
        <v>2171</v>
      </c>
      <c r="S185" s="665">
        <f t="shared" ca="1" si="31"/>
        <v>1.1354</v>
      </c>
    </row>
    <row r="186" spans="1:19">
      <c r="A186" s="150" t="s">
        <v>3930</v>
      </c>
      <c r="B186" s="3473">
        <v>7.75</v>
      </c>
      <c r="C186" s="21">
        <f t="shared" si="32"/>
        <v>1.01</v>
      </c>
      <c r="D186" s="3466" t="s">
        <v>3524</v>
      </c>
      <c r="E186" s="21">
        <f t="shared" si="33"/>
        <v>0.9</v>
      </c>
      <c r="F186" s="3471" t="s">
        <v>4391</v>
      </c>
      <c r="G186" s="21">
        <f t="shared" si="34"/>
        <v>1.2</v>
      </c>
      <c r="H186" s="666"/>
      <c r="I186" s="21">
        <f t="shared" si="35"/>
        <v>1</v>
      </c>
      <c r="J186" s="666"/>
      <c r="K186" s="21">
        <f t="shared" si="36"/>
        <v>1</v>
      </c>
      <c r="L186" s="666"/>
      <c r="M186" s="21">
        <f t="shared" si="37"/>
        <v>1</v>
      </c>
      <c r="N186" s="666"/>
      <c r="O186" s="21">
        <f t="shared" si="38"/>
        <v>1</v>
      </c>
      <c r="P186" s="666"/>
      <c r="Q186" s="21">
        <f t="shared" si="39"/>
        <v>1</v>
      </c>
      <c r="R186" s="662">
        <f t="shared" ca="1" si="40"/>
        <v>2605</v>
      </c>
      <c r="S186" s="665">
        <f t="shared" ca="1" si="31"/>
        <v>2.0188999999999999</v>
      </c>
    </row>
    <row r="187" spans="1:19">
      <c r="A187" s="150" t="s">
        <v>3933</v>
      </c>
      <c r="B187" s="3473">
        <v>8.2100000000000009</v>
      </c>
      <c r="C187" s="21">
        <f t="shared" si="32"/>
        <v>1.01</v>
      </c>
      <c r="D187" s="3466" t="s">
        <v>3524</v>
      </c>
      <c r="E187" s="21">
        <f t="shared" si="33"/>
        <v>0.9</v>
      </c>
      <c r="F187" s="3471" t="s">
        <v>4397</v>
      </c>
      <c r="G187" s="21">
        <f t="shared" si="34"/>
        <v>1</v>
      </c>
      <c r="H187" s="666"/>
      <c r="I187" s="21">
        <f t="shared" si="35"/>
        <v>1</v>
      </c>
      <c r="J187" s="666"/>
      <c r="K187" s="21">
        <f t="shared" si="36"/>
        <v>1</v>
      </c>
      <c r="L187" s="666"/>
      <c r="M187" s="21">
        <f t="shared" si="37"/>
        <v>1</v>
      </c>
      <c r="N187" s="666"/>
      <c r="O187" s="21">
        <f t="shared" si="38"/>
        <v>1</v>
      </c>
      <c r="P187" s="666"/>
      <c r="Q187" s="21">
        <f t="shared" si="39"/>
        <v>1</v>
      </c>
      <c r="R187" s="662">
        <f t="shared" ca="1" si="40"/>
        <v>2171</v>
      </c>
      <c r="S187" s="665">
        <f t="shared" ca="1" si="31"/>
        <v>1.7824</v>
      </c>
    </row>
    <row r="188" spans="1:19">
      <c r="A188" s="150" t="s">
        <v>3936</v>
      </c>
      <c r="B188" s="3473">
        <v>7.83</v>
      </c>
      <c r="C188" s="21">
        <f t="shared" si="32"/>
        <v>1.01</v>
      </c>
      <c r="D188" s="3466" t="s">
        <v>3524</v>
      </c>
      <c r="E188" s="21">
        <f t="shared" si="33"/>
        <v>0.9</v>
      </c>
      <c r="F188" s="3471" t="s">
        <v>4391</v>
      </c>
      <c r="G188" s="21">
        <f t="shared" si="34"/>
        <v>1.2</v>
      </c>
      <c r="H188" s="666"/>
      <c r="I188" s="21">
        <f t="shared" si="35"/>
        <v>1</v>
      </c>
      <c r="J188" s="666"/>
      <c r="K188" s="21">
        <f t="shared" si="36"/>
        <v>1</v>
      </c>
      <c r="L188" s="666"/>
      <c r="M188" s="21">
        <f t="shared" si="37"/>
        <v>1</v>
      </c>
      <c r="N188" s="666"/>
      <c r="O188" s="21">
        <f t="shared" si="38"/>
        <v>1</v>
      </c>
      <c r="P188" s="666"/>
      <c r="Q188" s="21">
        <f t="shared" si="39"/>
        <v>1</v>
      </c>
      <c r="R188" s="662">
        <f t="shared" ca="1" si="40"/>
        <v>2605</v>
      </c>
      <c r="S188" s="665">
        <f t="shared" ca="1" si="31"/>
        <v>2.0396999999999998</v>
      </c>
    </row>
    <row r="189" spans="1:19">
      <c r="A189" s="150" t="s">
        <v>3939</v>
      </c>
      <c r="B189" s="3473">
        <v>7.59</v>
      </c>
      <c r="C189" s="21">
        <f t="shared" si="32"/>
        <v>1.01</v>
      </c>
      <c r="D189" s="3466" t="s">
        <v>3524</v>
      </c>
      <c r="E189" s="21">
        <f t="shared" si="33"/>
        <v>0.9</v>
      </c>
      <c r="F189" s="3471" t="s">
        <v>4397</v>
      </c>
      <c r="G189" s="21">
        <f t="shared" si="34"/>
        <v>1</v>
      </c>
      <c r="H189" s="666"/>
      <c r="I189" s="21">
        <f t="shared" si="35"/>
        <v>1</v>
      </c>
      <c r="J189" s="666"/>
      <c r="K189" s="21">
        <f t="shared" si="36"/>
        <v>1</v>
      </c>
      <c r="L189" s="666"/>
      <c r="M189" s="21">
        <f t="shared" si="37"/>
        <v>1</v>
      </c>
      <c r="N189" s="666"/>
      <c r="O189" s="21">
        <f t="shared" si="38"/>
        <v>1</v>
      </c>
      <c r="P189" s="666"/>
      <c r="Q189" s="21">
        <f t="shared" si="39"/>
        <v>1</v>
      </c>
      <c r="R189" s="662">
        <f t="shared" ca="1" si="40"/>
        <v>2171</v>
      </c>
      <c r="S189" s="665">
        <f t="shared" ca="1" si="31"/>
        <v>1.6477999999999999</v>
      </c>
    </row>
    <row r="190" spans="1:19">
      <c r="A190" s="150" t="s">
        <v>3943</v>
      </c>
      <c r="B190" s="3473">
        <v>10.11</v>
      </c>
      <c r="C190" s="21">
        <f t="shared" si="32"/>
        <v>1</v>
      </c>
      <c r="D190" s="3466" t="s">
        <v>3524</v>
      </c>
      <c r="E190" s="21">
        <f t="shared" si="33"/>
        <v>0.9</v>
      </c>
      <c r="F190" s="3471" t="s">
        <v>4397</v>
      </c>
      <c r="G190" s="21">
        <f t="shared" si="34"/>
        <v>1</v>
      </c>
      <c r="H190" s="666"/>
      <c r="I190" s="21">
        <f t="shared" si="35"/>
        <v>1</v>
      </c>
      <c r="J190" s="666"/>
      <c r="K190" s="21">
        <f t="shared" si="36"/>
        <v>1</v>
      </c>
      <c r="L190" s="666"/>
      <c r="M190" s="21">
        <f t="shared" si="37"/>
        <v>1</v>
      </c>
      <c r="N190" s="666"/>
      <c r="O190" s="21">
        <f t="shared" si="38"/>
        <v>1</v>
      </c>
      <c r="P190" s="666"/>
      <c r="Q190" s="21">
        <f t="shared" si="39"/>
        <v>1</v>
      </c>
      <c r="R190" s="662">
        <f t="shared" ca="1" si="40"/>
        <v>2149</v>
      </c>
      <c r="S190" s="665">
        <f t="shared" ca="1" si="31"/>
        <v>2.1726000000000001</v>
      </c>
    </row>
    <row r="191" spans="1:19">
      <c r="A191" s="150" t="s">
        <v>3946</v>
      </c>
      <c r="B191" s="3473">
        <v>8.8699999999999992</v>
      </c>
      <c r="C191" s="21">
        <f t="shared" si="32"/>
        <v>1.01</v>
      </c>
      <c r="D191" s="3466" t="s">
        <v>3524</v>
      </c>
      <c r="E191" s="21">
        <f t="shared" si="33"/>
        <v>0.9</v>
      </c>
      <c r="F191" s="3471" t="s">
        <v>4397</v>
      </c>
      <c r="G191" s="21">
        <f t="shared" si="34"/>
        <v>1</v>
      </c>
      <c r="H191" s="666"/>
      <c r="I191" s="21">
        <f t="shared" si="35"/>
        <v>1</v>
      </c>
      <c r="J191" s="666"/>
      <c r="K191" s="21">
        <f t="shared" si="36"/>
        <v>1</v>
      </c>
      <c r="L191" s="666"/>
      <c r="M191" s="21">
        <f t="shared" si="37"/>
        <v>1</v>
      </c>
      <c r="N191" s="666"/>
      <c r="O191" s="21">
        <f t="shared" si="38"/>
        <v>1</v>
      </c>
      <c r="P191" s="666"/>
      <c r="Q191" s="21">
        <f t="shared" si="39"/>
        <v>1</v>
      </c>
      <c r="R191" s="662">
        <f t="shared" ca="1" si="40"/>
        <v>2171</v>
      </c>
      <c r="S191" s="665">
        <f t="shared" ca="1" si="31"/>
        <v>1.9257</v>
      </c>
    </row>
    <row r="192" spans="1:19">
      <c r="A192" s="150" t="s">
        <v>3949</v>
      </c>
      <c r="B192" s="3473">
        <v>8.8699999999999992</v>
      </c>
      <c r="C192" s="21">
        <f t="shared" si="32"/>
        <v>1.01</v>
      </c>
      <c r="D192" s="3466" t="s">
        <v>3524</v>
      </c>
      <c r="E192" s="21">
        <f t="shared" si="33"/>
        <v>0.9</v>
      </c>
      <c r="F192" s="3471" t="s">
        <v>4397</v>
      </c>
      <c r="G192" s="21">
        <f t="shared" si="34"/>
        <v>1</v>
      </c>
      <c r="H192" s="666"/>
      <c r="I192" s="21">
        <f t="shared" si="35"/>
        <v>1</v>
      </c>
      <c r="J192" s="666"/>
      <c r="K192" s="21">
        <f t="shared" si="36"/>
        <v>1</v>
      </c>
      <c r="L192" s="666"/>
      <c r="M192" s="21">
        <f t="shared" si="37"/>
        <v>1</v>
      </c>
      <c r="N192" s="666"/>
      <c r="O192" s="21">
        <f t="shared" si="38"/>
        <v>1</v>
      </c>
      <c r="P192" s="666"/>
      <c r="Q192" s="21">
        <f t="shared" si="39"/>
        <v>1</v>
      </c>
      <c r="R192" s="662">
        <f t="shared" ca="1" si="40"/>
        <v>2171</v>
      </c>
      <c r="S192" s="665">
        <f t="shared" ca="1" si="31"/>
        <v>1.9257</v>
      </c>
    </row>
    <row r="193" spans="1:19">
      <c r="A193" s="150" t="s">
        <v>3952</v>
      </c>
      <c r="B193" s="3473">
        <v>8.8699999999999992</v>
      </c>
      <c r="C193" s="21">
        <f t="shared" si="32"/>
        <v>1.01</v>
      </c>
      <c r="D193" s="3466" t="s">
        <v>3524</v>
      </c>
      <c r="E193" s="21">
        <f t="shared" si="33"/>
        <v>0.9</v>
      </c>
      <c r="F193" s="3471" t="s">
        <v>4397</v>
      </c>
      <c r="G193" s="21">
        <f t="shared" si="34"/>
        <v>1</v>
      </c>
      <c r="H193" s="666"/>
      <c r="I193" s="21">
        <f t="shared" si="35"/>
        <v>1</v>
      </c>
      <c r="J193" s="666"/>
      <c r="K193" s="21">
        <f t="shared" si="36"/>
        <v>1</v>
      </c>
      <c r="L193" s="666"/>
      <c r="M193" s="21">
        <f t="shared" si="37"/>
        <v>1</v>
      </c>
      <c r="N193" s="666"/>
      <c r="O193" s="21">
        <f t="shared" si="38"/>
        <v>1</v>
      </c>
      <c r="P193" s="666"/>
      <c r="Q193" s="21">
        <f t="shared" si="39"/>
        <v>1</v>
      </c>
      <c r="R193" s="662">
        <f t="shared" ca="1" si="40"/>
        <v>2171</v>
      </c>
      <c r="S193" s="665">
        <f t="shared" ca="1" si="31"/>
        <v>1.9257</v>
      </c>
    </row>
    <row r="194" spans="1:19">
      <c r="A194" s="150" t="s">
        <v>3955</v>
      </c>
      <c r="B194" s="3473">
        <v>8.0399999999999991</v>
      </c>
      <c r="C194" s="21">
        <f t="shared" si="32"/>
        <v>1.01</v>
      </c>
      <c r="D194" s="3466" t="s">
        <v>3524</v>
      </c>
      <c r="E194" s="21">
        <f t="shared" si="33"/>
        <v>0.9</v>
      </c>
      <c r="F194" s="3471" t="s">
        <v>4397</v>
      </c>
      <c r="G194" s="21">
        <f t="shared" si="34"/>
        <v>1</v>
      </c>
      <c r="H194" s="666"/>
      <c r="I194" s="21">
        <f t="shared" si="35"/>
        <v>1</v>
      </c>
      <c r="J194" s="666"/>
      <c r="K194" s="21">
        <f t="shared" si="36"/>
        <v>1</v>
      </c>
      <c r="L194" s="666"/>
      <c r="M194" s="21">
        <f t="shared" si="37"/>
        <v>1</v>
      </c>
      <c r="N194" s="666"/>
      <c r="O194" s="21">
        <f t="shared" si="38"/>
        <v>1</v>
      </c>
      <c r="P194" s="666"/>
      <c r="Q194" s="21">
        <f t="shared" si="39"/>
        <v>1</v>
      </c>
      <c r="R194" s="662">
        <f t="shared" ca="1" si="40"/>
        <v>2171</v>
      </c>
      <c r="S194" s="665">
        <f t="shared" ca="1" si="31"/>
        <v>1.7455000000000001</v>
      </c>
    </row>
    <row r="195" spans="1:19">
      <c r="A195" s="150" t="s">
        <v>3958</v>
      </c>
      <c r="B195" s="3473">
        <v>10.42</v>
      </c>
      <c r="C195" s="21">
        <f t="shared" si="32"/>
        <v>1</v>
      </c>
      <c r="D195" s="3466" t="s">
        <v>3524</v>
      </c>
      <c r="E195" s="21">
        <f t="shared" si="33"/>
        <v>0.9</v>
      </c>
      <c r="F195" s="3471" t="s">
        <v>4391</v>
      </c>
      <c r="G195" s="21">
        <f t="shared" si="34"/>
        <v>1.2</v>
      </c>
      <c r="H195" s="666"/>
      <c r="I195" s="21">
        <f t="shared" si="35"/>
        <v>1</v>
      </c>
      <c r="J195" s="666"/>
      <c r="K195" s="21">
        <f t="shared" si="36"/>
        <v>1</v>
      </c>
      <c r="L195" s="666"/>
      <c r="M195" s="21">
        <f t="shared" si="37"/>
        <v>1</v>
      </c>
      <c r="N195" s="666"/>
      <c r="O195" s="21">
        <f t="shared" si="38"/>
        <v>1</v>
      </c>
      <c r="P195" s="666"/>
      <c r="Q195" s="21">
        <f t="shared" si="39"/>
        <v>1</v>
      </c>
      <c r="R195" s="662">
        <f t="shared" ca="1" si="40"/>
        <v>2579</v>
      </c>
      <c r="S195" s="665">
        <f t="shared" ca="1" si="31"/>
        <v>2.6873</v>
      </c>
    </row>
    <row r="196" spans="1:19">
      <c r="A196" s="150" t="s">
        <v>3961</v>
      </c>
      <c r="B196" s="3473">
        <v>8.1</v>
      </c>
      <c r="C196" s="21">
        <f t="shared" si="32"/>
        <v>1.01</v>
      </c>
      <c r="D196" s="3466" t="s">
        <v>3524</v>
      </c>
      <c r="E196" s="21">
        <f t="shared" si="33"/>
        <v>0.9</v>
      </c>
      <c r="F196" s="3471" t="s">
        <v>4397</v>
      </c>
      <c r="G196" s="21">
        <f t="shared" si="34"/>
        <v>1</v>
      </c>
      <c r="H196" s="666"/>
      <c r="I196" s="21">
        <f t="shared" si="35"/>
        <v>1</v>
      </c>
      <c r="J196" s="666"/>
      <c r="K196" s="21">
        <f t="shared" si="36"/>
        <v>1</v>
      </c>
      <c r="L196" s="666"/>
      <c r="M196" s="21">
        <f t="shared" si="37"/>
        <v>1</v>
      </c>
      <c r="N196" s="666"/>
      <c r="O196" s="21">
        <f t="shared" si="38"/>
        <v>1</v>
      </c>
      <c r="P196" s="666"/>
      <c r="Q196" s="21">
        <f t="shared" si="39"/>
        <v>1</v>
      </c>
      <c r="R196" s="662">
        <f t="shared" ca="1" si="40"/>
        <v>2171</v>
      </c>
      <c r="S196" s="665">
        <f t="shared" ca="1" si="31"/>
        <v>1.7585</v>
      </c>
    </row>
    <row r="197" spans="1:19">
      <c r="A197" s="150" t="s">
        <v>3964</v>
      </c>
      <c r="B197" s="3473">
        <v>7.97</v>
      </c>
      <c r="C197" s="21">
        <f t="shared" si="32"/>
        <v>1.01</v>
      </c>
      <c r="D197" s="3466" t="s">
        <v>3524</v>
      </c>
      <c r="E197" s="21">
        <f t="shared" si="33"/>
        <v>0.9</v>
      </c>
      <c r="F197" s="3471" t="s">
        <v>4397</v>
      </c>
      <c r="G197" s="21">
        <f t="shared" si="34"/>
        <v>1</v>
      </c>
      <c r="H197" s="666"/>
      <c r="I197" s="21">
        <f t="shared" si="35"/>
        <v>1</v>
      </c>
      <c r="J197" s="666"/>
      <c r="K197" s="21">
        <f t="shared" si="36"/>
        <v>1</v>
      </c>
      <c r="L197" s="666"/>
      <c r="M197" s="21">
        <f t="shared" si="37"/>
        <v>1</v>
      </c>
      <c r="N197" s="666"/>
      <c r="O197" s="21">
        <f t="shared" si="38"/>
        <v>1</v>
      </c>
      <c r="P197" s="666"/>
      <c r="Q197" s="21">
        <f t="shared" si="39"/>
        <v>1</v>
      </c>
      <c r="R197" s="662">
        <f t="shared" ca="1" si="40"/>
        <v>2171</v>
      </c>
      <c r="S197" s="665">
        <f t="shared" ca="1" si="31"/>
        <v>1.7302999999999999</v>
      </c>
    </row>
    <row r="198" spans="1:19">
      <c r="A198" s="150" t="s">
        <v>3967</v>
      </c>
      <c r="B198" s="3473">
        <v>9.6199999999999992</v>
      </c>
      <c r="C198" s="21">
        <f t="shared" si="32"/>
        <v>1.01</v>
      </c>
      <c r="D198" s="3466" t="s">
        <v>3524</v>
      </c>
      <c r="E198" s="21">
        <f t="shared" si="33"/>
        <v>0.9</v>
      </c>
      <c r="F198" s="3471" t="s">
        <v>4397</v>
      </c>
      <c r="G198" s="21">
        <f t="shared" si="34"/>
        <v>1</v>
      </c>
      <c r="H198" s="666"/>
      <c r="I198" s="21">
        <f t="shared" si="35"/>
        <v>1</v>
      </c>
      <c r="J198" s="666"/>
      <c r="K198" s="21">
        <f t="shared" si="36"/>
        <v>1</v>
      </c>
      <c r="L198" s="666"/>
      <c r="M198" s="21">
        <f t="shared" si="37"/>
        <v>1</v>
      </c>
      <c r="N198" s="666"/>
      <c r="O198" s="21">
        <f t="shared" si="38"/>
        <v>1</v>
      </c>
      <c r="P198" s="666"/>
      <c r="Q198" s="21">
        <f t="shared" si="39"/>
        <v>1</v>
      </c>
      <c r="R198" s="662">
        <f t="shared" ca="1" si="40"/>
        <v>2171</v>
      </c>
      <c r="S198" s="665">
        <f t="shared" ca="1" si="31"/>
        <v>2.0884999999999998</v>
      </c>
    </row>
    <row r="199" spans="1:19">
      <c r="A199" s="150" t="s">
        <v>3970</v>
      </c>
      <c r="B199" s="3473">
        <v>9.2799999999999994</v>
      </c>
      <c r="C199" s="21">
        <f t="shared" si="32"/>
        <v>1.01</v>
      </c>
      <c r="D199" s="3466" t="s">
        <v>3524</v>
      </c>
      <c r="E199" s="21">
        <f t="shared" si="33"/>
        <v>0.9</v>
      </c>
      <c r="F199" s="3471" t="s">
        <v>4397</v>
      </c>
      <c r="G199" s="21">
        <f t="shared" si="34"/>
        <v>1</v>
      </c>
      <c r="H199" s="666"/>
      <c r="I199" s="21">
        <f t="shared" si="35"/>
        <v>1</v>
      </c>
      <c r="J199" s="666"/>
      <c r="K199" s="21">
        <f t="shared" si="36"/>
        <v>1</v>
      </c>
      <c r="L199" s="666"/>
      <c r="M199" s="21">
        <f t="shared" si="37"/>
        <v>1</v>
      </c>
      <c r="N199" s="666"/>
      <c r="O199" s="21">
        <f t="shared" si="38"/>
        <v>1</v>
      </c>
      <c r="P199" s="666"/>
      <c r="Q199" s="21">
        <f t="shared" si="39"/>
        <v>1</v>
      </c>
      <c r="R199" s="662">
        <f t="shared" ca="1" si="40"/>
        <v>2171</v>
      </c>
      <c r="S199" s="665">
        <f t="shared" ca="1" si="31"/>
        <v>2.0146999999999999</v>
      </c>
    </row>
    <row r="200" spans="1:19">
      <c r="A200" s="150" t="s">
        <v>3973</v>
      </c>
      <c r="B200" s="3473">
        <v>8.02</v>
      </c>
      <c r="C200" s="21">
        <f t="shared" si="32"/>
        <v>1.01</v>
      </c>
      <c r="D200" s="3466" t="s">
        <v>3524</v>
      </c>
      <c r="E200" s="21">
        <f t="shared" si="33"/>
        <v>0.9</v>
      </c>
      <c r="F200" s="3471" t="s">
        <v>4397</v>
      </c>
      <c r="G200" s="21">
        <f t="shared" si="34"/>
        <v>1</v>
      </c>
      <c r="H200" s="666"/>
      <c r="I200" s="21">
        <f t="shared" si="35"/>
        <v>1</v>
      </c>
      <c r="J200" s="666"/>
      <c r="K200" s="21">
        <f t="shared" si="36"/>
        <v>1</v>
      </c>
      <c r="L200" s="666"/>
      <c r="M200" s="21">
        <f t="shared" si="37"/>
        <v>1</v>
      </c>
      <c r="N200" s="666"/>
      <c r="O200" s="21">
        <f t="shared" si="38"/>
        <v>1</v>
      </c>
      <c r="P200" s="666"/>
      <c r="Q200" s="21">
        <f t="shared" si="39"/>
        <v>1</v>
      </c>
      <c r="R200" s="662">
        <f t="shared" ca="1" si="40"/>
        <v>2171</v>
      </c>
      <c r="S200" s="665">
        <f t="shared" ca="1" si="31"/>
        <v>1.7411000000000001</v>
      </c>
    </row>
    <row r="201" spans="1:19">
      <c r="A201" s="150" t="s">
        <v>3976</v>
      </c>
      <c r="B201" s="3473">
        <v>8.14</v>
      </c>
      <c r="C201" s="21">
        <f t="shared" si="32"/>
        <v>1.01</v>
      </c>
      <c r="D201" s="3466" t="s">
        <v>3524</v>
      </c>
      <c r="E201" s="21">
        <f t="shared" si="33"/>
        <v>0.9</v>
      </c>
      <c r="F201" s="3471" t="s">
        <v>4397</v>
      </c>
      <c r="G201" s="21">
        <f t="shared" si="34"/>
        <v>1</v>
      </c>
      <c r="H201" s="666"/>
      <c r="I201" s="21">
        <f t="shared" si="35"/>
        <v>1</v>
      </c>
      <c r="J201" s="666"/>
      <c r="K201" s="21">
        <f t="shared" si="36"/>
        <v>1</v>
      </c>
      <c r="L201" s="666"/>
      <c r="M201" s="21">
        <f t="shared" si="37"/>
        <v>1</v>
      </c>
      <c r="N201" s="666"/>
      <c r="O201" s="21">
        <f t="shared" si="38"/>
        <v>1</v>
      </c>
      <c r="P201" s="666"/>
      <c r="Q201" s="21">
        <f t="shared" si="39"/>
        <v>1</v>
      </c>
      <c r="R201" s="662">
        <f t="shared" ca="1" si="40"/>
        <v>2171</v>
      </c>
      <c r="S201" s="665">
        <f t="shared" ca="1" si="31"/>
        <v>1.7672000000000001</v>
      </c>
    </row>
    <row r="202" spans="1:19">
      <c r="A202" s="150" t="s">
        <v>3979</v>
      </c>
      <c r="B202" s="3473">
        <v>8.14</v>
      </c>
      <c r="C202" s="21">
        <f t="shared" si="32"/>
        <v>1.01</v>
      </c>
      <c r="D202" s="3466" t="s">
        <v>3524</v>
      </c>
      <c r="E202" s="21">
        <f t="shared" si="33"/>
        <v>0.9</v>
      </c>
      <c r="F202" s="3471" t="s">
        <v>4397</v>
      </c>
      <c r="G202" s="21">
        <f t="shared" si="34"/>
        <v>1</v>
      </c>
      <c r="H202" s="666"/>
      <c r="I202" s="21">
        <f t="shared" si="35"/>
        <v>1</v>
      </c>
      <c r="J202" s="666"/>
      <c r="K202" s="21">
        <f t="shared" si="36"/>
        <v>1</v>
      </c>
      <c r="L202" s="666"/>
      <c r="M202" s="21">
        <f t="shared" si="37"/>
        <v>1</v>
      </c>
      <c r="N202" s="666"/>
      <c r="O202" s="21">
        <f t="shared" si="38"/>
        <v>1</v>
      </c>
      <c r="P202" s="666"/>
      <c r="Q202" s="21">
        <f t="shared" si="39"/>
        <v>1</v>
      </c>
      <c r="R202" s="662">
        <f t="shared" ca="1" si="40"/>
        <v>2171</v>
      </c>
      <c r="S202" s="665">
        <f t="shared" ca="1" si="31"/>
        <v>1.7672000000000001</v>
      </c>
    </row>
    <row r="203" spans="1:19">
      <c r="A203" s="150" t="s">
        <v>3982</v>
      </c>
      <c r="B203" s="3473">
        <v>8.02</v>
      </c>
      <c r="C203" s="21">
        <f t="shared" si="32"/>
        <v>1.01</v>
      </c>
      <c r="D203" s="3466" t="s">
        <v>3524</v>
      </c>
      <c r="E203" s="21">
        <f t="shared" si="33"/>
        <v>0.9</v>
      </c>
      <c r="F203" s="3471" t="s">
        <v>4397</v>
      </c>
      <c r="G203" s="21">
        <f t="shared" si="34"/>
        <v>1</v>
      </c>
      <c r="H203" s="666"/>
      <c r="I203" s="21">
        <f t="shared" si="35"/>
        <v>1</v>
      </c>
      <c r="J203" s="666"/>
      <c r="K203" s="21">
        <f t="shared" si="36"/>
        <v>1</v>
      </c>
      <c r="L203" s="666"/>
      <c r="M203" s="21">
        <f t="shared" si="37"/>
        <v>1</v>
      </c>
      <c r="N203" s="666"/>
      <c r="O203" s="21">
        <f t="shared" si="38"/>
        <v>1</v>
      </c>
      <c r="P203" s="666"/>
      <c r="Q203" s="21">
        <f t="shared" si="39"/>
        <v>1</v>
      </c>
      <c r="R203" s="662">
        <f t="shared" ca="1" si="40"/>
        <v>2171</v>
      </c>
      <c r="S203" s="665">
        <f t="shared" ca="1" si="31"/>
        <v>1.7411000000000001</v>
      </c>
    </row>
    <row r="204" spans="1:19">
      <c r="A204" s="150" t="s">
        <v>3985</v>
      </c>
      <c r="B204" s="3473">
        <v>11.06</v>
      </c>
      <c r="C204" s="21">
        <f t="shared" si="32"/>
        <v>1</v>
      </c>
      <c r="D204" s="3466" t="s">
        <v>3524</v>
      </c>
      <c r="E204" s="21">
        <f t="shared" si="33"/>
        <v>0.9</v>
      </c>
      <c r="F204" s="3471" t="s">
        <v>4392</v>
      </c>
      <c r="G204" s="21">
        <f t="shared" si="34"/>
        <v>1.2</v>
      </c>
      <c r="H204" s="666"/>
      <c r="I204" s="21">
        <f t="shared" si="35"/>
        <v>1</v>
      </c>
      <c r="J204" s="666"/>
      <c r="K204" s="21">
        <f t="shared" si="36"/>
        <v>1</v>
      </c>
      <c r="L204" s="666"/>
      <c r="M204" s="21">
        <f t="shared" si="37"/>
        <v>1</v>
      </c>
      <c r="N204" s="666"/>
      <c r="O204" s="21">
        <f t="shared" si="38"/>
        <v>1</v>
      </c>
      <c r="P204" s="666"/>
      <c r="Q204" s="21">
        <f t="shared" si="39"/>
        <v>1</v>
      </c>
      <c r="R204" s="662">
        <f t="shared" ca="1" si="40"/>
        <v>2579</v>
      </c>
      <c r="S204" s="665">
        <f t="shared" ca="1" si="31"/>
        <v>2.8523999999999998</v>
      </c>
    </row>
    <row r="205" spans="1:19">
      <c r="A205" s="150" t="s">
        <v>3988</v>
      </c>
      <c r="B205" s="3473">
        <v>8.8699999999999992</v>
      </c>
      <c r="C205" s="21">
        <f t="shared" si="32"/>
        <v>1.01</v>
      </c>
      <c r="D205" s="3466" t="s">
        <v>3524</v>
      </c>
      <c r="E205" s="21">
        <f t="shared" si="33"/>
        <v>0.9</v>
      </c>
      <c r="F205" s="3471" t="s">
        <v>4397</v>
      </c>
      <c r="G205" s="21">
        <f t="shared" si="34"/>
        <v>1</v>
      </c>
      <c r="H205" s="666"/>
      <c r="I205" s="21">
        <f t="shared" si="35"/>
        <v>1</v>
      </c>
      <c r="J205" s="666"/>
      <c r="K205" s="21">
        <f t="shared" si="36"/>
        <v>1</v>
      </c>
      <c r="L205" s="666"/>
      <c r="M205" s="21">
        <f t="shared" si="37"/>
        <v>1</v>
      </c>
      <c r="N205" s="666"/>
      <c r="O205" s="21">
        <f t="shared" si="38"/>
        <v>1</v>
      </c>
      <c r="P205" s="666"/>
      <c r="Q205" s="21">
        <f t="shared" si="39"/>
        <v>1</v>
      </c>
      <c r="R205" s="662">
        <f t="shared" ca="1" si="40"/>
        <v>2171</v>
      </c>
      <c r="S205" s="665">
        <f t="shared" ca="1" si="31"/>
        <v>1.9257</v>
      </c>
    </row>
    <row r="206" spans="1:19">
      <c r="A206" s="150" t="s">
        <v>3991</v>
      </c>
      <c r="B206" s="3473">
        <v>8.8699999999999992</v>
      </c>
      <c r="C206" s="21">
        <f t="shared" si="32"/>
        <v>1.01</v>
      </c>
      <c r="D206" s="3466" t="s">
        <v>3524</v>
      </c>
      <c r="E206" s="21">
        <f t="shared" si="33"/>
        <v>0.9</v>
      </c>
      <c r="F206" s="3471" t="s">
        <v>4397</v>
      </c>
      <c r="G206" s="21">
        <f t="shared" si="34"/>
        <v>1</v>
      </c>
      <c r="H206" s="666"/>
      <c r="I206" s="21">
        <f t="shared" si="35"/>
        <v>1</v>
      </c>
      <c r="J206" s="666"/>
      <c r="K206" s="21">
        <f t="shared" si="36"/>
        <v>1</v>
      </c>
      <c r="L206" s="666"/>
      <c r="M206" s="21">
        <f t="shared" si="37"/>
        <v>1</v>
      </c>
      <c r="N206" s="666"/>
      <c r="O206" s="21">
        <f t="shared" si="38"/>
        <v>1</v>
      </c>
      <c r="P206" s="666"/>
      <c r="Q206" s="21">
        <f t="shared" si="39"/>
        <v>1</v>
      </c>
      <c r="R206" s="662">
        <f t="shared" ca="1" si="40"/>
        <v>2171</v>
      </c>
      <c r="S206" s="665">
        <f t="shared" ca="1" si="31"/>
        <v>1.9257</v>
      </c>
    </row>
    <row r="207" spans="1:19">
      <c r="A207" s="150" t="s">
        <v>3994</v>
      </c>
      <c r="B207" s="3473">
        <v>8.8699999999999992</v>
      </c>
      <c r="C207" s="21">
        <f t="shared" si="32"/>
        <v>1.01</v>
      </c>
      <c r="D207" s="3466" t="s">
        <v>3524</v>
      </c>
      <c r="E207" s="21">
        <f t="shared" si="33"/>
        <v>0.9</v>
      </c>
      <c r="F207" s="3471" t="s">
        <v>4397</v>
      </c>
      <c r="G207" s="21">
        <f t="shared" si="34"/>
        <v>1</v>
      </c>
      <c r="H207" s="666"/>
      <c r="I207" s="21">
        <f t="shared" si="35"/>
        <v>1</v>
      </c>
      <c r="J207" s="666"/>
      <c r="K207" s="21">
        <f t="shared" si="36"/>
        <v>1</v>
      </c>
      <c r="L207" s="666"/>
      <c r="M207" s="21">
        <f t="shared" si="37"/>
        <v>1</v>
      </c>
      <c r="N207" s="666"/>
      <c r="O207" s="21">
        <f t="shared" si="38"/>
        <v>1</v>
      </c>
      <c r="P207" s="666"/>
      <c r="Q207" s="21">
        <f t="shared" si="39"/>
        <v>1</v>
      </c>
      <c r="R207" s="662">
        <f t="shared" ca="1" si="40"/>
        <v>2171</v>
      </c>
      <c r="S207" s="665">
        <f t="shared" ca="1" si="31"/>
        <v>1.9257</v>
      </c>
    </row>
    <row r="208" spans="1:19">
      <c r="A208" s="150" t="s">
        <v>3997</v>
      </c>
      <c r="B208" s="3473">
        <v>9.18</v>
      </c>
      <c r="C208" s="21">
        <f t="shared" si="32"/>
        <v>1.01</v>
      </c>
      <c r="D208" s="3466" t="s">
        <v>3524</v>
      </c>
      <c r="E208" s="21">
        <f t="shared" si="33"/>
        <v>0.9</v>
      </c>
      <c r="F208" s="3471" t="s">
        <v>4397</v>
      </c>
      <c r="G208" s="21">
        <f t="shared" si="34"/>
        <v>1</v>
      </c>
      <c r="H208" s="666"/>
      <c r="I208" s="21">
        <f t="shared" si="35"/>
        <v>1</v>
      </c>
      <c r="J208" s="666"/>
      <c r="K208" s="21">
        <f t="shared" si="36"/>
        <v>1</v>
      </c>
      <c r="L208" s="666"/>
      <c r="M208" s="21">
        <f t="shared" si="37"/>
        <v>1</v>
      </c>
      <c r="N208" s="666"/>
      <c r="O208" s="21">
        <f t="shared" si="38"/>
        <v>1</v>
      </c>
      <c r="P208" s="666"/>
      <c r="Q208" s="21">
        <f t="shared" si="39"/>
        <v>1</v>
      </c>
      <c r="R208" s="662">
        <f t="shared" ca="1" si="40"/>
        <v>2171</v>
      </c>
      <c r="S208" s="665">
        <f t="shared" ca="1" si="31"/>
        <v>1.9930000000000001</v>
      </c>
    </row>
    <row r="209" spans="1:19">
      <c r="A209" s="150" t="s">
        <v>4000</v>
      </c>
      <c r="B209" s="3473">
        <v>10.92</v>
      </c>
      <c r="C209" s="21">
        <f t="shared" si="32"/>
        <v>1</v>
      </c>
      <c r="D209" s="3466" t="s">
        <v>3524</v>
      </c>
      <c r="E209" s="21">
        <f t="shared" si="33"/>
        <v>0.9</v>
      </c>
      <c r="F209" s="3471" t="s">
        <v>4397</v>
      </c>
      <c r="G209" s="21">
        <f t="shared" si="34"/>
        <v>1</v>
      </c>
      <c r="H209" s="666"/>
      <c r="I209" s="21">
        <f t="shared" si="35"/>
        <v>1</v>
      </c>
      <c r="J209" s="666"/>
      <c r="K209" s="21">
        <f t="shared" si="36"/>
        <v>1</v>
      </c>
      <c r="L209" s="666"/>
      <c r="M209" s="21">
        <f t="shared" si="37"/>
        <v>1</v>
      </c>
      <c r="N209" s="666"/>
      <c r="O209" s="21">
        <f t="shared" si="38"/>
        <v>1</v>
      </c>
      <c r="P209" s="666"/>
      <c r="Q209" s="21">
        <f t="shared" si="39"/>
        <v>1</v>
      </c>
      <c r="R209" s="662">
        <f t="shared" ca="1" si="40"/>
        <v>2149</v>
      </c>
      <c r="S209" s="665">
        <f t="shared" ca="1" si="31"/>
        <v>2.3466999999999998</v>
      </c>
    </row>
    <row r="210" spans="1:19">
      <c r="A210" s="150" t="s">
        <v>4004</v>
      </c>
      <c r="B210" s="3473">
        <v>8.94</v>
      </c>
      <c r="C210" s="21">
        <f t="shared" si="32"/>
        <v>1.01</v>
      </c>
      <c r="D210" s="3466" t="s">
        <v>3442</v>
      </c>
      <c r="E210" s="21">
        <f t="shared" si="33"/>
        <v>1</v>
      </c>
      <c r="F210" s="3471" t="s">
        <v>4397</v>
      </c>
      <c r="G210" s="21">
        <f t="shared" si="34"/>
        <v>1</v>
      </c>
      <c r="H210" s="666"/>
      <c r="I210" s="21">
        <f t="shared" si="35"/>
        <v>1</v>
      </c>
      <c r="J210" s="666"/>
      <c r="K210" s="21">
        <f t="shared" si="36"/>
        <v>1</v>
      </c>
      <c r="L210" s="666"/>
      <c r="M210" s="21">
        <f t="shared" si="37"/>
        <v>1</v>
      </c>
      <c r="N210" s="666"/>
      <c r="O210" s="21">
        <f t="shared" si="38"/>
        <v>1</v>
      </c>
      <c r="P210" s="666"/>
      <c r="Q210" s="21">
        <f t="shared" si="39"/>
        <v>1</v>
      </c>
      <c r="R210" s="662">
        <f t="shared" ca="1" si="40"/>
        <v>2412</v>
      </c>
      <c r="S210" s="665">
        <f t="shared" ca="1" si="31"/>
        <v>2.1562999999999999</v>
      </c>
    </row>
    <row r="211" spans="1:19">
      <c r="A211" s="150" t="s">
        <v>4007</v>
      </c>
      <c r="B211" s="3473">
        <v>10.65</v>
      </c>
      <c r="C211" s="21">
        <f t="shared" si="32"/>
        <v>1</v>
      </c>
      <c r="D211" s="3466" t="s">
        <v>3442</v>
      </c>
      <c r="E211" s="21">
        <f t="shared" si="33"/>
        <v>1</v>
      </c>
      <c r="F211" s="3471" t="s">
        <v>4392</v>
      </c>
      <c r="G211" s="21">
        <f t="shared" si="34"/>
        <v>1.2</v>
      </c>
      <c r="H211" s="666"/>
      <c r="I211" s="21">
        <f t="shared" si="35"/>
        <v>1</v>
      </c>
      <c r="J211" s="666"/>
      <c r="K211" s="21">
        <f t="shared" si="36"/>
        <v>1</v>
      </c>
      <c r="L211" s="666"/>
      <c r="M211" s="21">
        <f t="shared" si="37"/>
        <v>1</v>
      </c>
      <c r="N211" s="666"/>
      <c r="O211" s="21">
        <f t="shared" si="38"/>
        <v>1</v>
      </c>
      <c r="P211" s="666"/>
      <c r="Q211" s="21">
        <f t="shared" si="39"/>
        <v>1</v>
      </c>
      <c r="R211" s="662">
        <f t="shared" ca="1" si="40"/>
        <v>2866</v>
      </c>
      <c r="S211" s="665">
        <f t="shared" ca="1" si="31"/>
        <v>3.0522999999999998</v>
      </c>
    </row>
    <row r="212" spans="1:19">
      <c r="A212" s="150" t="s">
        <v>4010</v>
      </c>
      <c r="B212" s="3473">
        <v>7.6</v>
      </c>
      <c r="C212" s="21">
        <f t="shared" si="32"/>
        <v>1.01</v>
      </c>
      <c r="D212" s="3466" t="s">
        <v>3442</v>
      </c>
      <c r="E212" s="21">
        <f t="shared" si="33"/>
        <v>1</v>
      </c>
      <c r="F212" s="3471" t="s">
        <v>4397</v>
      </c>
      <c r="G212" s="21">
        <f t="shared" si="34"/>
        <v>1</v>
      </c>
      <c r="H212" s="666"/>
      <c r="I212" s="21">
        <f t="shared" si="35"/>
        <v>1</v>
      </c>
      <c r="J212" s="666"/>
      <c r="K212" s="21">
        <f t="shared" si="36"/>
        <v>1</v>
      </c>
      <c r="L212" s="666"/>
      <c r="M212" s="21">
        <f t="shared" si="37"/>
        <v>1</v>
      </c>
      <c r="N212" s="666"/>
      <c r="O212" s="21">
        <f t="shared" si="38"/>
        <v>1</v>
      </c>
      <c r="P212" s="666"/>
      <c r="Q212" s="21">
        <f t="shared" si="39"/>
        <v>1</v>
      </c>
      <c r="R212" s="662">
        <f t="shared" ca="1" si="40"/>
        <v>2412</v>
      </c>
      <c r="S212" s="665">
        <f t="shared" ca="1" si="31"/>
        <v>1.8331</v>
      </c>
    </row>
    <row r="213" spans="1:19">
      <c r="A213" s="150" t="s">
        <v>4013</v>
      </c>
      <c r="B213" s="3473">
        <v>7.72</v>
      </c>
      <c r="C213" s="21">
        <f t="shared" si="32"/>
        <v>1.01</v>
      </c>
      <c r="D213" s="3466" t="s">
        <v>3442</v>
      </c>
      <c r="E213" s="21">
        <f t="shared" si="33"/>
        <v>1</v>
      </c>
      <c r="F213" s="3471" t="s">
        <v>4397</v>
      </c>
      <c r="G213" s="21">
        <f t="shared" si="34"/>
        <v>1</v>
      </c>
      <c r="H213" s="666"/>
      <c r="I213" s="21">
        <f t="shared" si="35"/>
        <v>1</v>
      </c>
      <c r="J213" s="666"/>
      <c r="K213" s="21">
        <f t="shared" si="36"/>
        <v>1</v>
      </c>
      <c r="L213" s="666"/>
      <c r="M213" s="21">
        <f t="shared" si="37"/>
        <v>1</v>
      </c>
      <c r="N213" s="666"/>
      <c r="O213" s="21">
        <f t="shared" si="38"/>
        <v>1</v>
      </c>
      <c r="P213" s="666"/>
      <c r="Q213" s="21">
        <f t="shared" si="39"/>
        <v>1</v>
      </c>
      <c r="R213" s="662">
        <f t="shared" ca="1" si="40"/>
        <v>2412</v>
      </c>
      <c r="S213" s="665">
        <f t="shared" ca="1" si="31"/>
        <v>1.8621000000000001</v>
      </c>
    </row>
    <row r="214" spans="1:19">
      <c r="A214" s="150" t="s">
        <v>4015</v>
      </c>
      <c r="B214" s="3473">
        <v>7.72</v>
      </c>
      <c r="C214" s="21">
        <f t="shared" si="32"/>
        <v>1.01</v>
      </c>
      <c r="D214" s="3466" t="s">
        <v>3442</v>
      </c>
      <c r="E214" s="21">
        <f t="shared" si="33"/>
        <v>1</v>
      </c>
      <c r="F214" s="3471" t="s">
        <v>4397</v>
      </c>
      <c r="G214" s="21">
        <f t="shared" si="34"/>
        <v>1</v>
      </c>
      <c r="H214" s="666"/>
      <c r="I214" s="21">
        <f t="shared" si="35"/>
        <v>1</v>
      </c>
      <c r="J214" s="666"/>
      <c r="K214" s="21">
        <f t="shared" si="36"/>
        <v>1</v>
      </c>
      <c r="L214" s="666"/>
      <c r="M214" s="21">
        <f t="shared" si="37"/>
        <v>1</v>
      </c>
      <c r="N214" s="666"/>
      <c r="O214" s="21">
        <f t="shared" si="38"/>
        <v>1</v>
      </c>
      <c r="P214" s="666"/>
      <c r="Q214" s="21">
        <f t="shared" si="39"/>
        <v>1</v>
      </c>
      <c r="R214" s="662">
        <f t="shared" ca="1" si="40"/>
        <v>2412</v>
      </c>
      <c r="S214" s="665">
        <f t="shared" ca="1" si="31"/>
        <v>1.8621000000000001</v>
      </c>
    </row>
    <row r="215" spans="1:19">
      <c r="A215" s="150" t="s">
        <v>4017</v>
      </c>
      <c r="B215" s="3473">
        <v>7.6</v>
      </c>
      <c r="C215" s="21">
        <f t="shared" si="32"/>
        <v>1.01</v>
      </c>
      <c r="D215" s="3466" t="s">
        <v>3442</v>
      </c>
      <c r="E215" s="21">
        <f t="shared" si="33"/>
        <v>1</v>
      </c>
      <c r="F215" s="3471" t="s">
        <v>4397</v>
      </c>
      <c r="G215" s="21">
        <f t="shared" si="34"/>
        <v>1</v>
      </c>
      <c r="H215" s="666"/>
      <c r="I215" s="21">
        <f t="shared" si="35"/>
        <v>1</v>
      </c>
      <c r="J215" s="666"/>
      <c r="K215" s="21">
        <f t="shared" si="36"/>
        <v>1</v>
      </c>
      <c r="L215" s="666"/>
      <c r="M215" s="21">
        <f t="shared" si="37"/>
        <v>1</v>
      </c>
      <c r="N215" s="666"/>
      <c r="O215" s="21">
        <f t="shared" si="38"/>
        <v>1</v>
      </c>
      <c r="P215" s="666"/>
      <c r="Q215" s="21">
        <f t="shared" si="39"/>
        <v>1</v>
      </c>
      <c r="R215" s="662">
        <f t="shared" ca="1" si="40"/>
        <v>2412</v>
      </c>
      <c r="S215" s="665">
        <f t="shared" ca="1" si="31"/>
        <v>1.8331</v>
      </c>
    </row>
    <row r="216" spans="1:19">
      <c r="A216" s="150" t="s">
        <v>4020</v>
      </c>
      <c r="B216" s="3473">
        <v>4.3499999999999996</v>
      </c>
      <c r="C216" s="21">
        <f t="shared" si="32"/>
        <v>1.02</v>
      </c>
      <c r="D216" s="3466" t="s">
        <v>3442</v>
      </c>
      <c r="E216" s="21">
        <f t="shared" si="33"/>
        <v>1</v>
      </c>
      <c r="F216" s="3471" t="s">
        <v>4397</v>
      </c>
      <c r="G216" s="21">
        <f t="shared" si="34"/>
        <v>1</v>
      </c>
      <c r="H216" s="666"/>
      <c r="I216" s="21">
        <f t="shared" si="35"/>
        <v>1</v>
      </c>
      <c r="J216" s="666"/>
      <c r="K216" s="21">
        <f t="shared" si="36"/>
        <v>1</v>
      </c>
      <c r="L216" s="666"/>
      <c r="M216" s="21">
        <f t="shared" si="37"/>
        <v>1</v>
      </c>
      <c r="N216" s="666"/>
      <c r="O216" s="21">
        <f t="shared" si="38"/>
        <v>1</v>
      </c>
      <c r="P216" s="666"/>
      <c r="Q216" s="21">
        <f t="shared" si="39"/>
        <v>1</v>
      </c>
      <c r="R216" s="662">
        <f t="shared" ca="1" si="40"/>
        <v>2436</v>
      </c>
      <c r="S216" s="665">
        <f t="shared" ca="1" si="31"/>
        <v>1.0597000000000001</v>
      </c>
    </row>
    <row r="217" spans="1:19">
      <c r="A217" s="150" t="s">
        <v>4023</v>
      </c>
      <c r="B217" s="3473">
        <v>8.1999999999999993</v>
      </c>
      <c r="C217" s="21">
        <f t="shared" si="32"/>
        <v>1.01</v>
      </c>
      <c r="D217" s="3466" t="s">
        <v>3442</v>
      </c>
      <c r="E217" s="21">
        <f t="shared" si="33"/>
        <v>1</v>
      </c>
      <c r="F217" s="3471" t="s">
        <v>4397</v>
      </c>
      <c r="G217" s="21">
        <f t="shared" si="34"/>
        <v>1</v>
      </c>
      <c r="H217" s="666"/>
      <c r="I217" s="21">
        <f t="shared" si="35"/>
        <v>1</v>
      </c>
      <c r="J217" s="666"/>
      <c r="K217" s="21">
        <f t="shared" si="36"/>
        <v>1</v>
      </c>
      <c r="L217" s="666"/>
      <c r="M217" s="21">
        <f t="shared" si="37"/>
        <v>1</v>
      </c>
      <c r="N217" s="666"/>
      <c r="O217" s="21">
        <f t="shared" si="38"/>
        <v>1</v>
      </c>
      <c r="P217" s="666"/>
      <c r="Q217" s="21">
        <f t="shared" si="39"/>
        <v>1</v>
      </c>
      <c r="R217" s="662">
        <f t="shared" ca="1" si="40"/>
        <v>2412</v>
      </c>
      <c r="S217" s="665">
        <f t="shared" ref="S217:S280" ca="1" si="41">ROUND(R217*B217/10000,4)</f>
        <v>1.9778</v>
      </c>
    </row>
    <row r="218" spans="1:19">
      <c r="A218" s="150" t="s">
        <v>4026</v>
      </c>
      <c r="B218" s="3473">
        <v>7.58</v>
      </c>
      <c r="C218" s="21">
        <f t="shared" ref="C218:C281" si="42">IF(B218="",1,(LOOKUP(B218,$3:$3,$4:$4)-LOOKUP($B$24,$3:$3,$4:$4)+100)/100)</f>
        <v>1.01</v>
      </c>
      <c r="D218" s="3466" t="s">
        <v>3442</v>
      </c>
      <c r="E218" s="21">
        <f t="shared" ref="E218:E281" si="43">(SUMIF($5:$5,D218,$6:$6)-SUMIF($5:$5,$D$24,$6:$6)+100)/100</f>
        <v>1</v>
      </c>
      <c r="F218" s="3471" t="s">
        <v>4397</v>
      </c>
      <c r="G218" s="21">
        <f t="shared" ref="G218:G281" si="44">(SUMIF($7:$7,F218,$8:$8)-SUMIF($7:$7,$F$24,$8:$8)+100)/100</f>
        <v>1</v>
      </c>
      <c r="H218" s="666"/>
      <c r="I218" s="21">
        <f t="shared" ref="I218:I281" si="45">(SUMIF($9:$9,H218,$10:$10)-SUMIF($9:$9,$H$24,$10:$10)+100)/100</f>
        <v>1</v>
      </c>
      <c r="J218" s="666"/>
      <c r="K218" s="21">
        <f t="shared" ref="K218:K281" si="46">(SUMIF($11:$11,J218,$12:$12)-SUMIF($11:$11,$J$24,$12:$12)+100)/100</f>
        <v>1</v>
      </c>
      <c r="L218" s="666"/>
      <c r="M218" s="21">
        <f t="shared" ref="M218:M281" si="47">(SUMIF($13:$13,L218,$14:$14)-SUMIF($13:$13,$L$24,$14:$14)+100)/100</f>
        <v>1</v>
      </c>
      <c r="N218" s="666"/>
      <c r="O218" s="21">
        <f t="shared" ref="O218:O281" si="48">(SUMIF($15:$15,N218,$16:$16)-SUMIF($15:$15,$N$24,$16:$16)+100)/100</f>
        <v>1</v>
      </c>
      <c r="P218" s="666"/>
      <c r="Q218" s="21">
        <f t="shared" ref="Q218:Q281" si="49">(SUMIF($17:$17,P218,$18:$18)-SUMIF($17:$17,$P$24,$18:$18)+100)/100</f>
        <v>1</v>
      </c>
      <c r="R218" s="662">
        <f t="shared" ref="R218:R281" ca="1" si="50">IF(B218="",0,ROUND($R$24*C218*E218*G218*I218*K218*M218*O218*Q218,0))</f>
        <v>2412</v>
      </c>
      <c r="S218" s="665">
        <f t="shared" ca="1" si="41"/>
        <v>1.8283</v>
      </c>
    </row>
    <row r="219" spans="1:19">
      <c r="A219" s="150" t="s">
        <v>4029</v>
      </c>
      <c r="B219" s="3473">
        <v>11.03</v>
      </c>
      <c r="C219" s="21">
        <f t="shared" si="42"/>
        <v>1</v>
      </c>
      <c r="D219" s="3466" t="s">
        <v>3524</v>
      </c>
      <c r="E219" s="21">
        <f t="shared" si="43"/>
        <v>0.9</v>
      </c>
      <c r="F219" s="3471" t="s">
        <v>4397</v>
      </c>
      <c r="G219" s="21">
        <f t="shared" si="44"/>
        <v>1</v>
      </c>
      <c r="H219" s="666"/>
      <c r="I219" s="21">
        <f t="shared" si="45"/>
        <v>1</v>
      </c>
      <c r="J219" s="666"/>
      <c r="K219" s="21">
        <f t="shared" si="46"/>
        <v>1</v>
      </c>
      <c r="L219" s="666"/>
      <c r="M219" s="21">
        <f t="shared" si="47"/>
        <v>1</v>
      </c>
      <c r="N219" s="666"/>
      <c r="O219" s="21">
        <f t="shared" si="48"/>
        <v>1</v>
      </c>
      <c r="P219" s="666"/>
      <c r="Q219" s="21">
        <f t="shared" si="49"/>
        <v>1</v>
      </c>
      <c r="R219" s="662">
        <f t="shared" ca="1" si="50"/>
        <v>2149</v>
      </c>
      <c r="S219" s="665">
        <f t="shared" ca="1" si="41"/>
        <v>2.3702999999999999</v>
      </c>
    </row>
    <row r="220" spans="1:19">
      <c r="A220" s="150" t="s">
        <v>4032</v>
      </c>
      <c r="B220" s="3473">
        <v>8.94</v>
      </c>
      <c r="C220" s="21">
        <f t="shared" si="42"/>
        <v>1.01</v>
      </c>
      <c r="D220" s="3466" t="s">
        <v>3524</v>
      </c>
      <c r="E220" s="21">
        <f t="shared" si="43"/>
        <v>0.9</v>
      </c>
      <c r="F220" s="3471" t="s">
        <v>4397</v>
      </c>
      <c r="G220" s="21">
        <f t="shared" si="44"/>
        <v>1</v>
      </c>
      <c r="H220" s="666"/>
      <c r="I220" s="21">
        <f t="shared" si="45"/>
        <v>1</v>
      </c>
      <c r="J220" s="666"/>
      <c r="K220" s="21">
        <f t="shared" si="46"/>
        <v>1</v>
      </c>
      <c r="L220" s="666"/>
      <c r="M220" s="21">
        <f t="shared" si="47"/>
        <v>1</v>
      </c>
      <c r="N220" s="666"/>
      <c r="O220" s="21">
        <f t="shared" si="48"/>
        <v>1</v>
      </c>
      <c r="P220" s="666"/>
      <c r="Q220" s="21">
        <f t="shared" si="49"/>
        <v>1</v>
      </c>
      <c r="R220" s="662">
        <f t="shared" ca="1" si="50"/>
        <v>2171</v>
      </c>
      <c r="S220" s="665">
        <f t="shared" ca="1" si="41"/>
        <v>1.9409000000000001</v>
      </c>
    </row>
    <row r="221" spans="1:19">
      <c r="A221" s="150" t="s">
        <v>4035</v>
      </c>
      <c r="B221" s="3473">
        <v>10.65</v>
      </c>
      <c r="C221" s="21">
        <f t="shared" si="42"/>
        <v>1</v>
      </c>
      <c r="D221" s="3466" t="s">
        <v>3524</v>
      </c>
      <c r="E221" s="21">
        <f t="shared" si="43"/>
        <v>0.9</v>
      </c>
      <c r="F221" s="3471" t="s">
        <v>4391</v>
      </c>
      <c r="G221" s="21">
        <f t="shared" si="44"/>
        <v>1.2</v>
      </c>
      <c r="H221" s="666"/>
      <c r="I221" s="21">
        <f t="shared" si="45"/>
        <v>1</v>
      </c>
      <c r="J221" s="666"/>
      <c r="K221" s="21">
        <f t="shared" si="46"/>
        <v>1</v>
      </c>
      <c r="L221" s="666"/>
      <c r="M221" s="21">
        <f t="shared" si="47"/>
        <v>1</v>
      </c>
      <c r="N221" s="666"/>
      <c r="O221" s="21">
        <f t="shared" si="48"/>
        <v>1</v>
      </c>
      <c r="P221" s="666"/>
      <c r="Q221" s="21">
        <f t="shared" si="49"/>
        <v>1</v>
      </c>
      <c r="R221" s="662">
        <f t="shared" ca="1" si="50"/>
        <v>2579</v>
      </c>
      <c r="S221" s="665">
        <f t="shared" ca="1" si="41"/>
        <v>2.7465999999999999</v>
      </c>
    </row>
    <row r="222" spans="1:19">
      <c r="A222" s="150" t="s">
        <v>4038</v>
      </c>
      <c r="B222" s="3473">
        <v>9.07</v>
      </c>
      <c r="C222" s="21">
        <f t="shared" si="42"/>
        <v>1.01</v>
      </c>
      <c r="D222" s="3466" t="s">
        <v>3524</v>
      </c>
      <c r="E222" s="21">
        <f t="shared" si="43"/>
        <v>0.9</v>
      </c>
      <c r="F222" s="3471" t="s">
        <v>4397</v>
      </c>
      <c r="G222" s="21">
        <f t="shared" si="44"/>
        <v>1</v>
      </c>
      <c r="H222" s="666"/>
      <c r="I222" s="21">
        <f t="shared" si="45"/>
        <v>1</v>
      </c>
      <c r="J222" s="666"/>
      <c r="K222" s="21">
        <f t="shared" si="46"/>
        <v>1</v>
      </c>
      <c r="L222" s="666"/>
      <c r="M222" s="21">
        <f t="shared" si="47"/>
        <v>1</v>
      </c>
      <c r="N222" s="666"/>
      <c r="O222" s="21">
        <f t="shared" si="48"/>
        <v>1</v>
      </c>
      <c r="P222" s="666"/>
      <c r="Q222" s="21">
        <f t="shared" si="49"/>
        <v>1</v>
      </c>
      <c r="R222" s="662">
        <f t="shared" ca="1" si="50"/>
        <v>2171</v>
      </c>
      <c r="S222" s="665">
        <f t="shared" ca="1" si="41"/>
        <v>1.9691000000000001</v>
      </c>
    </row>
    <row r="223" spans="1:19">
      <c r="A223" s="150" t="s">
        <v>4041</v>
      </c>
      <c r="B223" s="3473">
        <v>9.07</v>
      </c>
      <c r="C223" s="21">
        <f t="shared" si="42"/>
        <v>1.01</v>
      </c>
      <c r="D223" s="3466" t="s">
        <v>3524</v>
      </c>
      <c r="E223" s="21">
        <f t="shared" si="43"/>
        <v>0.9</v>
      </c>
      <c r="F223" s="3471" t="s">
        <v>4397</v>
      </c>
      <c r="G223" s="21">
        <f t="shared" si="44"/>
        <v>1</v>
      </c>
      <c r="H223" s="666"/>
      <c r="I223" s="21">
        <f t="shared" si="45"/>
        <v>1</v>
      </c>
      <c r="J223" s="666"/>
      <c r="K223" s="21">
        <f t="shared" si="46"/>
        <v>1</v>
      </c>
      <c r="L223" s="666"/>
      <c r="M223" s="21">
        <f t="shared" si="47"/>
        <v>1</v>
      </c>
      <c r="N223" s="666"/>
      <c r="O223" s="21">
        <f t="shared" si="48"/>
        <v>1</v>
      </c>
      <c r="P223" s="666"/>
      <c r="Q223" s="21">
        <f t="shared" si="49"/>
        <v>1</v>
      </c>
      <c r="R223" s="662">
        <f t="shared" ca="1" si="50"/>
        <v>2171</v>
      </c>
      <c r="S223" s="665">
        <f t="shared" ca="1" si="41"/>
        <v>1.9691000000000001</v>
      </c>
    </row>
    <row r="224" spans="1:19">
      <c r="A224" s="150" t="s">
        <v>4044</v>
      </c>
      <c r="B224" s="3473">
        <v>9.07</v>
      </c>
      <c r="C224" s="21">
        <f t="shared" si="42"/>
        <v>1.01</v>
      </c>
      <c r="D224" s="3466" t="s">
        <v>3524</v>
      </c>
      <c r="E224" s="21">
        <f t="shared" si="43"/>
        <v>0.9</v>
      </c>
      <c r="F224" s="3471" t="s">
        <v>4397</v>
      </c>
      <c r="G224" s="21">
        <f t="shared" si="44"/>
        <v>1</v>
      </c>
      <c r="H224" s="666"/>
      <c r="I224" s="21">
        <f t="shared" si="45"/>
        <v>1</v>
      </c>
      <c r="J224" s="666"/>
      <c r="K224" s="21">
        <f t="shared" si="46"/>
        <v>1</v>
      </c>
      <c r="L224" s="666"/>
      <c r="M224" s="21">
        <f t="shared" si="47"/>
        <v>1</v>
      </c>
      <c r="N224" s="666"/>
      <c r="O224" s="21">
        <f t="shared" si="48"/>
        <v>1</v>
      </c>
      <c r="P224" s="666"/>
      <c r="Q224" s="21">
        <f t="shared" si="49"/>
        <v>1</v>
      </c>
      <c r="R224" s="662">
        <f t="shared" ca="1" si="50"/>
        <v>2171</v>
      </c>
      <c r="S224" s="665">
        <f t="shared" ca="1" si="41"/>
        <v>1.9691000000000001</v>
      </c>
    </row>
    <row r="225" spans="1:19">
      <c r="A225" s="150" t="s">
        <v>4047</v>
      </c>
      <c r="B225" s="3473">
        <v>7.6</v>
      </c>
      <c r="C225" s="21">
        <f t="shared" si="42"/>
        <v>1.01</v>
      </c>
      <c r="D225" s="3466" t="s">
        <v>3524</v>
      </c>
      <c r="E225" s="21">
        <f t="shared" si="43"/>
        <v>0.9</v>
      </c>
      <c r="F225" s="3471" t="s">
        <v>4397</v>
      </c>
      <c r="G225" s="21">
        <f t="shared" si="44"/>
        <v>1</v>
      </c>
      <c r="H225" s="666"/>
      <c r="I225" s="21">
        <f t="shared" si="45"/>
        <v>1</v>
      </c>
      <c r="J225" s="666"/>
      <c r="K225" s="21">
        <f t="shared" si="46"/>
        <v>1</v>
      </c>
      <c r="L225" s="666"/>
      <c r="M225" s="21">
        <f t="shared" si="47"/>
        <v>1</v>
      </c>
      <c r="N225" s="666"/>
      <c r="O225" s="21">
        <f t="shared" si="48"/>
        <v>1</v>
      </c>
      <c r="P225" s="666"/>
      <c r="Q225" s="21">
        <f t="shared" si="49"/>
        <v>1</v>
      </c>
      <c r="R225" s="662">
        <f t="shared" ca="1" si="50"/>
        <v>2171</v>
      </c>
      <c r="S225" s="665">
        <f t="shared" ca="1" si="41"/>
        <v>1.65</v>
      </c>
    </row>
    <row r="226" spans="1:19">
      <c r="A226" s="150" t="s">
        <v>4050</v>
      </c>
      <c r="B226" s="3473">
        <v>7.72</v>
      </c>
      <c r="C226" s="21">
        <f t="shared" si="42"/>
        <v>1.01</v>
      </c>
      <c r="D226" s="3466" t="s">
        <v>3524</v>
      </c>
      <c r="E226" s="21">
        <f t="shared" si="43"/>
        <v>0.9</v>
      </c>
      <c r="F226" s="3471" t="s">
        <v>4397</v>
      </c>
      <c r="G226" s="21">
        <f t="shared" si="44"/>
        <v>1</v>
      </c>
      <c r="H226" s="666"/>
      <c r="I226" s="21">
        <f t="shared" si="45"/>
        <v>1</v>
      </c>
      <c r="J226" s="666"/>
      <c r="K226" s="21">
        <f t="shared" si="46"/>
        <v>1</v>
      </c>
      <c r="L226" s="666"/>
      <c r="M226" s="21">
        <f t="shared" si="47"/>
        <v>1</v>
      </c>
      <c r="N226" s="666"/>
      <c r="O226" s="21">
        <f t="shared" si="48"/>
        <v>1</v>
      </c>
      <c r="P226" s="666"/>
      <c r="Q226" s="21">
        <f t="shared" si="49"/>
        <v>1</v>
      </c>
      <c r="R226" s="662">
        <f t="shared" ca="1" si="50"/>
        <v>2171</v>
      </c>
      <c r="S226" s="665">
        <f t="shared" ca="1" si="41"/>
        <v>1.6759999999999999</v>
      </c>
    </row>
    <row r="227" spans="1:19">
      <c r="A227" s="150" t="s">
        <v>4053</v>
      </c>
      <c r="B227" s="3473">
        <v>10.49</v>
      </c>
      <c r="C227" s="21">
        <f t="shared" si="42"/>
        <v>1</v>
      </c>
      <c r="D227" s="3466" t="s">
        <v>3524</v>
      </c>
      <c r="E227" s="21">
        <f t="shared" si="43"/>
        <v>0.9</v>
      </c>
      <c r="F227" s="3471" t="s">
        <v>4397</v>
      </c>
      <c r="G227" s="21">
        <f t="shared" si="44"/>
        <v>1</v>
      </c>
      <c r="H227" s="666"/>
      <c r="I227" s="21">
        <f t="shared" si="45"/>
        <v>1</v>
      </c>
      <c r="J227" s="666"/>
      <c r="K227" s="21">
        <f t="shared" si="46"/>
        <v>1</v>
      </c>
      <c r="L227" s="666"/>
      <c r="M227" s="21">
        <f t="shared" si="47"/>
        <v>1</v>
      </c>
      <c r="N227" s="666"/>
      <c r="O227" s="21">
        <f t="shared" si="48"/>
        <v>1</v>
      </c>
      <c r="P227" s="666"/>
      <c r="Q227" s="21">
        <f t="shared" si="49"/>
        <v>1</v>
      </c>
      <c r="R227" s="662">
        <f t="shared" ca="1" si="50"/>
        <v>2149</v>
      </c>
      <c r="S227" s="665">
        <f t="shared" ca="1" si="41"/>
        <v>2.2543000000000002</v>
      </c>
    </row>
    <row r="228" spans="1:19">
      <c r="A228" s="150" t="s">
        <v>4056</v>
      </c>
      <c r="B228" s="3473">
        <v>10.49</v>
      </c>
      <c r="C228" s="21">
        <f t="shared" si="42"/>
        <v>1</v>
      </c>
      <c r="D228" s="3466" t="s">
        <v>3524</v>
      </c>
      <c r="E228" s="21">
        <f t="shared" si="43"/>
        <v>0.9</v>
      </c>
      <c r="F228" s="3471" t="s">
        <v>4397</v>
      </c>
      <c r="G228" s="21">
        <f t="shared" si="44"/>
        <v>1</v>
      </c>
      <c r="H228" s="666"/>
      <c r="I228" s="21">
        <f t="shared" si="45"/>
        <v>1</v>
      </c>
      <c r="J228" s="666"/>
      <c r="K228" s="21">
        <f t="shared" si="46"/>
        <v>1</v>
      </c>
      <c r="L228" s="666"/>
      <c r="M228" s="21">
        <f t="shared" si="47"/>
        <v>1</v>
      </c>
      <c r="N228" s="666"/>
      <c r="O228" s="21">
        <f t="shared" si="48"/>
        <v>1</v>
      </c>
      <c r="P228" s="666"/>
      <c r="Q228" s="21">
        <f t="shared" si="49"/>
        <v>1</v>
      </c>
      <c r="R228" s="662">
        <f t="shared" ca="1" si="50"/>
        <v>2149</v>
      </c>
      <c r="S228" s="665">
        <f t="shared" ca="1" si="41"/>
        <v>2.2543000000000002</v>
      </c>
    </row>
    <row r="229" spans="1:19">
      <c r="A229" s="150" t="s">
        <v>4059</v>
      </c>
      <c r="B229" s="3473">
        <v>10.49</v>
      </c>
      <c r="C229" s="21">
        <f t="shared" si="42"/>
        <v>1</v>
      </c>
      <c r="D229" s="3466" t="s">
        <v>3524</v>
      </c>
      <c r="E229" s="21">
        <f t="shared" si="43"/>
        <v>0.9</v>
      </c>
      <c r="F229" s="3471" t="s">
        <v>4397</v>
      </c>
      <c r="G229" s="21">
        <f t="shared" si="44"/>
        <v>1</v>
      </c>
      <c r="H229" s="666"/>
      <c r="I229" s="21">
        <f t="shared" si="45"/>
        <v>1</v>
      </c>
      <c r="J229" s="666"/>
      <c r="K229" s="21">
        <f t="shared" si="46"/>
        <v>1</v>
      </c>
      <c r="L229" s="666"/>
      <c r="M229" s="21">
        <f t="shared" si="47"/>
        <v>1</v>
      </c>
      <c r="N229" s="666"/>
      <c r="O229" s="21">
        <f t="shared" si="48"/>
        <v>1</v>
      </c>
      <c r="P229" s="666"/>
      <c r="Q229" s="21">
        <f t="shared" si="49"/>
        <v>1</v>
      </c>
      <c r="R229" s="662">
        <f t="shared" ca="1" si="50"/>
        <v>2149</v>
      </c>
      <c r="S229" s="665">
        <f t="shared" ca="1" si="41"/>
        <v>2.2543000000000002</v>
      </c>
    </row>
    <row r="230" spans="1:19">
      <c r="A230" s="150" t="s">
        <v>4062</v>
      </c>
      <c r="B230" s="3473">
        <v>7.72</v>
      </c>
      <c r="C230" s="21">
        <f t="shared" si="42"/>
        <v>1.01</v>
      </c>
      <c r="D230" s="3466" t="s">
        <v>3524</v>
      </c>
      <c r="E230" s="21">
        <f t="shared" si="43"/>
        <v>0.9</v>
      </c>
      <c r="F230" s="3471" t="s">
        <v>4397</v>
      </c>
      <c r="G230" s="21">
        <f t="shared" si="44"/>
        <v>1</v>
      </c>
      <c r="H230" s="666"/>
      <c r="I230" s="21">
        <f t="shared" si="45"/>
        <v>1</v>
      </c>
      <c r="J230" s="666"/>
      <c r="K230" s="21">
        <f t="shared" si="46"/>
        <v>1</v>
      </c>
      <c r="L230" s="666"/>
      <c r="M230" s="21">
        <f t="shared" si="47"/>
        <v>1</v>
      </c>
      <c r="N230" s="666"/>
      <c r="O230" s="21">
        <f t="shared" si="48"/>
        <v>1</v>
      </c>
      <c r="P230" s="666"/>
      <c r="Q230" s="21">
        <f t="shared" si="49"/>
        <v>1</v>
      </c>
      <c r="R230" s="662">
        <f t="shared" ca="1" si="50"/>
        <v>2171</v>
      </c>
      <c r="S230" s="665">
        <f t="shared" ca="1" si="41"/>
        <v>1.6759999999999999</v>
      </c>
    </row>
    <row r="231" spans="1:19">
      <c r="A231" s="150" t="s">
        <v>4065</v>
      </c>
      <c r="B231" s="3473">
        <v>7.6</v>
      </c>
      <c r="C231" s="21">
        <f t="shared" si="42"/>
        <v>1.01</v>
      </c>
      <c r="D231" s="3466" t="s">
        <v>3524</v>
      </c>
      <c r="E231" s="21">
        <f t="shared" si="43"/>
        <v>0.9</v>
      </c>
      <c r="F231" s="3471" t="s">
        <v>4397</v>
      </c>
      <c r="G231" s="21">
        <f t="shared" si="44"/>
        <v>1</v>
      </c>
      <c r="H231" s="666"/>
      <c r="I231" s="21">
        <f t="shared" si="45"/>
        <v>1</v>
      </c>
      <c r="J231" s="666"/>
      <c r="K231" s="21">
        <f t="shared" si="46"/>
        <v>1</v>
      </c>
      <c r="L231" s="666"/>
      <c r="M231" s="21">
        <f t="shared" si="47"/>
        <v>1</v>
      </c>
      <c r="N231" s="666"/>
      <c r="O231" s="21">
        <f t="shared" si="48"/>
        <v>1</v>
      </c>
      <c r="P231" s="666"/>
      <c r="Q231" s="21">
        <f t="shared" si="49"/>
        <v>1</v>
      </c>
      <c r="R231" s="662">
        <f t="shared" ca="1" si="50"/>
        <v>2171</v>
      </c>
      <c r="S231" s="665">
        <f t="shared" ca="1" si="41"/>
        <v>1.65</v>
      </c>
    </row>
    <row r="232" spans="1:19">
      <c r="A232" s="150" t="s">
        <v>4068</v>
      </c>
      <c r="B232" s="3473">
        <v>8.1999999999999993</v>
      </c>
      <c r="C232" s="21">
        <f t="shared" si="42"/>
        <v>1.01</v>
      </c>
      <c r="D232" s="3466" t="s">
        <v>3524</v>
      </c>
      <c r="E232" s="21">
        <f t="shared" si="43"/>
        <v>0.9</v>
      </c>
      <c r="F232" s="3471" t="s">
        <v>4397</v>
      </c>
      <c r="G232" s="21">
        <f t="shared" si="44"/>
        <v>1</v>
      </c>
      <c r="H232" s="666"/>
      <c r="I232" s="21">
        <f t="shared" si="45"/>
        <v>1</v>
      </c>
      <c r="J232" s="666"/>
      <c r="K232" s="21">
        <f t="shared" si="46"/>
        <v>1</v>
      </c>
      <c r="L232" s="666"/>
      <c r="M232" s="21">
        <f t="shared" si="47"/>
        <v>1</v>
      </c>
      <c r="N232" s="666"/>
      <c r="O232" s="21">
        <f t="shared" si="48"/>
        <v>1</v>
      </c>
      <c r="P232" s="666"/>
      <c r="Q232" s="21">
        <f t="shared" si="49"/>
        <v>1</v>
      </c>
      <c r="R232" s="662">
        <f t="shared" ca="1" si="50"/>
        <v>2171</v>
      </c>
      <c r="S232" s="665">
        <f t="shared" ca="1" si="41"/>
        <v>1.7802</v>
      </c>
    </row>
    <row r="233" spans="1:19">
      <c r="A233" s="150" t="s">
        <v>4071</v>
      </c>
      <c r="B233" s="3473">
        <v>8.1999999999999993</v>
      </c>
      <c r="C233" s="21">
        <f t="shared" si="42"/>
        <v>1.01</v>
      </c>
      <c r="D233" s="3466" t="s">
        <v>3524</v>
      </c>
      <c r="E233" s="21">
        <f t="shared" si="43"/>
        <v>0.9</v>
      </c>
      <c r="F233" s="3471" t="s">
        <v>4397</v>
      </c>
      <c r="G233" s="21">
        <f t="shared" si="44"/>
        <v>1</v>
      </c>
      <c r="H233" s="666"/>
      <c r="I233" s="21">
        <f t="shared" si="45"/>
        <v>1</v>
      </c>
      <c r="J233" s="666"/>
      <c r="K233" s="21">
        <f t="shared" si="46"/>
        <v>1</v>
      </c>
      <c r="L233" s="666"/>
      <c r="M233" s="21">
        <f t="shared" si="47"/>
        <v>1</v>
      </c>
      <c r="N233" s="666"/>
      <c r="O233" s="21">
        <f t="shared" si="48"/>
        <v>1</v>
      </c>
      <c r="P233" s="666"/>
      <c r="Q233" s="21">
        <f t="shared" si="49"/>
        <v>1</v>
      </c>
      <c r="R233" s="662">
        <f t="shared" ca="1" si="50"/>
        <v>2171</v>
      </c>
      <c r="S233" s="665">
        <f t="shared" ca="1" si="41"/>
        <v>1.7802</v>
      </c>
    </row>
    <row r="234" spans="1:19">
      <c r="A234" s="150" t="s">
        <v>4074</v>
      </c>
      <c r="B234" s="3473">
        <v>7.74</v>
      </c>
      <c r="C234" s="21">
        <f t="shared" si="42"/>
        <v>1.01</v>
      </c>
      <c r="D234" s="3466" t="s">
        <v>3524</v>
      </c>
      <c r="E234" s="21">
        <f t="shared" si="43"/>
        <v>0.9</v>
      </c>
      <c r="F234" s="3471" t="s">
        <v>4391</v>
      </c>
      <c r="G234" s="21">
        <f t="shared" si="44"/>
        <v>1.2</v>
      </c>
      <c r="H234" s="666"/>
      <c r="I234" s="21">
        <f t="shared" si="45"/>
        <v>1</v>
      </c>
      <c r="J234" s="666"/>
      <c r="K234" s="21">
        <f t="shared" si="46"/>
        <v>1</v>
      </c>
      <c r="L234" s="666"/>
      <c r="M234" s="21">
        <f t="shared" si="47"/>
        <v>1</v>
      </c>
      <c r="N234" s="666"/>
      <c r="O234" s="21">
        <f t="shared" si="48"/>
        <v>1</v>
      </c>
      <c r="P234" s="666"/>
      <c r="Q234" s="21">
        <f t="shared" si="49"/>
        <v>1</v>
      </c>
      <c r="R234" s="662">
        <f t="shared" ca="1" si="50"/>
        <v>2605</v>
      </c>
      <c r="S234" s="665">
        <f t="shared" ca="1" si="41"/>
        <v>2.0163000000000002</v>
      </c>
    </row>
    <row r="235" spans="1:19">
      <c r="A235" s="150" t="s">
        <v>4077</v>
      </c>
      <c r="B235" s="3473">
        <v>7.58</v>
      </c>
      <c r="C235" s="21">
        <f t="shared" si="42"/>
        <v>1.01</v>
      </c>
      <c r="D235" s="3466" t="s">
        <v>3524</v>
      </c>
      <c r="E235" s="21">
        <f t="shared" si="43"/>
        <v>0.9</v>
      </c>
      <c r="F235" s="3471" t="s">
        <v>4397</v>
      </c>
      <c r="G235" s="21">
        <f t="shared" si="44"/>
        <v>1</v>
      </c>
      <c r="H235" s="666"/>
      <c r="I235" s="21">
        <f t="shared" si="45"/>
        <v>1</v>
      </c>
      <c r="J235" s="666"/>
      <c r="K235" s="21">
        <f t="shared" si="46"/>
        <v>1</v>
      </c>
      <c r="L235" s="666"/>
      <c r="M235" s="21">
        <f t="shared" si="47"/>
        <v>1</v>
      </c>
      <c r="N235" s="666"/>
      <c r="O235" s="21">
        <f t="shared" si="48"/>
        <v>1</v>
      </c>
      <c r="P235" s="666"/>
      <c r="Q235" s="21">
        <f t="shared" si="49"/>
        <v>1</v>
      </c>
      <c r="R235" s="662">
        <f t="shared" ca="1" si="50"/>
        <v>2171</v>
      </c>
      <c r="S235" s="665">
        <f t="shared" ca="1" si="41"/>
        <v>1.6456</v>
      </c>
    </row>
    <row r="236" spans="1:19">
      <c r="A236" s="150" t="s">
        <v>4080</v>
      </c>
      <c r="B236" s="3473">
        <v>7.38</v>
      </c>
      <c r="C236" s="21">
        <f t="shared" si="42"/>
        <v>1.01</v>
      </c>
      <c r="D236" s="3466" t="s">
        <v>3524</v>
      </c>
      <c r="E236" s="21">
        <f t="shared" si="43"/>
        <v>0.9</v>
      </c>
      <c r="F236" s="3471" t="s">
        <v>4397</v>
      </c>
      <c r="G236" s="21">
        <f t="shared" si="44"/>
        <v>1</v>
      </c>
      <c r="H236" s="666"/>
      <c r="I236" s="21">
        <f t="shared" si="45"/>
        <v>1</v>
      </c>
      <c r="J236" s="666"/>
      <c r="K236" s="21">
        <f t="shared" si="46"/>
        <v>1</v>
      </c>
      <c r="L236" s="666"/>
      <c r="M236" s="21">
        <f t="shared" si="47"/>
        <v>1</v>
      </c>
      <c r="N236" s="666"/>
      <c r="O236" s="21">
        <f t="shared" si="48"/>
        <v>1</v>
      </c>
      <c r="P236" s="666"/>
      <c r="Q236" s="21">
        <f t="shared" si="49"/>
        <v>1</v>
      </c>
      <c r="R236" s="662">
        <f t="shared" ca="1" si="50"/>
        <v>2171</v>
      </c>
      <c r="S236" s="665">
        <f t="shared" ca="1" si="41"/>
        <v>1.6022000000000001</v>
      </c>
    </row>
    <row r="237" spans="1:19">
      <c r="A237" s="150" t="s">
        <v>4084</v>
      </c>
      <c r="B237" s="3473">
        <v>11.23</v>
      </c>
      <c r="C237" s="21">
        <f t="shared" si="42"/>
        <v>1</v>
      </c>
      <c r="D237" s="3466" t="s">
        <v>3442</v>
      </c>
      <c r="E237" s="21">
        <f t="shared" si="43"/>
        <v>1</v>
      </c>
      <c r="F237" s="3471" t="s">
        <v>4397</v>
      </c>
      <c r="G237" s="21">
        <f t="shared" si="44"/>
        <v>1</v>
      </c>
      <c r="H237" s="666"/>
      <c r="I237" s="21">
        <f t="shared" si="45"/>
        <v>1</v>
      </c>
      <c r="J237" s="666"/>
      <c r="K237" s="21">
        <f t="shared" si="46"/>
        <v>1</v>
      </c>
      <c r="L237" s="666"/>
      <c r="M237" s="21">
        <f t="shared" si="47"/>
        <v>1</v>
      </c>
      <c r="N237" s="666"/>
      <c r="O237" s="21">
        <f t="shared" si="48"/>
        <v>1</v>
      </c>
      <c r="P237" s="666"/>
      <c r="Q237" s="21">
        <f t="shared" si="49"/>
        <v>1</v>
      </c>
      <c r="R237" s="662">
        <f t="shared" ca="1" si="50"/>
        <v>2388</v>
      </c>
      <c r="S237" s="665">
        <f t="shared" ca="1" si="41"/>
        <v>2.6817000000000002</v>
      </c>
    </row>
    <row r="238" spans="1:19">
      <c r="A238" s="150" t="s">
        <v>4087</v>
      </c>
      <c r="B238" s="3473">
        <v>7.95</v>
      </c>
      <c r="C238" s="21">
        <f t="shared" si="42"/>
        <v>1.01</v>
      </c>
      <c r="D238" s="3466" t="s">
        <v>3442</v>
      </c>
      <c r="E238" s="21">
        <f t="shared" si="43"/>
        <v>1</v>
      </c>
      <c r="F238" s="3471" t="s">
        <v>4397</v>
      </c>
      <c r="G238" s="21">
        <f t="shared" si="44"/>
        <v>1</v>
      </c>
      <c r="H238" s="666"/>
      <c r="I238" s="21">
        <f t="shared" si="45"/>
        <v>1</v>
      </c>
      <c r="J238" s="666"/>
      <c r="K238" s="21">
        <f t="shared" si="46"/>
        <v>1</v>
      </c>
      <c r="L238" s="666"/>
      <c r="M238" s="21">
        <f t="shared" si="47"/>
        <v>1</v>
      </c>
      <c r="N238" s="666"/>
      <c r="O238" s="21">
        <f t="shared" si="48"/>
        <v>1</v>
      </c>
      <c r="P238" s="666"/>
      <c r="Q238" s="21">
        <f t="shared" si="49"/>
        <v>1</v>
      </c>
      <c r="R238" s="662">
        <f t="shared" ca="1" si="50"/>
        <v>2412</v>
      </c>
      <c r="S238" s="665">
        <f t="shared" ca="1" si="41"/>
        <v>1.9175</v>
      </c>
    </row>
    <row r="239" spans="1:19">
      <c r="A239" s="150" t="s">
        <v>4090</v>
      </c>
      <c r="B239" s="3473">
        <v>12.19</v>
      </c>
      <c r="C239" s="21">
        <f t="shared" si="42"/>
        <v>1</v>
      </c>
      <c r="D239" s="3466" t="s">
        <v>3442</v>
      </c>
      <c r="E239" s="21">
        <f t="shared" si="43"/>
        <v>1</v>
      </c>
      <c r="F239" s="3471" t="s">
        <v>4391</v>
      </c>
      <c r="G239" s="21">
        <f t="shared" si="44"/>
        <v>1.2</v>
      </c>
      <c r="H239" s="666"/>
      <c r="I239" s="21">
        <f t="shared" si="45"/>
        <v>1</v>
      </c>
      <c r="J239" s="666"/>
      <c r="K239" s="21">
        <f t="shared" si="46"/>
        <v>1</v>
      </c>
      <c r="L239" s="666"/>
      <c r="M239" s="21">
        <f t="shared" si="47"/>
        <v>1</v>
      </c>
      <c r="N239" s="666"/>
      <c r="O239" s="21">
        <f t="shared" si="48"/>
        <v>1</v>
      </c>
      <c r="P239" s="666"/>
      <c r="Q239" s="21">
        <f t="shared" si="49"/>
        <v>1</v>
      </c>
      <c r="R239" s="662">
        <f t="shared" ca="1" si="50"/>
        <v>2866</v>
      </c>
      <c r="S239" s="665">
        <f t="shared" ca="1" si="41"/>
        <v>3.4937</v>
      </c>
    </row>
    <row r="240" spans="1:19">
      <c r="A240" s="150" t="s">
        <v>4093</v>
      </c>
      <c r="B240" s="3473">
        <v>8.3800000000000008</v>
      </c>
      <c r="C240" s="21">
        <f t="shared" si="42"/>
        <v>1.01</v>
      </c>
      <c r="D240" s="3466" t="s">
        <v>3442</v>
      </c>
      <c r="E240" s="21">
        <f t="shared" si="43"/>
        <v>1</v>
      </c>
      <c r="F240" s="3471" t="s">
        <v>4397</v>
      </c>
      <c r="G240" s="21">
        <f t="shared" si="44"/>
        <v>1</v>
      </c>
      <c r="H240" s="666"/>
      <c r="I240" s="21">
        <f t="shared" si="45"/>
        <v>1</v>
      </c>
      <c r="J240" s="666"/>
      <c r="K240" s="21">
        <f t="shared" si="46"/>
        <v>1</v>
      </c>
      <c r="L240" s="666"/>
      <c r="M240" s="21">
        <f t="shared" si="47"/>
        <v>1</v>
      </c>
      <c r="N240" s="666"/>
      <c r="O240" s="21">
        <f t="shared" si="48"/>
        <v>1</v>
      </c>
      <c r="P240" s="666"/>
      <c r="Q240" s="21">
        <f t="shared" si="49"/>
        <v>1</v>
      </c>
      <c r="R240" s="662">
        <f t="shared" ca="1" si="50"/>
        <v>2412</v>
      </c>
      <c r="S240" s="665">
        <f t="shared" ca="1" si="41"/>
        <v>2.0213000000000001</v>
      </c>
    </row>
    <row r="241" spans="1:19">
      <c r="A241" s="150" t="s">
        <v>4096</v>
      </c>
      <c r="B241" s="3473">
        <v>8.3800000000000008</v>
      </c>
      <c r="C241" s="21">
        <f t="shared" si="42"/>
        <v>1.01</v>
      </c>
      <c r="D241" s="3466" t="s">
        <v>3442</v>
      </c>
      <c r="E241" s="21">
        <f t="shared" si="43"/>
        <v>1</v>
      </c>
      <c r="F241" s="3471" t="s">
        <v>4397</v>
      </c>
      <c r="G241" s="21">
        <f t="shared" si="44"/>
        <v>1</v>
      </c>
      <c r="H241" s="666"/>
      <c r="I241" s="21">
        <f t="shared" si="45"/>
        <v>1</v>
      </c>
      <c r="J241" s="666"/>
      <c r="K241" s="21">
        <f t="shared" si="46"/>
        <v>1</v>
      </c>
      <c r="L241" s="666"/>
      <c r="M241" s="21">
        <f t="shared" si="47"/>
        <v>1</v>
      </c>
      <c r="N241" s="666"/>
      <c r="O241" s="21">
        <f t="shared" si="48"/>
        <v>1</v>
      </c>
      <c r="P241" s="666"/>
      <c r="Q241" s="21">
        <f t="shared" si="49"/>
        <v>1</v>
      </c>
      <c r="R241" s="662">
        <f t="shared" ca="1" si="50"/>
        <v>2412</v>
      </c>
      <c r="S241" s="665">
        <f t="shared" ca="1" si="41"/>
        <v>2.0213000000000001</v>
      </c>
    </row>
    <row r="242" spans="1:19">
      <c r="A242" s="150" t="s">
        <v>4099</v>
      </c>
      <c r="B242" s="3473">
        <v>7.75</v>
      </c>
      <c r="C242" s="21">
        <f t="shared" si="42"/>
        <v>1.01</v>
      </c>
      <c r="D242" s="3466" t="s">
        <v>3442</v>
      </c>
      <c r="E242" s="21">
        <f t="shared" si="43"/>
        <v>1</v>
      </c>
      <c r="F242" s="3471" t="s">
        <v>4397</v>
      </c>
      <c r="G242" s="21">
        <f t="shared" si="44"/>
        <v>1</v>
      </c>
      <c r="H242" s="666"/>
      <c r="I242" s="21">
        <f t="shared" si="45"/>
        <v>1</v>
      </c>
      <c r="J242" s="666"/>
      <c r="K242" s="21">
        <f t="shared" si="46"/>
        <v>1</v>
      </c>
      <c r="L242" s="666"/>
      <c r="M242" s="21">
        <f t="shared" si="47"/>
        <v>1</v>
      </c>
      <c r="N242" s="666"/>
      <c r="O242" s="21">
        <f t="shared" si="48"/>
        <v>1</v>
      </c>
      <c r="P242" s="666"/>
      <c r="Q242" s="21">
        <f t="shared" si="49"/>
        <v>1</v>
      </c>
      <c r="R242" s="662">
        <f t="shared" ca="1" si="50"/>
        <v>2412</v>
      </c>
      <c r="S242" s="665">
        <f t="shared" ca="1" si="41"/>
        <v>1.8693</v>
      </c>
    </row>
    <row r="243" spans="1:19">
      <c r="A243" s="150" t="s">
        <v>4102</v>
      </c>
      <c r="B243" s="3473">
        <v>7.22</v>
      </c>
      <c r="C243" s="21">
        <f t="shared" si="42"/>
        <v>1.01</v>
      </c>
      <c r="D243" s="3466" t="s">
        <v>3442</v>
      </c>
      <c r="E243" s="21">
        <f t="shared" si="43"/>
        <v>1</v>
      </c>
      <c r="F243" s="3471" t="s">
        <v>4397</v>
      </c>
      <c r="G243" s="21">
        <f t="shared" si="44"/>
        <v>1</v>
      </c>
      <c r="H243" s="666"/>
      <c r="I243" s="21">
        <f t="shared" si="45"/>
        <v>1</v>
      </c>
      <c r="J243" s="666"/>
      <c r="K243" s="21">
        <f t="shared" si="46"/>
        <v>1</v>
      </c>
      <c r="L243" s="666"/>
      <c r="M243" s="21">
        <f t="shared" si="47"/>
        <v>1</v>
      </c>
      <c r="N243" s="666"/>
      <c r="O243" s="21">
        <f t="shared" si="48"/>
        <v>1</v>
      </c>
      <c r="P243" s="666"/>
      <c r="Q243" s="21">
        <f t="shared" si="49"/>
        <v>1</v>
      </c>
      <c r="R243" s="662">
        <f t="shared" ca="1" si="50"/>
        <v>2412</v>
      </c>
      <c r="S243" s="665">
        <f t="shared" ca="1" si="41"/>
        <v>1.7415</v>
      </c>
    </row>
    <row r="244" spans="1:19">
      <c r="A244" s="150" t="s">
        <v>4105</v>
      </c>
      <c r="B244" s="3473">
        <v>7.22</v>
      </c>
      <c r="C244" s="21">
        <f t="shared" si="42"/>
        <v>1.01</v>
      </c>
      <c r="D244" s="3466" t="s">
        <v>3442</v>
      </c>
      <c r="E244" s="21">
        <f t="shared" si="43"/>
        <v>1</v>
      </c>
      <c r="F244" s="3471" t="s">
        <v>4397</v>
      </c>
      <c r="G244" s="21">
        <f t="shared" si="44"/>
        <v>1</v>
      </c>
      <c r="H244" s="666"/>
      <c r="I244" s="21">
        <f t="shared" si="45"/>
        <v>1</v>
      </c>
      <c r="J244" s="666"/>
      <c r="K244" s="21">
        <f t="shared" si="46"/>
        <v>1</v>
      </c>
      <c r="L244" s="666"/>
      <c r="M244" s="21">
        <f t="shared" si="47"/>
        <v>1</v>
      </c>
      <c r="N244" s="666"/>
      <c r="O244" s="21">
        <f t="shared" si="48"/>
        <v>1</v>
      </c>
      <c r="P244" s="666"/>
      <c r="Q244" s="21">
        <f t="shared" si="49"/>
        <v>1</v>
      </c>
      <c r="R244" s="662">
        <f t="shared" ca="1" si="50"/>
        <v>2412</v>
      </c>
      <c r="S244" s="665">
        <f t="shared" ca="1" si="41"/>
        <v>1.7415</v>
      </c>
    </row>
    <row r="245" spans="1:19">
      <c r="A245" s="150" t="s">
        <v>4108</v>
      </c>
      <c r="B245" s="3473">
        <v>10.64</v>
      </c>
      <c r="C245" s="21">
        <f t="shared" si="42"/>
        <v>1</v>
      </c>
      <c r="D245" s="3466" t="s">
        <v>3442</v>
      </c>
      <c r="E245" s="21">
        <f t="shared" si="43"/>
        <v>1</v>
      </c>
      <c r="F245" s="3471" t="s">
        <v>4392</v>
      </c>
      <c r="G245" s="21">
        <f t="shared" si="44"/>
        <v>1.2</v>
      </c>
      <c r="H245" s="666"/>
      <c r="I245" s="21">
        <f t="shared" si="45"/>
        <v>1</v>
      </c>
      <c r="J245" s="666"/>
      <c r="K245" s="21">
        <f t="shared" si="46"/>
        <v>1</v>
      </c>
      <c r="L245" s="666"/>
      <c r="M245" s="21">
        <f t="shared" si="47"/>
        <v>1</v>
      </c>
      <c r="N245" s="666"/>
      <c r="O245" s="21">
        <f t="shared" si="48"/>
        <v>1</v>
      </c>
      <c r="P245" s="666"/>
      <c r="Q245" s="21">
        <f t="shared" si="49"/>
        <v>1</v>
      </c>
      <c r="R245" s="662">
        <f t="shared" ca="1" si="50"/>
        <v>2866</v>
      </c>
      <c r="S245" s="665">
        <f t="shared" ca="1" si="41"/>
        <v>3.0493999999999999</v>
      </c>
    </row>
    <row r="246" spans="1:19">
      <c r="A246" s="150" t="s">
        <v>4111</v>
      </c>
      <c r="B246" s="3473">
        <v>8.3800000000000008</v>
      </c>
      <c r="C246" s="21">
        <f t="shared" si="42"/>
        <v>1.01</v>
      </c>
      <c r="D246" s="3466" t="s">
        <v>3442</v>
      </c>
      <c r="E246" s="21">
        <f t="shared" si="43"/>
        <v>1</v>
      </c>
      <c r="F246" s="3471" t="s">
        <v>4397</v>
      </c>
      <c r="G246" s="21">
        <f t="shared" si="44"/>
        <v>1</v>
      </c>
      <c r="H246" s="666"/>
      <c r="I246" s="21">
        <f t="shared" si="45"/>
        <v>1</v>
      </c>
      <c r="J246" s="666"/>
      <c r="K246" s="21">
        <f t="shared" si="46"/>
        <v>1</v>
      </c>
      <c r="L246" s="666"/>
      <c r="M246" s="21">
        <f t="shared" si="47"/>
        <v>1</v>
      </c>
      <c r="N246" s="666"/>
      <c r="O246" s="21">
        <f t="shared" si="48"/>
        <v>1</v>
      </c>
      <c r="P246" s="666"/>
      <c r="Q246" s="21">
        <f t="shared" si="49"/>
        <v>1</v>
      </c>
      <c r="R246" s="662">
        <f t="shared" ca="1" si="50"/>
        <v>2412</v>
      </c>
      <c r="S246" s="665">
        <f t="shared" ca="1" si="41"/>
        <v>2.0213000000000001</v>
      </c>
    </row>
    <row r="247" spans="1:19">
      <c r="A247" s="150" t="s">
        <v>4114</v>
      </c>
      <c r="B247" s="3473">
        <v>10.38</v>
      </c>
      <c r="C247" s="21">
        <f t="shared" si="42"/>
        <v>1</v>
      </c>
      <c r="D247" s="3466" t="s">
        <v>3442</v>
      </c>
      <c r="E247" s="21">
        <f t="shared" si="43"/>
        <v>1</v>
      </c>
      <c r="F247" s="3471" t="s">
        <v>4397</v>
      </c>
      <c r="G247" s="21">
        <f t="shared" si="44"/>
        <v>1</v>
      </c>
      <c r="H247" s="666"/>
      <c r="I247" s="21">
        <f t="shared" si="45"/>
        <v>1</v>
      </c>
      <c r="J247" s="666"/>
      <c r="K247" s="21">
        <f t="shared" si="46"/>
        <v>1</v>
      </c>
      <c r="L247" s="666"/>
      <c r="M247" s="21">
        <f t="shared" si="47"/>
        <v>1</v>
      </c>
      <c r="N247" s="666"/>
      <c r="O247" s="21">
        <f t="shared" si="48"/>
        <v>1</v>
      </c>
      <c r="P247" s="666"/>
      <c r="Q247" s="21">
        <f t="shared" si="49"/>
        <v>1</v>
      </c>
      <c r="R247" s="662">
        <f t="shared" ca="1" si="50"/>
        <v>2388</v>
      </c>
      <c r="S247" s="665">
        <f t="shared" ca="1" si="41"/>
        <v>2.4786999999999999</v>
      </c>
    </row>
    <row r="248" spans="1:19">
      <c r="A248" s="150" t="s">
        <v>4117</v>
      </c>
      <c r="B248" s="3473">
        <v>10.98</v>
      </c>
      <c r="C248" s="21">
        <f t="shared" si="42"/>
        <v>1</v>
      </c>
      <c r="D248" s="3466" t="s">
        <v>3442</v>
      </c>
      <c r="E248" s="21">
        <f t="shared" si="43"/>
        <v>1</v>
      </c>
      <c r="F248" s="3471" t="s">
        <v>4397</v>
      </c>
      <c r="G248" s="21">
        <f t="shared" si="44"/>
        <v>1</v>
      </c>
      <c r="H248" s="666"/>
      <c r="I248" s="21">
        <f t="shared" si="45"/>
        <v>1</v>
      </c>
      <c r="J248" s="666"/>
      <c r="K248" s="21">
        <f t="shared" si="46"/>
        <v>1</v>
      </c>
      <c r="L248" s="666"/>
      <c r="M248" s="21">
        <f t="shared" si="47"/>
        <v>1</v>
      </c>
      <c r="N248" s="666"/>
      <c r="O248" s="21">
        <f t="shared" si="48"/>
        <v>1</v>
      </c>
      <c r="P248" s="666"/>
      <c r="Q248" s="21">
        <f t="shared" si="49"/>
        <v>1</v>
      </c>
      <c r="R248" s="662">
        <f t="shared" ca="1" si="50"/>
        <v>2388</v>
      </c>
      <c r="S248" s="665">
        <f t="shared" ca="1" si="41"/>
        <v>2.6219999999999999</v>
      </c>
    </row>
    <row r="249" spans="1:19">
      <c r="A249" s="150" t="s">
        <v>4120</v>
      </c>
      <c r="B249" s="3473">
        <v>10.98</v>
      </c>
      <c r="C249" s="21">
        <f t="shared" si="42"/>
        <v>1</v>
      </c>
      <c r="D249" s="3466" t="s">
        <v>3442</v>
      </c>
      <c r="E249" s="21">
        <f t="shared" si="43"/>
        <v>1</v>
      </c>
      <c r="F249" s="3471" t="s">
        <v>4397</v>
      </c>
      <c r="G249" s="21">
        <f t="shared" si="44"/>
        <v>1</v>
      </c>
      <c r="H249" s="666"/>
      <c r="I249" s="21">
        <f t="shared" si="45"/>
        <v>1</v>
      </c>
      <c r="J249" s="666"/>
      <c r="K249" s="21">
        <f t="shared" si="46"/>
        <v>1</v>
      </c>
      <c r="L249" s="666"/>
      <c r="M249" s="21">
        <f t="shared" si="47"/>
        <v>1</v>
      </c>
      <c r="N249" s="666"/>
      <c r="O249" s="21">
        <f t="shared" si="48"/>
        <v>1</v>
      </c>
      <c r="P249" s="666"/>
      <c r="Q249" s="21">
        <f t="shared" si="49"/>
        <v>1</v>
      </c>
      <c r="R249" s="662">
        <f t="shared" ca="1" si="50"/>
        <v>2388</v>
      </c>
      <c r="S249" s="665">
        <f t="shared" ca="1" si="41"/>
        <v>2.6219999999999999</v>
      </c>
    </row>
    <row r="250" spans="1:19">
      <c r="A250" s="150" t="s">
        <v>4123</v>
      </c>
      <c r="B250" s="3473">
        <v>10.38</v>
      </c>
      <c r="C250" s="21">
        <f t="shared" si="42"/>
        <v>1</v>
      </c>
      <c r="D250" s="3466" t="s">
        <v>3442</v>
      </c>
      <c r="E250" s="21">
        <f t="shared" si="43"/>
        <v>1</v>
      </c>
      <c r="F250" s="3471" t="s">
        <v>4397</v>
      </c>
      <c r="G250" s="21">
        <f t="shared" si="44"/>
        <v>1</v>
      </c>
      <c r="H250" s="666"/>
      <c r="I250" s="21">
        <f t="shared" si="45"/>
        <v>1</v>
      </c>
      <c r="J250" s="666"/>
      <c r="K250" s="21">
        <f t="shared" si="46"/>
        <v>1</v>
      </c>
      <c r="L250" s="666"/>
      <c r="M250" s="21">
        <f t="shared" si="47"/>
        <v>1</v>
      </c>
      <c r="N250" s="666"/>
      <c r="O250" s="21">
        <f t="shared" si="48"/>
        <v>1</v>
      </c>
      <c r="P250" s="666"/>
      <c r="Q250" s="21">
        <f t="shared" si="49"/>
        <v>1</v>
      </c>
      <c r="R250" s="662">
        <f t="shared" ca="1" si="50"/>
        <v>2388</v>
      </c>
      <c r="S250" s="665">
        <f t="shared" ca="1" si="41"/>
        <v>2.4786999999999999</v>
      </c>
    </row>
    <row r="251" spans="1:19">
      <c r="A251" s="150" t="s">
        <v>4126</v>
      </c>
      <c r="B251" s="3473">
        <v>8.3800000000000008</v>
      </c>
      <c r="C251" s="21">
        <f t="shared" si="42"/>
        <v>1.01</v>
      </c>
      <c r="D251" s="3466" t="s">
        <v>3442</v>
      </c>
      <c r="E251" s="21">
        <f t="shared" si="43"/>
        <v>1</v>
      </c>
      <c r="F251" s="3471" t="s">
        <v>4397</v>
      </c>
      <c r="G251" s="21">
        <f t="shared" si="44"/>
        <v>1</v>
      </c>
      <c r="H251" s="666"/>
      <c r="I251" s="21">
        <f t="shared" si="45"/>
        <v>1</v>
      </c>
      <c r="J251" s="666"/>
      <c r="K251" s="21">
        <f t="shared" si="46"/>
        <v>1</v>
      </c>
      <c r="L251" s="666"/>
      <c r="M251" s="21">
        <f t="shared" si="47"/>
        <v>1</v>
      </c>
      <c r="N251" s="666"/>
      <c r="O251" s="21">
        <f t="shared" si="48"/>
        <v>1</v>
      </c>
      <c r="P251" s="666"/>
      <c r="Q251" s="21">
        <f t="shared" si="49"/>
        <v>1</v>
      </c>
      <c r="R251" s="662">
        <f t="shared" ca="1" si="50"/>
        <v>2412</v>
      </c>
      <c r="S251" s="665">
        <f t="shared" ca="1" si="41"/>
        <v>2.0213000000000001</v>
      </c>
    </row>
    <row r="252" spans="1:19">
      <c r="A252" s="150" t="s">
        <v>4129</v>
      </c>
      <c r="B252" s="3473">
        <v>10.64</v>
      </c>
      <c r="C252" s="21">
        <f t="shared" si="42"/>
        <v>1</v>
      </c>
      <c r="D252" s="3466" t="s">
        <v>3442</v>
      </c>
      <c r="E252" s="21">
        <f t="shared" si="43"/>
        <v>1</v>
      </c>
      <c r="F252" s="3471" t="s">
        <v>4392</v>
      </c>
      <c r="G252" s="21">
        <f t="shared" si="44"/>
        <v>1.2</v>
      </c>
      <c r="H252" s="666"/>
      <c r="I252" s="21">
        <f t="shared" si="45"/>
        <v>1</v>
      </c>
      <c r="J252" s="666"/>
      <c r="K252" s="21">
        <f t="shared" si="46"/>
        <v>1</v>
      </c>
      <c r="L252" s="666"/>
      <c r="M252" s="21">
        <f t="shared" si="47"/>
        <v>1</v>
      </c>
      <c r="N252" s="666"/>
      <c r="O252" s="21">
        <f t="shared" si="48"/>
        <v>1</v>
      </c>
      <c r="P252" s="666"/>
      <c r="Q252" s="21">
        <f t="shared" si="49"/>
        <v>1</v>
      </c>
      <c r="R252" s="662">
        <f t="shared" ca="1" si="50"/>
        <v>2866</v>
      </c>
      <c r="S252" s="665">
        <f t="shared" ca="1" si="41"/>
        <v>3.0493999999999999</v>
      </c>
    </row>
    <row r="253" spans="1:19">
      <c r="A253" s="150" t="s">
        <v>4132</v>
      </c>
      <c r="B253" s="3473">
        <v>12.03</v>
      </c>
      <c r="C253" s="21">
        <f t="shared" si="42"/>
        <v>1</v>
      </c>
      <c r="D253" s="3466" t="s">
        <v>3442</v>
      </c>
      <c r="E253" s="21">
        <f t="shared" si="43"/>
        <v>1</v>
      </c>
      <c r="F253" s="3471" t="s">
        <v>4391</v>
      </c>
      <c r="G253" s="21">
        <f t="shared" si="44"/>
        <v>1.2</v>
      </c>
      <c r="H253" s="666"/>
      <c r="I253" s="21">
        <f t="shared" si="45"/>
        <v>1</v>
      </c>
      <c r="J253" s="666"/>
      <c r="K253" s="21">
        <f t="shared" si="46"/>
        <v>1</v>
      </c>
      <c r="L253" s="666"/>
      <c r="M253" s="21">
        <f t="shared" si="47"/>
        <v>1</v>
      </c>
      <c r="N253" s="666"/>
      <c r="O253" s="21">
        <f t="shared" si="48"/>
        <v>1</v>
      </c>
      <c r="P253" s="666"/>
      <c r="Q253" s="21">
        <f t="shared" si="49"/>
        <v>1</v>
      </c>
      <c r="R253" s="662">
        <f t="shared" ca="1" si="50"/>
        <v>2866</v>
      </c>
      <c r="S253" s="665">
        <f t="shared" ca="1" si="41"/>
        <v>3.4478</v>
      </c>
    </row>
    <row r="254" spans="1:19">
      <c r="A254" s="150" t="s">
        <v>4135</v>
      </c>
      <c r="B254" s="3473">
        <v>10.41</v>
      </c>
      <c r="C254" s="21">
        <f t="shared" si="42"/>
        <v>1</v>
      </c>
      <c r="D254" s="3466" t="s">
        <v>3442</v>
      </c>
      <c r="E254" s="21">
        <f t="shared" si="43"/>
        <v>1</v>
      </c>
      <c r="F254" s="3471" t="s">
        <v>4397</v>
      </c>
      <c r="G254" s="21">
        <f t="shared" si="44"/>
        <v>1</v>
      </c>
      <c r="H254" s="666"/>
      <c r="I254" s="21">
        <f t="shared" si="45"/>
        <v>1</v>
      </c>
      <c r="J254" s="666"/>
      <c r="K254" s="21">
        <f t="shared" si="46"/>
        <v>1</v>
      </c>
      <c r="L254" s="666"/>
      <c r="M254" s="21">
        <f t="shared" si="47"/>
        <v>1</v>
      </c>
      <c r="N254" s="666"/>
      <c r="O254" s="21">
        <f t="shared" si="48"/>
        <v>1</v>
      </c>
      <c r="P254" s="666"/>
      <c r="Q254" s="21">
        <f t="shared" si="49"/>
        <v>1</v>
      </c>
      <c r="R254" s="662">
        <f t="shared" ca="1" si="50"/>
        <v>2388</v>
      </c>
      <c r="S254" s="665">
        <f t="shared" ca="1" si="41"/>
        <v>2.4859</v>
      </c>
    </row>
    <row r="255" spans="1:19">
      <c r="A255" s="150" t="s">
        <v>4139</v>
      </c>
      <c r="B255" s="3473">
        <v>7.38</v>
      </c>
      <c r="C255" s="21">
        <f t="shared" si="42"/>
        <v>1.01</v>
      </c>
      <c r="D255" s="3466" t="s">
        <v>3442</v>
      </c>
      <c r="E255" s="21">
        <f t="shared" si="43"/>
        <v>1</v>
      </c>
      <c r="F255" s="3471" t="s">
        <v>4397</v>
      </c>
      <c r="G255" s="21">
        <f t="shared" si="44"/>
        <v>1</v>
      </c>
      <c r="H255" s="666"/>
      <c r="I255" s="21">
        <f t="shared" si="45"/>
        <v>1</v>
      </c>
      <c r="J255" s="666"/>
      <c r="K255" s="21">
        <f t="shared" si="46"/>
        <v>1</v>
      </c>
      <c r="L255" s="666"/>
      <c r="M255" s="21">
        <f t="shared" si="47"/>
        <v>1</v>
      </c>
      <c r="N255" s="666"/>
      <c r="O255" s="21">
        <f t="shared" si="48"/>
        <v>1</v>
      </c>
      <c r="P255" s="666"/>
      <c r="Q255" s="21">
        <f t="shared" si="49"/>
        <v>1</v>
      </c>
      <c r="R255" s="662">
        <f t="shared" ca="1" si="50"/>
        <v>2412</v>
      </c>
      <c r="S255" s="665">
        <f t="shared" ca="1" si="41"/>
        <v>1.7801</v>
      </c>
    </row>
    <row r="256" spans="1:19">
      <c r="A256" s="150" t="s">
        <v>4142</v>
      </c>
      <c r="B256" s="3473">
        <v>5.23</v>
      </c>
      <c r="C256" s="21">
        <f t="shared" si="42"/>
        <v>1.01</v>
      </c>
      <c r="D256" s="3466" t="s">
        <v>3442</v>
      </c>
      <c r="E256" s="21">
        <f t="shared" si="43"/>
        <v>1</v>
      </c>
      <c r="F256" s="3471" t="s">
        <v>4391</v>
      </c>
      <c r="G256" s="21">
        <f t="shared" si="44"/>
        <v>1.2</v>
      </c>
      <c r="H256" s="666"/>
      <c r="I256" s="21">
        <f t="shared" si="45"/>
        <v>1</v>
      </c>
      <c r="J256" s="666"/>
      <c r="K256" s="21">
        <f t="shared" si="46"/>
        <v>1</v>
      </c>
      <c r="L256" s="666"/>
      <c r="M256" s="21">
        <f t="shared" si="47"/>
        <v>1</v>
      </c>
      <c r="N256" s="666"/>
      <c r="O256" s="21">
        <f t="shared" si="48"/>
        <v>1</v>
      </c>
      <c r="P256" s="666"/>
      <c r="Q256" s="21">
        <f t="shared" si="49"/>
        <v>1</v>
      </c>
      <c r="R256" s="662">
        <f t="shared" ca="1" si="50"/>
        <v>2894</v>
      </c>
      <c r="S256" s="665">
        <f t="shared" ca="1" si="41"/>
        <v>1.5136000000000001</v>
      </c>
    </row>
    <row r="257" spans="1:19">
      <c r="A257" s="150" t="s">
        <v>4145</v>
      </c>
      <c r="B257" s="3473">
        <v>4.3499999999999996</v>
      </c>
      <c r="C257" s="21">
        <f t="shared" si="42"/>
        <v>1.02</v>
      </c>
      <c r="D257" s="3466" t="s">
        <v>3442</v>
      </c>
      <c r="E257" s="21">
        <f t="shared" si="43"/>
        <v>1</v>
      </c>
      <c r="F257" s="3471" t="s">
        <v>4397</v>
      </c>
      <c r="G257" s="21">
        <f t="shared" si="44"/>
        <v>1</v>
      </c>
      <c r="H257" s="666"/>
      <c r="I257" s="21">
        <f t="shared" si="45"/>
        <v>1</v>
      </c>
      <c r="J257" s="666"/>
      <c r="K257" s="21">
        <f t="shared" si="46"/>
        <v>1</v>
      </c>
      <c r="L257" s="666"/>
      <c r="M257" s="21">
        <f t="shared" si="47"/>
        <v>1</v>
      </c>
      <c r="N257" s="666"/>
      <c r="O257" s="21">
        <f t="shared" si="48"/>
        <v>1</v>
      </c>
      <c r="P257" s="666"/>
      <c r="Q257" s="21">
        <f t="shared" si="49"/>
        <v>1</v>
      </c>
      <c r="R257" s="662">
        <f t="shared" ca="1" si="50"/>
        <v>2436</v>
      </c>
      <c r="S257" s="665">
        <f t="shared" ca="1" si="41"/>
        <v>1.0597000000000001</v>
      </c>
    </row>
    <row r="258" spans="1:19">
      <c r="A258" s="150" t="s">
        <v>4148</v>
      </c>
      <c r="B258" s="3473">
        <v>10.49</v>
      </c>
      <c r="C258" s="21">
        <f t="shared" si="42"/>
        <v>1</v>
      </c>
      <c r="D258" s="3466" t="s">
        <v>3442</v>
      </c>
      <c r="E258" s="21">
        <f t="shared" si="43"/>
        <v>1</v>
      </c>
      <c r="F258" s="3471" t="s">
        <v>4397</v>
      </c>
      <c r="G258" s="21">
        <f t="shared" si="44"/>
        <v>1</v>
      </c>
      <c r="H258" s="666"/>
      <c r="I258" s="21">
        <f t="shared" si="45"/>
        <v>1</v>
      </c>
      <c r="J258" s="666"/>
      <c r="K258" s="21">
        <f t="shared" si="46"/>
        <v>1</v>
      </c>
      <c r="L258" s="666"/>
      <c r="M258" s="21">
        <f t="shared" si="47"/>
        <v>1</v>
      </c>
      <c r="N258" s="666"/>
      <c r="O258" s="21">
        <f t="shared" si="48"/>
        <v>1</v>
      </c>
      <c r="P258" s="666"/>
      <c r="Q258" s="21">
        <f t="shared" si="49"/>
        <v>1</v>
      </c>
      <c r="R258" s="662">
        <f t="shared" ca="1" si="50"/>
        <v>2388</v>
      </c>
      <c r="S258" s="665">
        <f t="shared" ca="1" si="41"/>
        <v>2.5049999999999999</v>
      </c>
    </row>
    <row r="259" spans="1:19">
      <c r="A259" s="150" t="s">
        <v>4151</v>
      </c>
      <c r="B259" s="3473">
        <v>10.49</v>
      </c>
      <c r="C259" s="21">
        <f t="shared" si="42"/>
        <v>1</v>
      </c>
      <c r="D259" s="3466" t="s">
        <v>3442</v>
      </c>
      <c r="E259" s="21">
        <f t="shared" si="43"/>
        <v>1</v>
      </c>
      <c r="F259" s="3471" t="s">
        <v>4397</v>
      </c>
      <c r="G259" s="21">
        <f t="shared" si="44"/>
        <v>1</v>
      </c>
      <c r="H259" s="666"/>
      <c r="I259" s="21">
        <f t="shared" si="45"/>
        <v>1</v>
      </c>
      <c r="J259" s="666"/>
      <c r="K259" s="21">
        <f t="shared" si="46"/>
        <v>1</v>
      </c>
      <c r="L259" s="666"/>
      <c r="M259" s="21">
        <f t="shared" si="47"/>
        <v>1</v>
      </c>
      <c r="N259" s="666"/>
      <c r="O259" s="21">
        <f t="shared" si="48"/>
        <v>1</v>
      </c>
      <c r="P259" s="666"/>
      <c r="Q259" s="21">
        <f t="shared" si="49"/>
        <v>1</v>
      </c>
      <c r="R259" s="662">
        <f t="shared" ca="1" si="50"/>
        <v>2388</v>
      </c>
      <c r="S259" s="665">
        <f t="shared" ca="1" si="41"/>
        <v>2.5049999999999999</v>
      </c>
    </row>
    <row r="260" spans="1:19">
      <c r="A260" s="150" t="s">
        <v>4154</v>
      </c>
      <c r="B260" s="3473">
        <v>10.43</v>
      </c>
      <c r="C260" s="21">
        <f t="shared" si="42"/>
        <v>1</v>
      </c>
      <c r="D260" s="3466" t="s">
        <v>3442</v>
      </c>
      <c r="E260" s="21">
        <f t="shared" si="43"/>
        <v>1</v>
      </c>
      <c r="F260" s="3471" t="s">
        <v>4397</v>
      </c>
      <c r="G260" s="21">
        <f t="shared" si="44"/>
        <v>1</v>
      </c>
      <c r="H260" s="666"/>
      <c r="I260" s="21">
        <f t="shared" si="45"/>
        <v>1</v>
      </c>
      <c r="J260" s="666"/>
      <c r="K260" s="21">
        <f t="shared" si="46"/>
        <v>1</v>
      </c>
      <c r="L260" s="666"/>
      <c r="M260" s="21">
        <f t="shared" si="47"/>
        <v>1</v>
      </c>
      <c r="N260" s="666"/>
      <c r="O260" s="21">
        <f t="shared" si="48"/>
        <v>1</v>
      </c>
      <c r="P260" s="666"/>
      <c r="Q260" s="21">
        <f t="shared" si="49"/>
        <v>1</v>
      </c>
      <c r="R260" s="662">
        <f t="shared" ca="1" si="50"/>
        <v>2388</v>
      </c>
      <c r="S260" s="665">
        <f t="shared" ca="1" si="41"/>
        <v>2.4906999999999999</v>
      </c>
    </row>
    <row r="261" spans="1:19">
      <c r="A261" s="150" t="s">
        <v>4157</v>
      </c>
      <c r="B261" s="3473">
        <v>10.58</v>
      </c>
      <c r="C261" s="21">
        <f t="shared" si="42"/>
        <v>1</v>
      </c>
      <c r="D261" s="3466" t="s">
        <v>3442</v>
      </c>
      <c r="E261" s="21">
        <f t="shared" si="43"/>
        <v>1</v>
      </c>
      <c r="F261" s="3471" t="s">
        <v>4391</v>
      </c>
      <c r="G261" s="21">
        <f t="shared" si="44"/>
        <v>1.2</v>
      </c>
      <c r="H261" s="666"/>
      <c r="I261" s="21">
        <f t="shared" si="45"/>
        <v>1</v>
      </c>
      <c r="J261" s="666"/>
      <c r="K261" s="21">
        <f t="shared" si="46"/>
        <v>1</v>
      </c>
      <c r="L261" s="666"/>
      <c r="M261" s="21">
        <f t="shared" si="47"/>
        <v>1</v>
      </c>
      <c r="N261" s="666"/>
      <c r="O261" s="21">
        <f t="shared" si="48"/>
        <v>1</v>
      </c>
      <c r="P261" s="666"/>
      <c r="Q261" s="21">
        <f t="shared" si="49"/>
        <v>1</v>
      </c>
      <c r="R261" s="662">
        <f t="shared" ca="1" si="50"/>
        <v>2866</v>
      </c>
      <c r="S261" s="665">
        <f t="shared" ca="1" si="41"/>
        <v>3.0322</v>
      </c>
    </row>
    <row r="262" spans="1:19">
      <c r="A262" s="150" t="s">
        <v>4160</v>
      </c>
      <c r="B262" s="3473">
        <v>8.23</v>
      </c>
      <c r="C262" s="21">
        <f t="shared" si="42"/>
        <v>1.01</v>
      </c>
      <c r="D262" s="3466" t="s">
        <v>3442</v>
      </c>
      <c r="E262" s="21">
        <f t="shared" si="43"/>
        <v>1</v>
      </c>
      <c r="F262" s="3471" t="s">
        <v>4397</v>
      </c>
      <c r="G262" s="21">
        <f t="shared" si="44"/>
        <v>1</v>
      </c>
      <c r="H262" s="666"/>
      <c r="I262" s="21">
        <f t="shared" si="45"/>
        <v>1</v>
      </c>
      <c r="J262" s="666"/>
      <c r="K262" s="21">
        <f t="shared" si="46"/>
        <v>1</v>
      </c>
      <c r="L262" s="666"/>
      <c r="M262" s="21">
        <f t="shared" si="47"/>
        <v>1</v>
      </c>
      <c r="N262" s="666"/>
      <c r="O262" s="21">
        <f t="shared" si="48"/>
        <v>1</v>
      </c>
      <c r="P262" s="666"/>
      <c r="Q262" s="21">
        <f t="shared" si="49"/>
        <v>1</v>
      </c>
      <c r="R262" s="662">
        <f t="shared" ca="1" si="50"/>
        <v>2412</v>
      </c>
      <c r="S262" s="665">
        <f t="shared" ca="1" si="41"/>
        <v>1.9851000000000001</v>
      </c>
    </row>
    <row r="263" spans="1:19">
      <c r="A263" s="150" t="s">
        <v>4163</v>
      </c>
      <c r="B263" s="3473">
        <v>7.38</v>
      </c>
      <c r="C263" s="21">
        <f t="shared" si="42"/>
        <v>1.01</v>
      </c>
      <c r="D263" s="3466" t="s">
        <v>3524</v>
      </c>
      <c r="E263" s="21">
        <f t="shared" si="43"/>
        <v>0.9</v>
      </c>
      <c r="F263" s="3471" t="s">
        <v>4397</v>
      </c>
      <c r="G263" s="21">
        <f t="shared" si="44"/>
        <v>1</v>
      </c>
      <c r="H263" s="666"/>
      <c r="I263" s="21">
        <f t="shared" si="45"/>
        <v>1</v>
      </c>
      <c r="J263" s="666"/>
      <c r="K263" s="21">
        <f t="shared" si="46"/>
        <v>1</v>
      </c>
      <c r="L263" s="666"/>
      <c r="M263" s="21">
        <f t="shared" si="47"/>
        <v>1</v>
      </c>
      <c r="N263" s="666"/>
      <c r="O263" s="21">
        <f t="shared" si="48"/>
        <v>1</v>
      </c>
      <c r="P263" s="666"/>
      <c r="Q263" s="21">
        <f t="shared" si="49"/>
        <v>1</v>
      </c>
      <c r="R263" s="662">
        <f t="shared" ca="1" si="50"/>
        <v>2171</v>
      </c>
      <c r="S263" s="665">
        <f t="shared" ca="1" si="41"/>
        <v>1.6022000000000001</v>
      </c>
    </row>
    <row r="264" spans="1:19">
      <c r="A264" s="150" t="s">
        <v>4166</v>
      </c>
      <c r="B264" s="3473">
        <v>7.65</v>
      </c>
      <c r="C264" s="21">
        <f t="shared" si="42"/>
        <v>1.01</v>
      </c>
      <c r="D264" s="3466" t="s">
        <v>3524</v>
      </c>
      <c r="E264" s="21">
        <f t="shared" si="43"/>
        <v>0.9</v>
      </c>
      <c r="F264" s="3471" t="s">
        <v>4397</v>
      </c>
      <c r="G264" s="21">
        <f t="shared" si="44"/>
        <v>1</v>
      </c>
      <c r="H264" s="666"/>
      <c r="I264" s="21">
        <f t="shared" si="45"/>
        <v>1</v>
      </c>
      <c r="J264" s="666"/>
      <c r="K264" s="21">
        <f t="shared" si="46"/>
        <v>1</v>
      </c>
      <c r="L264" s="666"/>
      <c r="M264" s="21">
        <f t="shared" si="47"/>
        <v>1</v>
      </c>
      <c r="N264" s="666"/>
      <c r="O264" s="21">
        <f t="shared" si="48"/>
        <v>1</v>
      </c>
      <c r="P264" s="666"/>
      <c r="Q264" s="21">
        <f t="shared" si="49"/>
        <v>1</v>
      </c>
      <c r="R264" s="662">
        <f t="shared" ca="1" si="50"/>
        <v>2171</v>
      </c>
      <c r="S264" s="665">
        <f t="shared" ca="1" si="41"/>
        <v>1.6608000000000001</v>
      </c>
    </row>
    <row r="265" spans="1:19">
      <c r="A265" s="150" t="s">
        <v>4169</v>
      </c>
      <c r="B265" s="3473">
        <v>8.25</v>
      </c>
      <c r="C265" s="21">
        <f t="shared" si="42"/>
        <v>1.01</v>
      </c>
      <c r="D265" s="3466" t="s">
        <v>3524</v>
      </c>
      <c r="E265" s="21">
        <f t="shared" si="43"/>
        <v>0.9</v>
      </c>
      <c r="F265" s="3471" t="s">
        <v>4397</v>
      </c>
      <c r="G265" s="21">
        <f t="shared" si="44"/>
        <v>1</v>
      </c>
      <c r="H265" s="666"/>
      <c r="I265" s="21">
        <f t="shared" si="45"/>
        <v>1</v>
      </c>
      <c r="J265" s="666"/>
      <c r="K265" s="21">
        <f t="shared" si="46"/>
        <v>1</v>
      </c>
      <c r="L265" s="666"/>
      <c r="M265" s="21">
        <f t="shared" si="47"/>
        <v>1</v>
      </c>
      <c r="N265" s="666"/>
      <c r="O265" s="21">
        <f t="shared" si="48"/>
        <v>1</v>
      </c>
      <c r="P265" s="666"/>
      <c r="Q265" s="21">
        <f t="shared" si="49"/>
        <v>1</v>
      </c>
      <c r="R265" s="662">
        <f t="shared" ca="1" si="50"/>
        <v>2171</v>
      </c>
      <c r="S265" s="665">
        <f t="shared" ca="1" si="41"/>
        <v>1.7910999999999999</v>
      </c>
    </row>
    <row r="266" spans="1:19">
      <c r="A266" s="150" t="s">
        <v>4172</v>
      </c>
      <c r="B266" s="3473">
        <v>8.1999999999999993</v>
      </c>
      <c r="C266" s="21">
        <f t="shared" si="42"/>
        <v>1.01</v>
      </c>
      <c r="D266" s="3466" t="s">
        <v>3524</v>
      </c>
      <c r="E266" s="21">
        <f t="shared" si="43"/>
        <v>0.9</v>
      </c>
      <c r="F266" s="3471" t="s">
        <v>4397</v>
      </c>
      <c r="G266" s="21">
        <f t="shared" si="44"/>
        <v>1</v>
      </c>
      <c r="H266" s="666"/>
      <c r="I266" s="21">
        <f t="shared" si="45"/>
        <v>1</v>
      </c>
      <c r="J266" s="666"/>
      <c r="K266" s="21">
        <f t="shared" si="46"/>
        <v>1</v>
      </c>
      <c r="L266" s="666"/>
      <c r="M266" s="21">
        <f t="shared" si="47"/>
        <v>1</v>
      </c>
      <c r="N266" s="666"/>
      <c r="O266" s="21">
        <f t="shared" si="48"/>
        <v>1</v>
      </c>
      <c r="P266" s="666"/>
      <c r="Q266" s="21">
        <f t="shared" si="49"/>
        <v>1</v>
      </c>
      <c r="R266" s="662">
        <f t="shared" ca="1" si="50"/>
        <v>2171</v>
      </c>
      <c r="S266" s="665">
        <f t="shared" ca="1" si="41"/>
        <v>1.7802</v>
      </c>
    </row>
    <row r="267" spans="1:19">
      <c r="A267" s="150" t="s">
        <v>4175</v>
      </c>
      <c r="B267" s="3473">
        <v>6.87</v>
      </c>
      <c r="C267" s="21">
        <f t="shared" si="42"/>
        <v>1.01</v>
      </c>
      <c r="D267" s="3466" t="s">
        <v>3524</v>
      </c>
      <c r="E267" s="21">
        <f t="shared" si="43"/>
        <v>0.9</v>
      </c>
      <c r="F267" s="3471" t="s">
        <v>4397</v>
      </c>
      <c r="G267" s="21">
        <f t="shared" si="44"/>
        <v>1</v>
      </c>
      <c r="H267" s="666"/>
      <c r="I267" s="21">
        <f t="shared" si="45"/>
        <v>1</v>
      </c>
      <c r="J267" s="666"/>
      <c r="K267" s="21">
        <f t="shared" si="46"/>
        <v>1</v>
      </c>
      <c r="L267" s="666"/>
      <c r="M267" s="21">
        <f t="shared" si="47"/>
        <v>1</v>
      </c>
      <c r="N267" s="666"/>
      <c r="O267" s="21">
        <f t="shared" si="48"/>
        <v>1</v>
      </c>
      <c r="P267" s="666"/>
      <c r="Q267" s="21">
        <f t="shared" si="49"/>
        <v>1</v>
      </c>
      <c r="R267" s="662">
        <f t="shared" ca="1" si="50"/>
        <v>2171</v>
      </c>
      <c r="S267" s="665">
        <f t="shared" ca="1" si="41"/>
        <v>1.4915</v>
      </c>
    </row>
    <row r="268" spans="1:19">
      <c r="A268" s="150" t="s">
        <v>4178</v>
      </c>
      <c r="B268" s="3473">
        <v>7.74</v>
      </c>
      <c r="C268" s="21">
        <f t="shared" si="42"/>
        <v>1.01</v>
      </c>
      <c r="D268" s="3466" t="s">
        <v>3524</v>
      </c>
      <c r="E268" s="21">
        <f t="shared" si="43"/>
        <v>0.9</v>
      </c>
      <c r="F268" s="3471" t="s">
        <v>4391</v>
      </c>
      <c r="G268" s="21">
        <f t="shared" si="44"/>
        <v>1.2</v>
      </c>
      <c r="H268" s="666"/>
      <c r="I268" s="21">
        <f t="shared" si="45"/>
        <v>1</v>
      </c>
      <c r="J268" s="666"/>
      <c r="K268" s="21">
        <f t="shared" si="46"/>
        <v>1</v>
      </c>
      <c r="L268" s="666"/>
      <c r="M268" s="21">
        <f t="shared" si="47"/>
        <v>1</v>
      </c>
      <c r="N268" s="666"/>
      <c r="O268" s="21">
        <f t="shared" si="48"/>
        <v>1</v>
      </c>
      <c r="P268" s="666"/>
      <c r="Q268" s="21">
        <f t="shared" si="49"/>
        <v>1</v>
      </c>
      <c r="R268" s="662">
        <f t="shared" ca="1" si="50"/>
        <v>2605</v>
      </c>
      <c r="S268" s="665">
        <f t="shared" ca="1" si="41"/>
        <v>2.0163000000000002</v>
      </c>
    </row>
    <row r="269" spans="1:19">
      <c r="A269" s="150" t="s">
        <v>4181</v>
      </c>
      <c r="B269" s="3473">
        <v>7.74</v>
      </c>
      <c r="C269" s="21">
        <f t="shared" si="42"/>
        <v>1.01</v>
      </c>
      <c r="D269" s="3466" t="s">
        <v>3524</v>
      </c>
      <c r="E269" s="21">
        <f t="shared" si="43"/>
        <v>0.9</v>
      </c>
      <c r="F269" s="3471" t="s">
        <v>4391</v>
      </c>
      <c r="G269" s="21">
        <f t="shared" si="44"/>
        <v>1.2</v>
      </c>
      <c r="H269" s="666"/>
      <c r="I269" s="21">
        <f t="shared" si="45"/>
        <v>1</v>
      </c>
      <c r="J269" s="666"/>
      <c r="K269" s="21">
        <f t="shared" si="46"/>
        <v>1</v>
      </c>
      <c r="L269" s="666"/>
      <c r="M269" s="21">
        <f t="shared" si="47"/>
        <v>1</v>
      </c>
      <c r="N269" s="666"/>
      <c r="O269" s="21">
        <f t="shared" si="48"/>
        <v>1</v>
      </c>
      <c r="P269" s="666"/>
      <c r="Q269" s="21">
        <f t="shared" si="49"/>
        <v>1</v>
      </c>
      <c r="R269" s="662">
        <f t="shared" ca="1" si="50"/>
        <v>2605</v>
      </c>
      <c r="S269" s="665">
        <f t="shared" ca="1" si="41"/>
        <v>2.0163000000000002</v>
      </c>
    </row>
    <row r="270" spans="1:19">
      <c r="A270" s="150" t="s">
        <v>4184</v>
      </c>
      <c r="B270" s="3473">
        <v>7.6</v>
      </c>
      <c r="C270" s="21">
        <f t="shared" si="42"/>
        <v>1.01</v>
      </c>
      <c r="D270" s="3466" t="s">
        <v>3524</v>
      </c>
      <c r="E270" s="21">
        <f t="shared" si="43"/>
        <v>0.9</v>
      </c>
      <c r="F270" s="3471" t="s">
        <v>4397</v>
      </c>
      <c r="G270" s="21">
        <f t="shared" si="44"/>
        <v>1</v>
      </c>
      <c r="H270" s="666"/>
      <c r="I270" s="21">
        <f t="shared" si="45"/>
        <v>1</v>
      </c>
      <c r="J270" s="666"/>
      <c r="K270" s="21">
        <f t="shared" si="46"/>
        <v>1</v>
      </c>
      <c r="L270" s="666"/>
      <c r="M270" s="21">
        <f t="shared" si="47"/>
        <v>1</v>
      </c>
      <c r="N270" s="666"/>
      <c r="O270" s="21">
        <f t="shared" si="48"/>
        <v>1</v>
      </c>
      <c r="P270" s="666"/>
      <c r="Q270" s="21">
        <f t="shared" si="49"/>
        <v>1</v>
      </c>
      <c r="R270" s="662">
        <f t="shared" ca="1" si="50"/>
        <v>2171</v>
      </c>
      <c r="S270" s="665">
        <f t="shared" ca="1" si="41"/>
        <v>1.65</v>
      </c>
    </row>
    <row r="271" spans="1:19">
      <c r="A271" s="150" t="s">
        <v>4187</v>
      </c>
      <c r="B271" s="3473">
        <v>7.71</v>
      </c>
      <c r="C271" s="21">
        <f t="shared" si="42"/>
        <v>1.01</v>
      </c>
      <c r="D271" s="3466" t="s">
        <v>3524</v>
      </c>
      <c r="E271" s="21">
        <f t="shared" si="43"/>
        <v>0.9</v>
      </c>
      <c r="F271" s="3471" t="s">
        <v>4397</v>
      </c>
      <c r="G271" s="21">
        <f t="shared" si="44"/>
        <v>1</v>
      </c>
      <c r="H271" s="666"/>
      <c r="I271" s="21">
        <f t="shared" si="45"/>
        <v>1</v>
      </c>
      <c r="J271" s="666"/>
      <c r="K271" s="21">
        <f t="shared" si="46"/>
        <v>1</v>
      </c>
      <c r="L271" s="666"/>
      <c r="M271" s="21">
        <f t="shared" si="47"/>
        <v>1</v>
      </c>
      <c r="N271" s="666"/>
      <c r="O271" s="21">
        <f t="shared" si="48"/>
        <v>1</v>
      </c>
      <c r="P271" s="666"/>
      <c r="Q271" s="21">
        <f t="shared" si="49"/>
        <v>1</v>
      </c>
      <c r="R271" s="662">
        <f t="shared" ca="1" si="50"/>
        <v>2171</v>
      </c>
      <c r="S271" s="665">
        <f t="shared" ca="1" si="41"/>
        <v>1.6738</v>
      </c>
    </row>
    <row r="272" spans="1:19">
      <c r="A272" s="150" t="s">
        <v>4190</v>
      </c>
      <c r="B272" s="3473">
        <v>10.49</v>
      </c>
      <c r="C272" s="21">
        <f t="shared" si="42"/>
        <v>1</v>
      </c>
      <c r="D272" s="3466" t="s">
        <v>3524</v>
      </c>
      <c r="E272" s="21">
        <f t="shared" si="43"/>
        <v>0.9</v>
      </c>
      <c r="F272" s="3471" t="s">
        <v>4397</v>
      </c>
      <c r="G272" s="21">
        <f t="shared" si="44"/>
        <v>1</v>
      </c>
      <c r="H272" s="666"/>
      <c r="I272" s="21">
        <f t="shared" si="45"/>
        <v>1</v>
      </c>
      <c r="J272" s="666"/>
      <c r="K272" s="21">
        <f t="shared" si="46"/>
        <v>1</v>
      </c>
      <c r="L272" s="666"/>
      <c r="M272" s="21">
        <f t="shared" si="47"/>
        <v>1</v>
      </c>
      <c r="N272" s="666"/>
      <c r="O272" s="21">
        <f t="shared" si="48"/>
        <v>1</v>
      </c>
      <c r="P272" s="666"/>
      <c r="Q272" s="21">
        <f t="shared" si="49"/>
        <v>1</v>
      </c>
      <c r="R272" s="662">
        <f t="shared" ca="1" si="50"/>
        <v>2149</v>
      </c>
      <c r="S272" s="665">
        <f t="shared" ca="1" si="41"/>
        <v>2.2543000000000002</v>
      </c>
    </row>
    <row r="273" spans="1:19">
      <c r="A273" s="150" t="s">
        <v>4193</v>
      </c>
      <c r="B273" s="3473">
        <v>10.49</v>
      </c>
      <c r="C273" s="21">
        <f t="shared" si="42"/>
        <v>1</v>
      </c>
      <c r="D273" s="3466" t="s">
        <v>3524</v>
      </c>
      <c r="E273" s="21">
        <f t="shared" si="43"/>
        <v>0.9</v>
      </c>
      <c r="F273" s="3471" t="s">
        <v>4397</v>
      </c>
      <c r="G273" s="21">
        <f t="shared" si="44"/>
        <v>1</v>
      </c>
      <c r="H273" s="666"/>
      <c r="I273" s="21">
        <f t="shared" si="45"/>
        <v>1</v>
      </c>
      <c r="J273" s="666"/>
      <c r="K273" s="21">
        <f t="shared" si="46"/>
        <v>1</v>
      </c>
      <c r="L273" s="666"/>
      <c r="M273" s="21">
        <f t="shared" si="47"/>
        <v>1</v>
      </c>
      <c r="N273" s="666"/>
      <c r="O273" s="21">
        <f t="shared" si="48"/>
        <v>1</v>
      </c>
      <c r="P273" s="666"/>
      <c r="Q273" s="21">
        <f t="shared" si="49"/>
        <v>1</v>
      </c>
      <c r="R273" s="662">
        <f t="shared" ca="1" si="50"/>
        <v>2149</v>
      </c>
      <c r="S273" s="665">
        <f t="shared" ca="1" si="41"/>
        <v>2.2543000000000002</v>
      </c>
    </row>
    <row r="274" spans="1:19">
      <c r="A274" s="150" t="s">
        <v>4196</v>
      </c>
      <c r="B274" s="3473">
        <v>10.49</v>
      </c>
      <c r="C274" s="21">
        <f t="shared" si="42"/>
        <v>1</v>
      </c>
      <c r="D274" s="3466" t="s">
        <v>3524</v>
      </c>
      <c r="E274" s="21">
        <f t="shared" si="43"/>
        <v>0.9</v>
      </c>
      <c r="F274" s="3471" t="s">
        <v>4397</v>
      </c>
      <c r="G274" s="21">
        <f t="shared" si="44"/>
        <v>1</v>
      </c>
      <c r="H274" s="666"/>
      <c r="I274" s="21">
        <f t="shared" si="45"/>
        <v>1</v>
      </c>
      <c r="J274" s="666"/>
      <c r="K274" s="21">
        <f t="shared" si="46"/>
        <v>1</v>
      </c>
      <c r="L274" s="666"/>
      <c r="M274" s="21">
        <f t="shared" si="47"/>
        <v>1</v>
      </c>
      <c r="N274" s="666"/>
      <c r="O274" s="21">
        <f t="shared" si="48"/>
        <v>1</v>
      </c>
      <c r="P274" s="666"/>
      <c r="Q274" s="21">
        <f t="shared" si="49"/>
        <v>1</v>
      </c>
      <c r="R274" s="662">
        <f t="shared" ca="1" si="50"/>
        <v>2149</v>
      </c>
      <c r="S274" s="665">
        <f t="shared" ca="1" si="41"/>
        <v>2.2543000000000002</v>
      </c>
    </row>
    <row r="275" spans="1:19">
      <c r="A275" s="150" t="s">
        <v>4199</v>
      </c>
      <c r="B275" s="3473">
        <v>10.49</v>
      </c>
      <c r="C275" s="21">
        <f t="shared" si="42"/>
        <v>1</v>
      </c>
      <c r="D275" s="3466" t="s">
        <v>3524</v>
      </c>
      <c r="E275" s="21">
        <f t="shared" si="43"/>
        <v>0.9</v>
      </c>
      <c r="F275" s="3471" t="s">
        <v>4397</v>
      </c>
      <c r="G275" s="21">
        <f t="shared" si="44"/>
        <v>1</v>
      </c>
      <c r="H275" s="666"/>
      <c r="I275" s="21">
        <f t="shared" si="45"/>
        <v>1</v>
      </c>
      <c r="J275" s="666"/>
      <c r="K275" s="21">
        <f t="shared" si="46"/>
        <v>1</v>
      </c>
      <c r="L275" s="666"/>
      <c r="M275" s="21">
        <f t="shared" si="47"/>
        <v>1</v>
      </c>
      <c r="N275" s="666"/>
      <c r="O275" s="21">
        <f t="shared" si="48"/>
        <v>1</v>
      </c>
      <c r="P275" s="666"/>
      <c r="Q275" s="21">
        <f t="shared" si="49"/>
        <v>1</v>
      </c>
      <c r="R275" s="662">
        <f t="shared" ca="1" si="50"/>
        <v>2149</v>
      </c>
      <c r="S275" s="665">
        <f t="shared" ca="1" si="41"/>
        <v>2.2543000000000002</v>
      </c>
    </row>
    <row r="276" spans="1:19">
      <c r="A276" s="150" t="s">
        <v>4202</v>
      </c>
      <c r="B276" s="3473">
        <v>7.71</v>
      </c>
      <c r="C276" s="21">
        <f t="shared" si="42"/>
        <v>1.01</v>
      </c>
      <c r="D276" s="3466" t="s">
        <v>3524</v>
      </c>
      <c r="E276" s="21">
        <f t="shared" si="43"/>
        <v>0.9</v>
      </c>
      <c r="F276" s="3471" t="s">
        <v>4397</v>
      </c>
      <c r="G276" s="21">
        <f t="shared" si="44"/>
        <v>1</v>
      </c>
      <c r="H276" s="666"/>
      <c r="I276" s="21">
        <f t="shared" si="45"/>
        <v>1</v>
      </c>
      <c r="J276" s="666"/>
      <c r="K276" s="21">
        <f t="shared" si="46"/>
        <v>1</v>
      </c>
      <c r="L276" s="666"/>
      <c r="M276" s="21">
        <f t="shared" si="47"/>
        <v>1</v>
      </c>
      <c r="N276" s="666"/>
      <c r="O276" s="21">
        <f t="shared" si="48"/>
        <v>1</v>
      </c>
      <c r="P276" s="666"/>
      <c r="Q276" s="21">
        <f t="shared" si="49"/>
        <v>1</v>
      </c>
      <c r="R276" s="662">
        <f t="shared" ca="1" si="50"/>
        <v>2171</v>
      </c>
      <c r="S276" s="665">
        <f t="shared" ca="1" si="41"/>
        <v>1.6738</v>
      </c>
    </row>
    <row r="277" spans="1:19">
      <c r="A277" s="150" t="s">
        <v>4205</v>
      </c>
      <c r="B277" s="3473">
        <v>7.6</v>
      </c>
      <c r="C277" s="21">
        <f t="shared" si="42"/>
        <v>1.01</v>
      </c>
      <c r="D277" s="3466" t="s">
        <v>3524</v>
      </c>
      <c r="E277" s="21">
        <f t="shared" si="43"/>
        <v>0.9</v>
      </c>
      <c r="F277" s="3471" t="s">
        <v>4397</v>
      </c>
      <c r="G277" s="21">
        <f t="shared" si="44"/>
        <v>1</v>
      </c>
      <c r="H277" s="666"/>
      <c r="I277" s="21">
        <f t="shared" si="45"/>
        <v>1</v>
      </c>
      <c r="J277" s="666"/>
      <c r="K277" s="21">
        <f t="shared" si="46"/>
        <v>1</v>
      </c>
      <c r="L277" s="666"/>
      <c r="M277" s="21">
        <f t="shared" si="47"/>
        <v>1</v>
      </c>
      <c r="N277" s="666"/>
      <c r="O277" s="21">
        <f t="shared" si="48"/>
        <v>1</v>
      </c>
      <c r="P277" s="666"/>
      <c r="Q277" s="21">
        <f t="shared" si="49"/>
        <v>1</v>
      </c>
      <c r="R277" s="662">
        <f t="shared" ca="1" si="50"/>
        <v>2171</v>
      </c>
      <c r="S277" s="665">
        <f t="shared" ca="1" si="41"/>
        <v>1.65</v>
      </c>
    </row>
    <row r="278" spans="1:19">
      <c r="A278" s="150" t="s">
        <v>4208</v>
      </c>
      <c r="B278" s="3473">
        <v>9.06</v>
      </c>
      <c r="C278" s="21">
        <f t="shared" si="42"/>
        <v>1.01</v>
      </c>
      <c r="D278" s="3466" t="s">
        <v>3524</v>
      </c>
      <c r="E278" s="21">
        <f t="shared" si="43"/>
        <v>0.9</v>
      </c>
      <c r="F278" s="3471" t="s">
        <v>4397</v>
      </c>
      <c r="G278" s="21">
        <f t="shared" si="44"/>
        <v>1</v>
      </c>
      <c r="H278" s="666"/>
      <c r="I278" s="21">
        <f t="shared" si="45"/>
        <v>1</v>
      </c>
      <c r="J278" s="666"/>
      <c r="K278" s="21">
        <f t="shared" si="46"/>
        <v>1</v>
      </c>
      <c r="L278" s="666"/>
      <c r="M278" s="21">
        <f t="shared" si="47"/>
        <v>1</v>
      </c>
      <c r="N278" s="666"/>
      <c r="O278" s="21">
        <f t="shared" si="48"/>
        <v>1</v>
      </c>
      <c r="P278" s="666"/>
      <c r="Q278" s="21">
        <f t="shared" si="49"/>
        <v>1</v>
      </c>
      <c r="R278" s="662">
        <f t="shared" ca="1" si="50"/>
        <v>2171</v>
      </c>
      <c r="S278" s="665">
        <f t="shared" ca="1" si="41"/>
        <v>1.9669000000000001</v>
      </c>
    </row>
    <row r="279" spans="1:19">
      <c r="A279" s="150" t="s">
        <v>4211</v>
      </c>
      <c r="B279" s="3473">
        <v>9.06</v>
      </c>
      <c r="C279" s="21">
        <f t="shared" si="42"/>
        <v>1.01</v>
      </c>
      <c r="D279" s="3466" t="s">
        <v>3524</v>
      </c>
      <c r="E279" s="21">
        <f t="shared" si="43"/>
        <v>0.9</v>
      </c>
      <c r="F279" s="3471" t="s">
        <v>4397</v>
      </c>
      <c r="G279" s="21">
        <f t="shared" si="44"/>
        <v>1</v>
      </c>
      <c r="H279" s="666"/>
      <c r="I279" s="21">
        <f t="shared" si="45"/>
        <v>1</v>
      </c>
      <c r="J279" s="666"/>
      <c r="K279" s="21">
        <f t="shared" si="46"/>
        <v>1</v>
      </c>
      <c r="L279" s="666"/>
      <c r="M279" s="21">
        <f t="shared" si="47"/>
        <v>1</v>
      </c>
      <c r="N279" s="666"/>
      <c r="O279" s="21">
        <f t="shared" si="48"/>
        <v>1</v>
      </c>
      <c r="P279" s="666"/>
      <c r="Q279" s="21">
        <f t="shared" si="49"/>
        <v>1</v>
      </c>
      <c r="R279" s="662">
        <f t="shared" ca="1" si="50"/>
        <v>2171</v>
      </c>
      <c r="S279" s="665">
        <f t="shared" ca="1" si="41"/>
        <v>1.9669000000000001</v>
      </c>
    </row>
    <row r="280" spans="1:19">
      <c r="A280" s="150" t="s">
        <v>4214</v>
      </c>
      <c r="B280" s="3473">
        <v>9.06</v>
      </c>
      <c r="C280" s="21">
        <f t="shared" si="42"/>
        <v>1.01</v>
      </c>
      <c r="D280" s="3466" t="s">
        <v>3524</v>
      </c>
      <c r="E280" s="21">
        <f t="shared" si="43"/>
        <v>0.9</v>
      </c>
      <c r="F280" s="3471" t="s">
        <v>4397</v>
      </c>
      <c r="G280" s="21">
        <f t="shared" si="44"/>
        <v>1</v>
      </c>
      <c r="H280" s="666"/>
      <c r="I280" s="21">
        <f t="shared" si="45"/>
        <v>1</v>
      </c>
      <c r="J280" s="666"/>
      <c r="K280" s="21">
        <f t="shared" si="46"/>
        <v>1</v>
      </c>
      <c r="L280" s="666"/>
      <c r="M280" s="21">
        <f t="shared" si="47"/>
        <v>1</v>
      </c>
      <c r="N280" s="666"/>
      <c r="O280" s="21">
        <f t="shared" si="48"/>
        <v>1</v>
      </c>
      <c r="P280" s="666"/>
      <c r="Q280" s="21">
        <f t="shared" si="49"/>
        <v>1</v>
      </c>
      <c r="R280" s="662">
        <f t="shared" ca="1" si="50"/>
        <v>2171</v>
      </c>
      <c r="S280" s="665">
        <f t="shared" ca="1" si="41"/>
        <v>1.9669000000000001</v>
      </c>
    </row>
    <row r="281" spans="1:19">
      <c r="A281" s="150" t="s">
        <v>4217</v>
      </c>
      <c r="B281" s="3473">
        <v>10.58</v>
      </c>
      <c r="C281" s="21">
        <f t="shared" si="42"/>
        <v>1</v>
      </c>
      <c r="D281" s="3466" t="s">
        <v>3524</v>
      </c>
      <c r="E281" s="21">
        <f t="shared" si="43"/>
        <v>0.9</v>
      </c>
      <c r="F281" s="3471" t="s">
        <v>4391</v>
      </c>
      <c r="G281" s="21">
        <f t="shared" si="44"/>
        <v>1.2</v>
      </c>
      <c r="H281" s="666"/>
      <c r="I281" s="21">
        <f t="shared" si="45"/>
        <v>1</v>
      </c>
      <c r="J281" s="666"/>
      <c r="K281" s="21">
        <f t="shared" si="46"/>
        <v>1</v>
      </c>
      <c r="L281" s="666"/>
      <c r="M281" s="21">
        <f t="shared" si="47"/>
        <v>1</v>
      </c>
      <c r="N281" s="666"/>
      <c r="O281" s="21">
        <f t="shared" si="48"/>
        <v>1</v>
      </c>
      <c r="P281" s="666"/>
      <c r="Q281" s="21">
        <f t="shared" si="49"/>
        <v>1</v>
      </c>
      <c r="R281" s="662">
        <f t="shared" ca="1" si="50"/>
        <v>2579</v>
      </c>
      <c r="S281" s="665">
        <f t="shared" ref="S281:S286" ca="1" si="51">ROUND(R281*B281/10000,4)</f>
        <v>2.7286000000000001</v>
      </c>
    </row>
    <row r="282" spans="1:19">
      <c r="A282" s="150" t="s">
        <v>4220</v>
      </c>
      <c r="B282" s="3473">
        <v>8.23</v>
      </c>
      <c r="C282" s="21">
        <f t="shared" ref="C282:C345" si="52">IF(B282="",1,(LOOKUP(B282,$3:$3,$4:$4)-LOOKUP($B$24,$3:$3,$4:$4)+100)/100)</f>
        <v>1.01</v>
      </c>
      <c r="D282" s="3466" t="s">
        <v>3524</v>
      </c>
      <c r="E282" s="21">
        <f t="shared" ref="E282:E345" si="53">(SUMIF($5:$5,D282,$6:$6)-SUMIF($5:$5,$D$24,$6:$6)+100)/100</f>
        <v>0.9</v>
      </c>
      <c r="F282" s="3471" t="s">
        <v>4397</v>
      </c>
      <c r="G282" s="21">
        <f t="shared" ref="G282:G345" si="54">(SUMIF($7:$7,F282,$8:$8)-SUMIF($7:$7,$F$24,$8:$8)+100)/100</f>
        <v>1</v>
      </c>
      <c r="H282" s="666"/>
      <c r="I282" s="21">
        <f t="shared" ref="I282:I345" si="55">(SUMIF($9:$9,H282,$10:$10)-SUMIF($9:$9,$H$24,$10:$10)+100)/100</f>
        <v>1</v>
      </c>
      <c r="J282" s="666"/>
      <c r="K282" s="21">
        <f t="shared" ref="K282:K345" si="56">(SUMIF($11:$11,J282,$12:$12)-SUMIF($11:$11,$J$24,$12:$12)+100)/100</f>
        <v>1</v>
      </c>
      <c r="L282" s="666"/>
      <c r="M282" s="21">
        <f t="shared" ref="M282:M345" si="57">(SUMIF($13:$13,L282,$14:$14)-SUMIF($13:$13,$L$24,$14:$14)+100)/100</f>
        <v>1</v>
      </c>
      <c r="N282" s="666"/>
      <c r="O282" s="21">
        <f t="shared" ref="O282:O345" si="58">(SUMIF($15:$15,N282,$16:$16)-SUMIF($15:$15,$N$24,$16:$16)+100)/100</f>
        <v>1</v>
      </c>
      <c r="P282" s="666"/>
      <c r="Q282" s="21">
        <f t="shared" ref="Q282:Q345" si="59">(SUMIF($17:$17,P282,$18:$18)-SUMIF($17:$17,$P$24,$18:$18)+100)/100</f>
        <v>1</v>
      </c>
      <c r="R282" s="662">
        <f t="shared" ref="R282:R345" ca="1" si="60">IF(B282="",0,ROUND($R$24*C282*E282*G282*I282*K282*M282*O282*Q282,0))</f>
        <v>2171</v>
      </c>
      <c r="S282" s="665">
        <f t="shared" ca="1" si="51"/>
        <v>1.7867</v>
      </c>
    </row>
    <row r="283" spans="1:19">
      <c r="A283" s="150" t="s">
        <v>4224</v>
      </c>
      <c r="B283" s="3473">
        <v>10.45</v>
      </c>
      <c r="C283" s="21">
        <f t="shared" si="52"/>
        <v>1</v>
      </c>
      <c r="D283" s="3466" t="s">
        <v>3442</v>
      </c>
      <c r="E283" s="21">
        <f t="shared" si="53"/>
        <v>1</v>
      </c>
      <c r="F283" s="3471" t="s">
        <v>4397</v>
      </c>
      <c r="G283" s="21">
        <f t="shared" si="54"/>
        <v>1</v>
      </c>
      <c r="H283" s="666"/>
      <c r="I283" s="21">
        <f t="shared" si="55"/>
        <v>1</v>
      </c>
      <c r="J283" s="666"/>
      <c r="K283" s="21">
        <f t="shared" si="56"/>
        <v>1</v>
      </c>
      <c r="L283" s="666"/>
      <c r="M283" s="21">
        <f t="shared" si="57"/>
        <v>1</v>
      </c>
      <c r="N283" s="666"/>
      <c r="O283" s="21">
        <f t="shared" si="58"/>
        <v>1</v>
      </c>
      <c r="P283" s="666"/>
      <c r="Q283" s="21">
        <f t="shared" si="59"/>
        <v>1</v>
      </c>
      <c r="R283" s="662">
        <f t="shared" ca="1" si="60"/>
        <v>2388</v>
      </c>
      <c r="S283" s="665">
        <f t="shared" ca="1" si="51"/>
        <v>2.4954999999999998</v>
      </c>
    </row>
    <row r="284" spans="1:19">
      <c r="A284" s="150" t="s">
        <v>4227</v>
      </c>
      <c r="B284" s="3473">
        <v>10.45</v>
      </c>
      <c r="C284" s="21">
        <f t="shared" si="52"/>
        <v>1</v>
      </c>
      <c r="D284" s="3466" t="s">
        <v>3442</v>
      </c>
      <c r="E284" s="21">
        <f t="shared" si="53"/>
        <v>1</v>
      </c>
      <c r="F284" s="3471" t="s">
        <v>4397</v>
      </c>
      <c r="G284" s="21">
        <f t="shared" si="54"/>
        <v>1</v>
      </c>
      <c r="H284" s="666"/>
      <c r="I284" s="21">
        <f t="shared" si="55"/>
        <v>1</v>
      </c>
      <c r="J284" s="666"/>
      <c r="K284" s="21">
        <f t="shared" si="56"/>
        <v>1</v>
      </c>
      <c r="L284" s="666"/>
      <c r="M284" s="21">
        <f t="shared" si="57"/>
        <v>1</v>
      </c>
      <c r="N284" s="666"/>
      <c r="O284" s="21">
        <f t="shared" si="58"/>
        <v>1</v>
      </c>
      <c r="P284" s="666"/>
      <c r="Q284" s="21">
        <f t="shared" si="59"/>
        <v>1</v>
      </c>
      <c r="R284" s="662">
        <f t="shared" ca="1" si="60"/>
        <v>2388</v>
      </c>
      <c r="S284" s="665">
        <f t="shared" ca="1" si="51"/>
        <v>2.4954999999999998</v>
      </c>
    </row>
    <row r="285" spans="1:19">
      <c r="A285" s="150" t="s">
        <v>4230</v>
      </c>
      <c r="B285" s="3473">
        <v>10.45</v>
      </c>
      <c r="C285" s="21">
        <f t="shared" si="52"/>
        <v>1</v>
      </c>
      <c r="D285" s="3466" t="s">
        <v>3442</v>
      </c>
      <c r="E285" s="21">
        <f t="shared" si="53"/>
        <v>1</v>
      </c>
      <c r="F285" s="3471" t="s">
        <v>4397</v>
      </c>
      <c r="G285" s="21">
        <f t="shared" si="54"/>
        <v>1</v>
      </c>
      <c r="H285" s="666"/>
      <c r="I285" s="21">
        <f t="shared" si="55"/>
        <v>1</v>
      </c>
      <c r="J285" s="666"/>
      <c r="K285" s="21">
        <f t="shared" si="56"/>
        <v>1</v>
      </c>
      <c r="L285" s="666"/>
      <c r="M285" s="21">
        <f t="shared" si="57"/>
        <v>1</v>
      </c>
      <c r="N285" s="666"/>
      <c r="O285" s="21">
        <f t="shared" si="58"/>
        <v>1</v>
      </c>
      <c r="P285" s="666"/>
      <c r="Q285" s="21">
        <f t="shared" si="59"/>
        <v>1</v>
      </c>
      <c r="R285" s="662">
        <f t="shared" ca="1" si="60"/>
        <v>2388</v>
      </c>
      <c r="S285" s="665">
        <f t="shared" ca="1" si="51"/>
        <v>2.4954999999999998</v>
      </c>
    </row>
    <row r="286" spans="1:19">
      <c r="A286" s="150" t="s">
        <v>4233</v>
      </c>
      <c r="B286" s="3473">
        <v>8.19</v>
      </c>
      <c r="C286" s="21">
        <f t="shared" si="52"/>
        <v>1.01</v>
      </c>
      <c r="D286" s="3466" t="s">
        <v>3442</v>
      </c>
      <c r="E286" s="21">
        <f t="shared" si="53"/>
        <v>1</v>
      </c>
      <c r="F286" s="3471" t="s">
        <v>4397</v>
      </c>
      <c r="G286" s="21">
        <f t="shared" si="54"/>
        <v>1</v>
      </c>
      <c r="H286" s="666"/>
      <c r="I286" s="21">
        <f t="shared" si="55"/>
        <v>1</v>
      </c>
      <c r="J286" s="666"/>
      <c r="K286" s="21">
        <f t="shared" si="56"/>
        <v>1</v>
      </c>
      <c r="L286" s="666"/>
      <c r="M286" s="21">
        <f t="shared" si="57"/>
        <v>1</v>
      </c>
      <c r="N286" s="666"/>
      <c r="O286" s="21">
        <f t="shared" si="58"/>
        <v>1</v>
      </c>
      <c r="P286" s="666"/>
      <c r="Q286" s="21">
        <f t="shared" si="59"/>
        <v>1</v>
      </c>
      <c r="R286" s="662">
        <f t="shared" ca="1" si="60"/>
        <v>2412</v>
      </c>
      <c r="S286" s="665">
        <f t="shared" ca="1" si="51"/>
        <v>1.9754</v>
      </c>
    </row>
    <row r="287" spans="1:19">
      <c r="A287" s="150"/>
      <c r="B287" s="54"/>
      <c r="C287" s="21">
        <f t="shared" si="52"/>
        <v>1</v>
      </c>
      <c r="D287" s="666"/>
      <c r="E287" s="21">
        <f t="shared" si="53"/>
        <v>0</v>
      </c>
      <c r="F287" s="666"/>
      <c r="G287" s="21">
        <f t="shared" si="54"/>
        <v>0.2</v>
      </c>
      <c r="H287" s="666"/>
      <c r="I287" s="21">
        <f t="shared" si="55"/>
        <v>1</v>
      </c>
      <c r="J287" s="666"/>
      <c r="K287" s="21">
        <f t="shared" si="56"/>
        <v>1</v>
      </c>
      <c r="L287" s="666"/>
      <c r="M287" s="21">
        <f t="shared" si="57"/>
        <v>1</v>
      </c>
      <c r="N287" s="666"/>
      <c r="O287" s="21">
        <f t="shared" si="58"/>
        <v>1</v>
      </c>
      <c r="P287" s="666"/>
      <c r="Q287" s="21">
        <f t="shared" si="59"/>
        <v>1</v>
      </c>
      <c r="R287" s="662">
        <f t="shared" si="60"/>
        <v>0</v>
      </c>
      <c r="S287" s="315">
        <f t="shared" ref="S287:S320" si="61">ROUND(R287*B287/10000,0)</f>
        <v>0</v>
      </c>
    </row>
    <row r="288" spans="1:19">
      <c r="A288" s="150"/>
      <c r="B288" s="54"/>
      <c r="C288" s="21">
        <f t="shared" si="52"/>
        <v>1</v>
      </c>
      <c r="D288" s="666"/>
      <c r="E288" s="21">
        <f t="shared" si="53"/>
        <v>0</v>
      </c>
      <c r="F288" s="666"/>
      <c r="G288" s="21">
        <f t="shared" si="54"/>
        <v>0.2</v>
      </c>
      <c r="H288" s="666"/>
      <c r="I288" s="21">
        <f t="shared" si="55"/>
        <v>1</v>
      </c>
      <c r="J288" s="666"/>
      <c r="K288" s="21">
        <f t="shared" si="56"/>
        <v>1</v>
      </c>
      <c r="L288" s="666"/>
      <c r="M288" s="21">
        <f t="shared" si="57"/>
        <v>1</v>
      </c>
      <c r="N288" s="666"/>
      <c r="O288" s="21">
        <f t="shared" si="58"/>
        <v>1</v>
      </c>
      <c r="P288" s="666"/>
      <c r="Q288" s="21">
        <f t="shared" si="59"/>
        <v>1</v>
      </c>
      <c r="R288" s="662">
        <f t="shared" si="60"/>
        <v>0</v>
      </c>
      <c r="S288" s="315">
        <f t="shared" si="61"/>
        <v>0</v>
      </c>
    </row>
    <row r="289" spans="1:19">
      <c r="A289" s="150"/>
      <c r="B289" s="54"/>
      <c r="C289" s="21">
        <f t="shared" si="52"/>
        <v>1</v>
      </c>
      <c r="D289" s="666"/>
      <c r="E289" s="21">
        <f t="shared" si="53"/>
        <v>0</v>
      </c>
      <c r="F289" s="666"/>
      <c r="G289" s="21">
        <f t="shared" si="54"/>
        <v>0.2</v>
      </c>
      <c r="H289" s="666"/>
      <c r="I289" s="21">
        <f t="shared" si="55"/>
        <v>1</v>
      </c>
      <c r="J289" s="666"/>
      <c r="K289" s="21">
        <f t="shared" si="56"/>
        <v>1</v>
      </c>
      <c r="L289" s="666"/>
      <c r="M289" s="21">
        <f t="shared" si="57"/>
        <v>1</v>
      </c>
      <c r="N289" s="666"/>
      <c r="O289" s="21">
        <f t="shared" si="58"/>
        <v>1</v>
      </c>
      <c r="P289" s="666"/>
      <c r="Q289" s="21">
        <f t="shared" si="59"/>
        <v>1</v>
      </c>
      <c r="R289" s="662">
        <f t="shared" si="60"/>
        <v>0</v>
      </c>
      <c r="S289" s="315">
        <f t="shared" si="61"/>
        <v>0</v>
      </c>
    </row>
    <row r="290" spans="1:19">
      <c r="A290" s="150"/>
      <c r="B290" s="54"/>
      <c r="C290" s="21">
        <f t="shared" si="52"/>
        <v>1</v>
      </c>
      <c r="D290" s="666"/>
      <c r="E290" s="21">
        <f t="shared" si="53"/>
        <v>0</v>
      </c>
      <c r="F290" s="666"/>
      <c r="G290" s="21">
        <f t="shared" si="54"/>
        <v>0.2</v>
      </c>
      <c r="H290" s="666"/>
      <c r="I290" s="21">
        <f t="shared" si="55"/>
        <v>1</v>
      </c>
      <c r="J290" s="666"/>
      <c r="K290" s="21">
        <f t="shared" si="56"/>
        <v>1</v>
      </c>
      <c r="L290" s="666"/>
      <c r="M290" s="21">
        <f t="shared" si="57"/>
        <v>1</v>
      </c>
      <c r="N290" s="666"/>
      <c r="O290" s="21">
        <f t="shared" si="58"/>
        <v>1</v>
      </c>
      <c r="P290" s="666"/>
      <c r="Q290" s="21">
        <f t="shared" si="59"/>
        <v>1</v>
      </c>
      <c r="R290" s="662">
        <f t="shared" si="60"/>
        <v>0</v>
      </c>
      <c r="S290" s="315">
        <f t="shared" si="61"/>
        <v>0</v>
      </c>
    </row>
    <row r="291" spans="1:19">
      <c r="A291" s="150"/>
      <c r="B291" s="54"/>
      <c r="C291" s="21">
        <f t="shared" si="52"/>
        <v>1</v>
      </c>
      <c r="D291" s="666"/>
      <c r="E291" s="21">
        <f t="shared" si="53"/>
        <v>0</v>
      </c>
      <c r="F291" s="666"/>
      <c r="G291" s="21">
        <f t="shared" si="54"/>
        <v>0.2</v>
      </c>
      <c r="H291" s="666"/>
      <c r="I291" s="21">
        <f t="shared" si="55"/>
        <v>1</v>
      </c>
      <c r="J291" s="666"/>
      <c r="K291" s="21">
        <f t="shared" si="56"/>
        <v>1</v>
      </c>
      <c r="L291" s="666"/>
      <c r="M291" s="21">
        <f t="shared" si="57"/>
        <v>1</v>
      </c>
      <c r="N291" s="666"/>
      <c r="O291" s="21">
        <f t="shared" si="58"/>
        <v>1</v>
      </c>
      <c r="P291" s="666"/>
      <c r="Q291" s="21">
        <f t="shared" si="59"/>
        <v>1</v>
      </c>
      <c r="R291" s="662">
        <f t="shared" si="60"/>
        <v>0</v>
      </c>
      <c r="S291" s="315">
        <f t="shared" si="61"/>
        <v>0</v>
      </c>
    </row>
    <row r="292" spans="1:19">
      <c r="A292" s="150"/>
      <c r="B292" s="54"/>
      <c r="C292" s="21">
        <f t="shared" si="52"/>
        <v>1</v>
      </c>
      <c r="D292" s="666"/>
      <c r="E292" s="21">
        <f t="shared" si="53"/>
        <v>0</v>
      </c>
      <c r="F292" s="666"/>
      <c r="G292" s="21">
        <f t="shared" si="54"/>
        <v>0.2</v>
      </c>
      <c r="H292" s="666"/>
      <c r="I292" s="21">
        <f t="shared" si="55"/>
        <v>1</v>
      </c>
      <c r="J292" s="666"/>
      <c r="K292" s="21">
        <f t="shared" si="56"/>
        <v>1</v>
      </c>
      <c r="L292" s="666"/>
      <c r="M292" s="21">
        <f t="shared" si="57"/>
        <v>1</v>
      </c>
      <c r="N292" s="666"/>
      <c r="O292" s="21">
        <f t="shared" si="58"/>
        <v>1</v>
      </c>
      <c r="P292" s="666"/>
      <c r="Q292" s="21">
        <f t="shared" si="59"/>
        <v>1</v>
      </c>
      <c r="R292" s="662">
        <f t="shared" si="60"/>
        <v>0</v>
      </c>
      <c r="S292" s="315">
        <f t="shared" si="61"/>
        <v>0</v>
      </c>
    </row>
    <row r="293" spans="1:19">
      <c r="A293" s="150"/>
      <c r="B293" s="54"/>
      <c r="C293" s="21">
        <f t="shared" si="52"/>
        <v>1</v>
      </c>
      <c r="D293" s="666"/>
      <c r="E293" s="21">
        <f t="shared" si="53"/>
        <v>0</v>
      </c>
      <c r="F293" s="666"/>
      <c r="G293" s="21">
        <f t="shared" si="54"/>
        <v>0.2</v>
      </c>
      <c r="H293" s="666"/>
      <c r="I293" s="21">
        <f t="shared" si="55"/>
        <v>1</v>
      </c>
      <c r="J293" s="666"/>
      <c r="K293" s="21">
        <f t="shared" si="56"/>
        <v>1</v>
      </c>
      <c r="L293" s="666"/>
      <c r="M293" s="21">
        <f t="shared" si="57"/>
        <v>1</v>
      </c>
      <c r="N293" s="666"/>
      <c r="O293" s="21">
        <f t="shared" si="58"/>
        <v>1</v>
      </c>
      <c r="P293" s="666"/>
      <c r="Q293" s="21">
        <f t="shared" si="59"/>
        <v>1</v>
      </c>
      <c r="R293" s="662">
        <f t="shared" si="60"/>
        <v>0</v>
      </c>
      <c r="S293" s="315">
        <f t="shared" si="61"/>
        <v>0</v>
      </c>
    </row>
    <row r="294" spans="1:19">
      <c r="A294" s="150"/>
      <c r="B294" s="54"/>
      <c r="C294" s="21">
        <f t="shared" si="52"/>
        <v>1</v>
      </c>
      <c r="D294" s="666"/>
      <c r="E294" s="21">
        <f t="shared" si="53"/>
        <v>0</v>
      </c>
      <c r="F294" s="666"/>
      <c r="G294" s="21">
        <f t="shared" si="54"/>
        <v>0.2</v>
      </c>
      <c r="H294" s="666"/>
      <c r="I294" s="21">
        <f t="shared" si="55"/>
        <v>1</v>
      </c>
      <c r="J294" s="666"/>
      <c r="K294" s="21">
        <f t="shared" si="56"/>
        <v>1</v>
      </c>
      <c r="L294" s="666"/>
      <c r="M294" s="21">
        <f t="shared" si="57"/>
        <v>1</v>
      </c>
      <c r="N294" s="666"/>
      <c r="O294" s="21">
        <f t="shared" si="58"/>
        <v>1</v>
      </c>
      <c r="P294" s="666"/>
      <c r="Q294" s="21">
        <f t="shared" si="59"/>
        <v>1</v>
      </c>
      <c r="R294" s="662">
        <f t="shared" si="60"/>
        <v>0</v>
      </c>
      <c r="S294" s="315">
        <f t="shared" si="61"/>
        <v>0</v>
      </c>
    </row>
    <row r="295" spans="1:19">
      <c r="A295" s="150"/>
      <c r="B295" s="54"/>
      <c r="C295" s="21">
        <f t="shared" si="52"/>
        <v>1</v>
      </c>
      <c r="D295" s="666"/>
      <c r="E295" s="21">
        <f t="shared" si="53"/>
        <v>0</v>
      </c>
      <c r="F295" s="666"/>
      <c r="G295" s="21">
        <f t="shared" si="54"/>
        <v>0.2</v>
      </c>
      <c r="H295" s="666"/>
      <c r="I295" s="21">
        <f t="shared" si="55"/>
        <v>1</v>
      </c>
      <c r="J295" s="666"/>
      <c r="K295" s="21">
        <f t="shared" si="56"/>
        <v>1</v>
      </c>
      <c r="L295" s="666"/>
      <c r="M295" s="21">
        <f t="shared" si="57"/>
        <v>1</v>
      </c>
      <c r="N295" s="666"/>
      <c r="O295" s="21">
        <f t="shared" si="58"/>
        <v>1</v>
      </c>
      <c r="P295" s="666"/>
      <c r="Q295" s="21">
        <f t="shared" si="59"/>
        <v>1</v>
      </c>
      <c r="R295" s="662">
        <f t="shared" si="60"/>
        <v>0</v>
      </c>
      <c r="S295" s="315">
        <f t="shared" si="61"/>
        <v>0</v>
      </c>
    </row>
    <row r="296" spans="1:19">
      <c r="A296" s="150"/>
      <c r="B296" s="54"/>
      <c r="C296" s="21">
        <f t="shared" si="52"/>
        <v>1</v>
      </c>
      <c r="D296" s="666"/>
      <c r="E296" s="21">
        <f t="shared" si="53"/>
        <v>0</v>
      </c>
      <c r="F296" s="666"/>
      <c r="G296" s="21">
        <f t="shared" si="54"/>
        <v>0.2</v>
      </c>
      <c r="H296" s="666"/>
      <c r="I296" s="21">
        <f t="shared" si="55"/>
        <v>1</v>
      </c>
      <c r="J296" s="666"/>
      <c r="K296" s="21">
        <f t="shared" si="56"/>
        <v>1</v>
      </c>
      <c r="L296" s="666"/>
      <c r="M296" s="21">
        <f t="shared" si="57"/>
        <v>1</v>
      </c>
      <c r="N296" s="666"/>
      <c r="O296" s="21">
        <f t="shared" si="58"/>
        <v>1</v>
      </c>
      <c r="P296" s="666"/>
      <c r="Q296" s="21">
        <f t="shared" si="59"/>
        <v>1</v>
      </c>
      <c r="R296" s="662">
        <f t="shared" si="60"/>
        <v>0</v>
      </c>
      <c r="S296" s="315">
        <f t="shared" si="61"/>
        <v>0</v>
      </c>
    </row>
    <row r="297" spans="1:19">
      <c r="A297" s="150"/>
      <c r="B297" s="54"/>
      <c r="C297" s="21">
        <f t="shared" si="52"/>
        <v>1</v>
      </c>
      <c r="D297" s="666"/>
      <c r="E297" s="21">
        <f t="shared" si="53"/>
        <v>0</v>
      </c>
      <c r="F297" s="666"/>
      <c r="G297" s="21">
        <f t="shared" si="54"/>
        <v>0.2</v>
      </c>
      <c r="H297" s="666"/>
      <c r="I297" s="21">
        <f t="shared" si="55"/>
        <v>1</v>
      </c>
      <c r="J297" s="666"/>
      <c r="K297" s="21">
        <f t="shared" si="56"/>
        <v>1</v>
      </c>
      <c r="L297" s="666"/>
      <c r="M297" s="21">
        <f t="shared" si="57"/>
        <v>1</v>
      </c>
      <c r="N297" s="666"/>
      <c r="O297" s="21">
        <f t="shared" si="58"/>
        <v>1</v>
      </c>
      <c r="P297" s="666"/>
      <c r="Q297" s="21">
        <f t="shared" si="59"/>
        <v>1</v>
      </c>
      <c r="R297" s="662">
        <f t="shared" si="60"/>
        <v>0</v>
      </c>
      <c r="S297" s="315">
        <f t="shared" si="61"/>
        <v>0</v>
      </c>
    </row>
    <row r="298" spans="1:19">
      <c r="A298" s="150"/>
      <c r="B298" s="54"/>
      <c r="C298" s="21">
        <f t="shared" si="52"/>
        <v>1</v>
      </c>
      <c r="D298" s="666"/>
      <c r="E298" s="21">
        <f t="shared" si="53"/>
        <v>0</v>
      </c>
      <c r="F298" s="666"/>
      <c r="G298" s="21">
        <f t="shared" si="54"/>
        <v>0.2</v>
      </c>
      <c r="H298" s="666"/>
      <c r="I298" s="21">
        <f t="shared" si="55"/>
        <v>1</v>
      </c>
      <c r="J298" s="666"/>
      <c r="K298" s="21">
        <f t="shared" si="56"/>
        <v>1</v>
      </c>
      <c r="L298" s="666"/>
      <c r="M298" s="21">
        <f t="shared" si="57"/>
        <v>1</v>
      </c>
      <c r="N298" s="666"/>
      <c r="O298" s="21">
        <f t="shared" si="58"/>
        <v>1</v>
      </c>
      <c r="P298" s="666"/>
      <c r="Q298" s="21">
        <f t="shared" si="59"/>
        <v>1</v>
      </c>
      <c r="R298" s="662">
        <f t="shared" si="60"/>
        <v>0</v>
      </c>
      <c r="S298" s="315">
        <f t="shared" si="61"/>
        <v>0</v>
      </c>
    </row>
    <row r="299" spans="1:19">
      <c r="A299" s="150"/>
      <c r="B299" s="54"/>
      <c r="C299" s="21">
        <f t="shared" si="52"/>
        <v>1</v>
      </c>
      <c r="D299" s="666"/>
      <c r="E299" s="21">
        <f t="shared" si="53"/>
        <v>0</v>
      </c>
      <c r="F299" s="666"/>
      <c r="G299" s="21">
        <f t="shared" si="54"/>
        <v>0.2</v>
      </c>
      <c r="H299" s="666"/>
      <c r="I299" s="21">
        <f t="shared" si="55"/>
        <v>1</v>
      </c>
      <c r="J299" s="666"/>
      <c r="K299" s="21">
        <f t="shared" si="56"/>
        <v>1</v>
      </c>
      <c r="L299" s="666"/>
      <c r="M299" s="21">
        <f t="shared" si="57"/>
        <v>1</v>
      </c>
      <c r="N299" s="666"/>
      <c r="O299" s="21">
        <f t="shared" si="58"/>
        <v>1</v>
      </c>
      <c r="P299" s="666"/>
      <c r="Q299" s="21">
        <f t="shared" si="59"/>
        <v>1</v>
      </c>
      <c r="R299" s="662">
        <f t="shared" si="60"/>
        <v>0</v>
      </c>
      <c r="S299" s="315">
        <f t="shared" si="61"/>
        <v>0</v>
      </c>
    </row>
    <row r="300" spans="1:19">
      <c r="A300" s="150"/>
      <c r="B300" s="54"/>
      <c r="C300" s="21">
        <f t="shared" si="52"/>
        <v>1</v>
      </c>
      <c r="D300" s="666"/>
      <c r="E300" s="21">
        <f t="shared" si="53"/>
        <v>0</v>
      </c>
      <c r="F300" s="666"/>
      <c r="G300" s="21">
        <f t="shared" si="54"/>
        <v>0.2</v>
      </c>
      <c r="H300" s="666"/>
      <c r="I300" s="21">
        <f t="shared" si="55"/>
        <v>1</v>
      </c>
      <c r="J300" s="666"/>
      <c r="K300" s="21">
        <f t="shared" si="56"/>
        <v>1</v>
      </c>
      <c r="L300" s="666"/>
      <c r="M300" s="21">
        <f t="shared" si="57"/>
        <v>1</v>
      </c>
      <c r="N300" s="666"/>
      <c r="O300" s="21">
        <f t="shared" si="58"/>
        <v>1</v>
      </c>
      <c r="P300" s="666"/>
      <c r="Q300" s="21">
        <f t="shared" si="59"/>
        <v>1</v>
      </c>
      <c r="R300" s="662">
        <f t="shared" si="60"/>
        <v>0</v>
      </c>
      <c r="S300" s="315">
        <f t="shared" si="61"/>
        <v>0</v>
      </c>
    </row>
    <row r="301" spans="1:19">
      <c r="A301" s="150"/>
      <c r="B301" s="54"/>
      <c r="C301" s="21">
        <f t="shared" si="52"/>
        <v>1</v>
      </c>
      <c r="D301" s="666"/>
      <c r="E301" s="21">
        <f t="shared" si="53"/>
        <v>0</v>
      </c>
      <c r="F301" s="666"/>
      <c r="G301" s="21">
        <f t="shared" si="54"/>
        <v>0.2</v>
      </c>
      <c r="H301" s="666"/>
      <c r="I301" s="21">
        <f t="shared" si="55"/>
        <v>1</v>
      </c>
      <c r="J301" s="666"/>
      <c r="K301" s="21">
        <f t="shared" si="56"/>
        <v>1</v>
      </c>
      <c r="L301" s="666"/>
      <c r="M301" s="21">
        <f t="shared" si="57"/>
        <v>1</v>
      </c>
      <c r="N301" s="666"/>
      <c r="O301" s="21">
        <f t="shared" si="58"/>
        <v>1</v>
      </c>
      <c r="P301" s="666"/>
      <c r="Q301" s="21">
        <f t="shared" si="59"/>
        <v>1</v>
      </c>
      <c r="R301" s="662">
        <f t="shared" si="60"/>
        <v>0</v>
      </c>
      <c r="S301" s="315">
        <f t="shared" si="61"/>
        <v>0</v>
      </c>
    </row>
    <row r="302" spans="1:19">
      <c r="A302" s="150"/>
      <c r="B302" s="54"/>
      <c r="C302" s="21">
        <f t="shared" si="52"/>
        <v>1</v>
      </c>
      <c r="D302" s="666"/>
      <c r="E302" s="21">
        <f t="shared" si="53"/>
        <v>0</v>
      </c>
      <c r="F302" s="666"/>
      <c r="G302" s="21">
        <f t="shared" si="54"/>
        <v>0.2</v>
      </c>
      <c r="H302" s="666"/>
      <c r="I302" s="21">
        <f t="shared" si="55"/>
        <v>1</v>
      </c>
      <c r="J302" s="666"/>
      <c r="K302" s="21">
        <f t="shared" si="56"/>
        <v>1</v>
      </c>
      <c r="L302" s="666"/>
      <c r="M302" s="21">
        <f t="shared" si="57"/>
        <v>1</v>
      </c>
      <c r="N302" s="666"/>
      <c r="O302" s="21">
        <f t="shared" si="58"/>
        <v>1</v>
      </c>
      <c r="P302" s="666"/>
      <c r="Q302" s="21">
        <f t="shared" si="59"/>
        <v>1</v>
      </c>
      <c r="R302" s="662">
        <f t="shared" si="60"/>
        <v>0</v>
      </c>
      <c r="S302" s="315">
        <f t="shared" si="61"/>
        <v>0</v>
      </c>
    </row>
    <row r="303" spans="1:19">
      <c r="A303" s="150"/>
      <c r="B303" s="54"/>
      <c r="C303" s="21">
        <f t="shared" si="52"/>
        <v>1</v>
      </c>
      <c r="D303" s="666"/>
      <c r="E303" s="21">
        <f t="shared" si="53"/>
        <v>0</v>
      </c>
      <c r="F303" s="666"/>
      <c r="G303" s="21">
        <f t="shared" si="54"/>
        <v>0.2</v>
      </c>
      <c r="H303" s="666"/>
      <c r="I303" s="21">
        <f t="shared" si="55"/>
        <v>1</v>
      </c>
      <c r="J303" s="666"/>
      <c r="K303" s="21">
        <f t="shared" si="56"/>
        <v>1</v>
      </c>
      <c r="L303" s="666"/>
      <c r="M303" s="21">
        <f t="shared" si="57"/>
        <v>1</v>
      </c>
      <c r="N303" s="666"/>
      <c r="O303" s="21">
        <f t="shared" si="58"/>
        <v>1</v>
      </c>
      <c r="P303" s="666"/>
      <c r="Q303" s="21">
        <f t="shared" si="59"/>
        <v>1</v>
      </c>
      <c r="R303" s="662">
        <f t="shared" si="60"/>
        <v>0</v>
      </c>
      <c r="S303" s="315">
        <f t="shared" si="61"/>
        <v>0</v>
      </c>
    </row>
    <row r="304" spans="1:19">
      <c r="A304" s="150"/>
      <c r="B304" s="54"/>
      <c r="C304" s="21">
        <f t="shared" si="52"/>
        <v>1</v>
      </c>
      <c r="D304" s="666"/>
      <c r="E304" s="21">
        <f t="shared" si="53"/>
        <v>0</v>
      </c>
      <c r="F304" s="666"/>
      <c r="G304" s="21">
        <f t="shared" si="54"/>
        <v>0.2</v>
      </c>
      <c r="H304" s="666"/>
      <c r="I304" s="21">
        <f t="shared" si="55"/>
        <v>1</v>
      </c>
      <c r="J304" s="666"/>
      <c r="K304" s="21">
        <f t="shared" si="56"/>
        <v>1</v>
      </c>
      <c r="L304" s="666"/>
      <c r="M304" s="21">
        <f t="shared" si="57"/>
        <v>1</v>
      </c>
      <c r="N304" s="666"/>
      <c r="O304" s="21">
        <f t="shared" si="58"/>
        <v>1</v>
      </c>
      <c r="P304" s="666"/>
      <c r="Q304" s="21">
        <f t="shared" si="59"/>
        <v>1</v>
      </c>
      <c r="R304" s="662">
        <f t="shared" si="60"/>
        <v>0</v>
      </c>
      <c r="S304" s="315">
        <f t="shared" si="61"/>
        <v>0</v>
      </c>
    </row>
    <row r="305" spans="1:19">
      <c r="A305" s="150"/>
      <c r="B305" s="54"/>
      <c r="C305" s="21">
        <f t="shared" si="52"/>
        <v>1</v>
      </c>
      <c r="D305" s="666"/>
      <c r="E305" s="21">
        <f t="shared" si="53"/>
        <v>0</v>
      </c>
      <c r="F305" s="666"/>
      <c r="G305" s="21">
        <f t="shared" si="54"/>
        <v>0.2</v>
      </c>
      <c r="H305" s="666"/>
      <c r="I305" s="21">
        <f t="shared" si="55"/>
        <v>1</v>
      </c>
      <c r="J305" s="666"/>
      <c r="K305" s="21">
        <f t="shared" si="56"/>
        <v>1</v>
      </c>
      <c r="L305" s="666"/>
      <c r="M305" s="21">
        <f t="shared" si="57"/>
        <v>1</v>
      </c>
      <c r="N305" s="666"/>
      <c r="O305" s="21">
        <f t="shared" si="58"/>
        <v>1</v>
      </c>
      <c r="P305" s="666"/>
      <c r="Q305" s="21">
        <f t="shared" si="59"/>
        <v>1</v>
      </c>
      <c r="R305" s="662">
        <f t="shared" si="60"/>
        <v>0</v>
      </c>
      <c r="S305" s="315">
        <f t="shared" si="61"/>
        <v>0</v>
      </c>
    </row>
    <row r="306" spans="1:19">
      <c r="A306" s="150"/>
      <c r="B306" s="54"/>
      <c r="C306" s="21">
        <f t="shared" si="52"/>
        <v>1</v>
      </c>
      <c r="D306" s="666"/>
      <c r="E306" s="21">
        <f t="shared" si="53"/>
        <v>0</v>
      </c>
      <c r="F306" s="666"/>
      <c r="G306" s="21">
        <f t="shared" si="54"/>
        <v>0.2</v>
      </c>
      <c r="H306" s="666"/>
      <c r="I306" s="21">
        <f t="shared" si="55"/>
        <v>1</v>
      </c>
      <c r="J306" s="666"/>
      <c r="K306" s="21">
        <f t="shared" si="56"/>
        <v>1</v>
      </c>
      <c r="L306" s="666"/>
      <c r="M306" s="21">
        <f t="shared" si="57"/>
        <v>1</v>
      </c>
      <c r="N306" s="666"/>
      <c r="O306" s="21">
        <f t="shared" si="58"/>
        <v>1</v>
      </c>
      <c r="P306" s="666"/>
      <c r="Q306" s="21">
        <f t="shared" si="59"/>
        <v>1</v>
      </c>
      <c r="R306" s="662">
        <f t="shared" si="60"/>
        <v>0</v>
      </c>
      <c r="S306" s="315">
        <f t="shared" si="61"/>
        <v>0</v>
      </c>
    </row>
    <row r="307" spans="1:19">
      <c r="A307" s="150"/>
      <c r="B307" s="54"/>
      <c r="C307" s="21">
        <f t="shared" si="52"/>
        <v>1</v>
      </c>
      <c r="D307" s="666"/>
      <c r="E307" s="21">
        <f t="shared" si="53"/>
        <v>0</v>
      </c>
      <c r="F307" s="666"/>
      <c r="G307" s="21">
        <f t="shared" si="54"/>
        <v>0.2</v>
      </c>
      <c r="H307" s="666"/>
      <c r="I307" s="21">
        <f t="shared" si="55"/>
        <v>1</v>
      </c>
      <c r="J307" s="666"/>
      <c r="K307" s="21">
        <f t="shared" si="56"/>
        <v>1</v>
      </c>
      <c r="L307" s="666"/>
      <c r="M307" s="21">
        <f t="shared" si="57"/>
        <v>1</v>
      </c>
      <c r="N307" s="666"/>
      <c r="O307" s="21">
        <f t="shared" si="58"/>
        <v>1</v>
      </c>
      <c r="P307" s="666"/>
      <c r="Q307" s="21">
        <f t="shared" si="59"/>
        <v>1</v>
      </c>
      <c r="R307" s="662">
        <f t="shared" si="60"/>
        <v>0</v>
      </c>
      <c r="S307" s="315">
        <f t="shared" si="61"/>
        <v>0</v>
      </c>
    </row>
    <row r="308" spans="1:19">
      <c r="A308" s="150"/>
      <c r="B308" s="54"/>
      <c r="C308" s="21">
        <f t="shared" si="52"/>
        <v>1</v>
      </c>
      <c r="D308" s="666"/>
      <c r="E308" s="21">
        <f t="shared" si="53"/>
        <v>0</v>
      </c>
      <c r="F308" s="666"/>
      <c r="G308" s="21">
        <f t="shared" si="54"/>
        <v>0.2</v>
      </c>
      <c r="H308" s="666"/>
      <c r="I308" s="21">
        <f t="shared" si="55"/>
        <v>1</v>
      </c>
      <c r="J308" s="666"/>
      <c r="K308" s="21">
        <f t="shared" si="56"/>
        <v>1</v>
      </c>
      <c r="L308" s="666"/>
      <c r="M308" s="21">
        <f t="shared" si="57"/>
        <v>1</v>
      </c>
      <c r="N308" s="666"/>
      <c r="O308" s="21">
        <f t="shared" si="58"/>
        <v>1</v>
      </c>
      <c r="P308" s="666"/>
      <c r="Q308" s="21">
        <f t="shared" si="59"/>
        <v>1</v>
      </c>
      <c r="R308" s="662">
        <f t="shared" si="60"/>
        <v>0</v>
      </c>
      <c r="S308" s="315">
        <f t="shared" si="61"/>
        <v>0</v>
      </c>
    </row>
    <row r="309" spans="1:19">
      <c r="A309" s="150"/>
      <c r="B309" s="54"/>
      <c r="C309" s="21">
        <f t="shared" si="52"/>
        <v>1</v>
      </c>
      <c r="D309" s="666"/>
      <c r="E309" s="21">
        <f t="shared" si="53"/>
        <v>0</v>
      </c>
      <c r="F309" s="666"/>
      <c r="G309" s="21">
        <f t="shared" si="54"/>
        <v>0.2</v>
      </c>
      <c r="H309" s="666"/>
      <c r="I309" s="21">
        <f t="shared" si="55"/>
        <v>1</v>
      </c>
      <c r="J309" s="666"/>
      <c r="K309" s="21">
        <f t="shared" si="56"/>
        <v>1</v>
      </c>
      <c r="L309" s="666"/>
      <c r="M309" s="21">
        <f t="shared" si="57"/>
        <v>1</v>
      </c>
      <c r="N309" s="666"/>
      <c r="O309" s="21">
        <f t="shared" si="58"/>
        <v>1</v>
      </c>
      <c r="P309" s="666"/>
      <c r="Q309" s="21">
        <f t="shared" si="59"/>
        <v>1</v>
      </c>
      <c r="R309" s="662">
        <f t="shared" si="60"/>
        <v>0</v>
      </c>
      <c r="S309" s="315">
        <f t="shared" si="61"/>
        <v>0</v>
      </c>
    </row>
    <row r="310" spans="1:19">
      <c r="A310" s="150"/>
      <c r="B310" s="54"/>
      <c r="C310" s="21">
        <f t="shared" si="52"/>
        <v>1</v>
      </c>
      <c r="D310" s="666"/>
      <c r="E310" s="21">
        <f t="shared" si="53"/>
        <v>0</v>
      </c>
      <c r="F310" s="666"/>
      <c r="G310" s="21">
        <f t="shared" si="54"/>
        <v>0.2</v>
      </c>
      <c r="H310" s="666"/>
      <c r="I310" s="21">
        <f t="shared" si="55"/>
        <v>1</v>
      </c>
      <c r="J310" s="666"/>
      <c r="K310" s="21">
        <f t="shared" si="56"/>
        <v>1</v>
      </c>
      <c r="L310" s="666"/>
      <c r="M310" s="21">
        <f t="shared" si="57"/>
        <v>1</v>
      </c>
      <c r="N310" s="666"/>
      <c r="O310" s="21">
        <f t="shared" si="58"/>
        <v>1</v>
      </c>
      <c r="P310" s="666"/>
      <c r="Q310" s="21">
        <f t="shared" si="59"/>
        <v>1</v>
      </c>
      <c r="R310" s="662">
        <f t="shared" si="60"/>
        <v>0</v>
      </c>
      <c r="S310" s="315">
        <f t="shared" si="61"/>
        <v>0</v>
      </c>
    </row>
    <row r="311" spans="1:19">
      <c r="A311" s="150"/>
      <c r="B311" s="54"/>
      <c r="C311" s="21">
        <f t="shared" si="52"/>
        <v>1</v>
      </c>
      <c r="D311" s="666"/>
      <c r="E311" s="21">
        <f t="shared" si="53"/>
        <v>0</v>
      </c>
      <c r="F311" s="666"/>
      <c r="G311" s="21">
        <f t="shared" si="54"/>
        <v>0.2</v>
      </c>
      <c r="H311" s="666"/>
      <c r="I311" s="21">
        <f t="shared" si="55"/>
        <v>1</v>
      </c>
      <c r="J311" s="666"/>
      <c r="K311" s="21">
        <f t="shared" si="56"/>
        <v>1</v>
      </c>
      <c r="L311" s="666"/>
      <c r="M311" s="21">
        <f t="shared" si="57"/>
        <v>1</v>
      </c>
      <c r="N311" s="666"/>
      <c r="O311" s="21">
        <f t="shared" si="58"/>
        <v>1</v>
      </c>
      <c r="P311" s="666"/>
      <c r="Q311" s="21">
        <f t="shared" si="59"/>
        <v>1</v>
      </c>
      <c r="R311" s="662">
        <f t="shared" si="60"/>
        <v>0</v>
      </c>
      <c r="S311" s="315">
        <f t="shared" si="61"/>
        <v>0</v>
      </c>
    </row>
    <row r="312" spans="1:19">
      <c r="A312" s="150"/>
      <c r="B312" s="54"/>
      <c r="C312" s="21">
        <f t="shared" si="52"/>
        <v>1</v>
      </c>
      <c r="D312" s="666"/>
      <c r="E312" s="21">
        <f t="shared" si="53"/>
        <v>0</v>
      </c>
      <c r="F312" s="666"/>
      <c r="G312" s="21">
        <f t="shared" si="54"/>
        <v>0.2</v>
      </c>
      <c r="H312" s="666"/>
      <c r="I312" s="21">
        <f t="shared" si="55"/>
        <v>1</v>
      </c>
      <c r="J312" s="666"/>
      <c r="K312" s="21">
        <f t="shared" si="56"/>
        <v>1</v>
      </c>
      <c r="L312" s="666"/>
      <c r="M312" s="21">
        <f t="shared" si="57"/>
        <v>1</v>
      </c>
      <c r="N312" s="666"/>
      <c r="O312" s="21">
        <f t="shared" si="58"/>
        <v>1</v>
      </c>
      <c r="P312" s="666"/>
      <c r="Q312" s="21">
        <f t="shared" si="59"/>
        <v>1</v>
      </c>
      <c r="R312" s="662">
        <f t="shared" si="60"/>
        <v>0</v>
      </c>
      <c r="S312" s="315">
        <f t="shared" si="61"/>
        <v>0</v>
      </c>
    </row>
    <row r="313" spans="1:19">
      <c r="A313" s="150"/>
      <c r="B313" s="54"/>
      <c r="C313" s="21">
        <f t="shared" si="52"/>
        <v>1</v>
      </c>
      <c r="D313" s="666"/>
      <c r="E313" s="21">
        <f t="shared" si="53"/>
        <v>0</v>
      </c>
      <c r="F313" s="666"/>
      <c r="G313" s="21">
        <f t="shared" si="54"/>
        <v>0.2</v>
      </c>
      <c r="H313" s="666"/>
      <c r="I313" s="21">
        <f t="shared" si="55"/>
        <v>1</v>
      </c>
      <c r="J313" s="666"/>
      <c r="K313" s="21">
        <f t="shared" si="56"/>
        <v>1</v>
      </c>
      <c r="L313" s="666"/>
      <c r="M313" s="21">
        <f t="shared" si="57"/>
        <v>1</v>
      </c>
      <c r="N313" s="666"/>
      <c r="O313" s="21">
        <f t="shared" si="58"/>
        <v>1</v>
      </c>
      <c r="P313" s="666"/>
      <c r="Q313" s="21">
        <f t="shared" si="59"/>
        <v>1</v>
      </c>
      <c r="R313" s="662">
        <f t="shared" si="60"/>
        <v>0</v>
      </c>
      <c r="S313" s="315">
        <f t="shared" si="61"/>
        <v>0</v>
      </c>
    </row>
    <row r="314" spans="1:19">
      <c r="A314" s="150"/>
      <c r="B314" s="54"/>
      <c r="C314" s="21">
        <f t="shared" si="52"/>
        <v>1</v>
      </c>
      <c r="D314" s="666"/>
      <c r="E314" s="21">
        <f t="shared" si="53"/>
        <v>0</v>
      </c>
      <c r="F314" s="666"/>
      <c r="G314" s="21">
        <f t="shared" si="54"/>
        <v>0.2</v>
      </c>
      <c r="H314" s="666"/>
      <c r="I314" s="21">
        <f t="shared" si="55"/>
        <v>1</v>
      </c>
      <c r="J314" s="666"/>
      <c r="K314" s="21">
        <f t="shared" si="56"/>
        <v>1</v>
      </c>
      <c r="L314" s="666"/>
      <c r="M314" s="21">
        <f t="shared" si="57"/>
        <v>1</v>
      </c>
      <c r="N314" s="666"/>
      <c r="O314" s="21">
        <f t="shared" si="58"/>
        <v>1</v>
      </c>
      <c r="P314" s="666"/>
      <c r="Q314" s="21">
        <f t="shared" si="59"/>
        <v>1</v>
      </c>
      <c r="R314" s="662">
        <f t="shared" si="60"/>
        <v>0</v>
      </c>
      <c r="S314" s="315">
        <f t="shared" si="61"/>
        <v>0</v>
      </c>
    </row>
    <row r="315" spans="1:19">
      <c r="A315" s="150"/>
      <c r="B315" s="54"/>
      <c r="C315" s="21">
        <f t="shared" si="52"/>
        <v>1</v>
      </c>
      <c r="D315" s="666"/>
      <c r="E315" s="21">
        <f t="shared" si="53"/>
        <v>0</v>
      </c>
      <c r="F315" s="666"/>
      <c r="G315" s="21">
        <f t="shared" si="54"/>
        <v>0.2</v>
      </c>
      <c r="H315" s="666"/>
      <c r="I315" s="21">
        <f t="shared" si="55"/>
        <v>1</v>
      </c>
      <c r="J315" s="666"/>
      <c r="K315" s="21">
        <f t="shared" si="56"/>
        <v>1</v>
      </c>
      <c r="L315" s="666"/>
      <c r="M315" s="21">
        <f t="shared" si="57"/>
        <v>1</v>
      </c>
      <c r="N315" s="666"/>
      <c r="O315" s="21">
        <f t="shared" si="58"/>
        <v>1</v>
      </c>
      <c r="P315" s="666"/>
      <c r="Q315" s="21">
        <f t="shared" si="59"/>
        <v>1</v>
      </c>
      <c r="R315" s="662">
        <f t="shared" si="60"/>
        <v>0</v>
      </c>
      <c r="S315" s="315">
        <f t="shared" si="61"/>
        <v>0</v>
      </c>
    </row>
    <row r="316" spans="1:19">
      <c r="A316" s="150"/>
      <c r="B316" s="54"/>
      <c r="C316" s="21">
        <f t="shared" si="52"/>
        <v>1</v>
      </c>
      <c r="D316" s="666"/>
      <c r="E316" s="21">
        <f t="shared" si="53"/>
        <v>0</v>
      </c>
      <c r="F316" s="666"/>
      <c r="G316" s="21">
        <f t="shared" si="54"/>
        <v>0.2</v>
      </c>
      <c r="H316" s="666"/>
      <c r="I316" s="21">
        <f t="shared" si="55"/>
        <v>1</v>
      </c>
      <c r="J316" s="666"/>
      <c r="K316" s="21">
        <f t="shared" si="56"/>
        <v>1</v>
      </c>
      <c r="L316" s="666"/>
      <c r="M316" s="21">
        <f t="shared" si="57"/>
        <v>1</v>
      </c>
      <c r="N316" s="666"/>
      <c r="O316" s="21">
        <f t="shared" si="58"/>
        <v>1</v>
      </c>
      <c r="P316" s="666"/>
      <c r="Q316" s="21">
        <f t="shared" si="59"/>
        <v>1</v>
      </c>
      <c r="R316" s="662">
        <f t="shared" si="60"/>
        <v>0</v>
      </c>
      <c r="S316" s="315">
        <f t="shared" si="61"/>
        <v>0</v>
      </c>
    </row>
    <row r="317" spans="1:19">
      <c r="A317" s="150"/>
      <c r="B317" s="54"/>
      <c r="C317" s="21">
        <f t="shared" si="52"/>
        <v>1</v>
      </c>
      <c r="D317" s="666"/>
      <c r="E317" s="21">
        <f t="shared" si="53"/>
        <v>0</v>
      </c>
      <c r="F317" s="666"/>
      <c r="G317" s="21">
        <f t="shared" si="54"/>
        <v>0.2</v>
      </c>
      <c r="H317" s="666"/>
      <c r="I317" s="21">
        <f t="shared" si="55"/>
        <v>1</v>
      </c>
      <c r="J317" s="666"/>
      <c r="K317" s="21">
        <f t="shared" si="56"/>
        <v>1</v>
      </c>
      <c r="L317" s="666"/>
      <c r="M317" s="21">
        <f t="shared" si="57"/>
        <v>1</v>
      </c>
      <c r="N317" s="666"/>
      <c r="O317" s="21">
        <f t="shared" si="58"/>
        <v>1</v>
      </c>
      <c r="P317" s="666"/>
      <c r="Q317" s="21">
        <f t="shared" si="59"/>
        <v>1</v>
      </c>
      <c r="R317" s="662">
        <f t="shared" si="60"/>
        <v>0</v>
      </c>
      <c r="S317" s="315">
        <f t="shared" si="61"/>
        <v>0</v>
      </c>
    </row>
    <row r="318" spans="1:19">
      <c r="A318" s="150"/>
      <c r="B318" s="54"/>
      <c r="C318" s="21">
        <f t="shared" si="52"/>
        <v>1</v>
      </c>
      <c r="D318" s="666"/>
      <c r="E318" s="21">
        <f t="shared" si="53"/>
        <v>0</v>
      </c>
      <c r="F318" s="666"/>
      <c r="G318" s="21">
        <f t="shared" si="54"/>
        <v>0.2</v>
      </c>
      <c r="H318" s="666"/>
      <c r="I318" s="21">
        <f t="shared" si="55"/>
        <v>1</v>
      </c>
      <c r="J318" s="666"/>
      <c r="K318" s="21">
        <f t="shared" si="56"/>
        <v>1</v>
      </c>
      <c r="L318" s="666"/>
      <c r="M318" s="21">
        <f t="shared" si="57"/>
        <v>1</v>
      </c>
      <c r="N318" s="666"/>
      <c r="O318" s="21">
        <f t="shared" si="58"/>
        <v>1</v>
      </c>
      <c r="P318" s="666"/>
      <c r="Q318" s="21">
        <f t="shared" si="59"/>
        <v>1</v>
      </c>
      <c r="R318" s="662">
        <f t="shared" si="60"/>
        <v>0</v>
      </c>
      <c r="S318" s="315">
        <f t="shared" si="61"/>
        <v>0</v>
      </c>
    </row>
    <row r="319" spans="1:19">
      <c r="A319" s="150"/>
      <c r="B319" s="54"/>
      <c r="C319" s="21">
        <f t="shared" si="52"/>
        <v>1</v>
      </c>
      <c r="D319" s="666"/>
      <c r="E319" s="21">
        <f t="shared" si="53"/>
        <v>0</v>
      </c>
      <c r="F319" s="666"/>
      <c r="G319" s="21">
        <f t="shared" si="54"/>
        <v>0.2</v>
      </c>
      <c r="H319" s="666"/>
      <c r="I319" s="21">
        <f t="shared" si="55"/>
        <v>1</v>
      </c>
      <c r="J319" s="666"/>
      <c r="K319" s="21">
        <f t="shared" si="56"/>
        <v>1</v>
      </c>
      <c r="L319" s="666"/>
      <c r="M319" s="21">
        <f t="shared" si="57"/>
        <v>1</v>
      </c>
      <c r="N319" s="666"/>
      <c r="O319" s="21">
        <f t="shared" si="58"/>
        <v>1</v>
      </c>
      <c r="P319" s="666"/>
      <c r="Q319" s="21">
        <f t="shared" si="59"/>
        <v>1</v>
      </c>
      <c r="R319" s="662">
        <f t="shared" si="60"/>
        <v>0</v>
      </c>
      <c r="S319" s="315">
        <f t="shared" si="61"/>
        <v>0</v>
      </c>
    </row>
    <row r="320" spans="1:19">
      <c r="A320" s="150"/>
      <c r="B320" s="54"/>
      <c r="C320" s="21">
        <f t="shared" si="52"/>
        <v>1</v>
      </c>
      <c r="D320" s="666"/>
      <c r="E320" s="21">
        <f t="shared" si="53"/>
        <v>0</v>
      </c>
      <c r="F320" s="666"/>
      <c r="G320" s="21">
        <f t="shared" si="54"/>
        <v>0.2</v>
      </c>
      <c r="H320" s="666"/>
      <c r="I320" s="21">
        <f t="shared" si="55"/>
        <v>1</v>
      </c>
      <c r="J320" s="666"/>
      <c r="K320" s="21">
        <f t="shared" si="56"/>
        <v>1</v>
      </c>
      <c r="L320" s="666"/>
      <c r="M320" s="21">
        <f t="shared" si="57"/>
        <v>1</v>
      </c>
      <c r="N320" s="666"/>
      <c r="O320" s="21">
        <f t="shared" si="58"/>
        <v>1</v>
      </c>
      <c r="P320" s="666"/>
      <c r="Q320" s="21">
        <f t="shared" si="59"/>
        <v>1</v>
      </c>
      <c r="R320" s="662">
        <f t="shared" si="60"/>
        <v>0</v>
      </c>
      <c r="S320" s="315">
        <f t="shared" si="61"/>
        <v>0</v>
      </c>
    </row>
    <row r="321" spans="1:19">
      <c r="A321" s="150"/>
      <c r="B321" s="54"/>
      <c r="C321" s="21">
        <f t="shared" si="52"/>
        <v>1</v>
      </c>
      <c r="D321" s="666"/>
      <c r="E321" s="21">
        <f t="shared" si="53"/>
        <v>0</v>
      </c>
      <c r="F321" s="666"/>
      <c r="G321" s="21">
        <f t="shared" si="54"/>
        <v>0.2</v>
      </c>
      <c r="H321" s="666"/>
      <c r="I321" s="21">
        <f t="shared" si="55"/>
        <v>1</v>
      </c>
      <c r="J321" s="666"/>
      <c r="K321" s="21">
        <f t="shared" si="56"/>
        <v>1</v>
      </c>
      <c r="L321" s="666"/>
      <c r="M321" s="21">
        <f t="shared" si="57"/>
        <v>1</v>
      </c>
      <c r="N321" s="666"/>
      <c r="O321" s="21">
        <f t="shared" si="58"/>
        <v>1</v>
      </c>
      <c r="P321" s="666"/>
      <c r="Q321" s="21">
        <f t="shared" si="59"/>
        <v>1</v>
      </c>
      <c r="R321" s="662">
        <f t="shared" si="60"/>
        <v>0</v>
      </c>
      <c r="S321" s="315">
        <f t="shared" ref="S321:S384" si="62">ROUND(R321*B321/10000,0)</f>
        <v>0</v>
      </c>
    </row>
    <row r="322" spans="1:19">
      <c r="A322" s="150"/>
      <c r="B322" s="54"/>
      <c r="C322" s="21">
        <f t="shared" si="52"/>
        <v>1</v>
      </c>
      <c r="D322" s="666"/>
      <c r="E322" s="21">
        <f t="shared" si="53"/>
        <v>0</v>
      </c>
      <c r="F322" s="666"/>
      <c r="G322" s="21">
        <f t="shared" si="54"/>
        <v>0.2</v>
      </c>
      <c r="H322" s="666"/>
      <c r="I322" s="21">
        <f t="shared" si="55"/>
        <v>1</v>
      </c>
      <c r="J322" s="666"/>
      <c r="K322" s="21">
        <f t="shared" si="56"/>
        <v>1</v>
      </c>
      <c r="L322" s="666"/>
      <c r="M322" s="21">
        <f t="shared" si="57"/>
        <v>1</v>
      </c>
      <c r="N322" s="666"/>
      <c r="O322" s="21">
        <f t="shared" si="58"/>
        <v>1</v>
      </c>
      <c r="P322" s="666"/>
      <c r="Q322" s="21">
        <f t="shared" si="59"/>
        <v>1</v>
      </c>
      <c r="R322" s="662">
        <f t="shared" si="60"/>
        <v>0</v>
      </c>
      <c r="S322" s="315">
        <f t="shared" si="62"/>
        <v>0</v>
      </c>
    </row>
    <row r="323" spans="1:19">
      <c r="A323" s="150"/>
      <c r="B323" s="54"/>
      <c r="C323" s="21">
        <f t="shared" si="52"/>
        <v>1</v>
      </c>
      <c r="D323" s="666"/>
      <c r="E323" s="21">
        <f t="shared" si="53"/>
        <v>0</v>
      </c>
      <c r="F323" s="666"/>
      <c r="G323" s="21">
        <f t="shared" si="54"/>
        <v>0.2</v>
      </c>
      <c r="H323" s="666"/>
      <c r="I323" s="21">
        <f t="shared" si="55"/>
        <v>1</v>
      </c>
      <c r="J323" s="666"/>
      <c r="K323" s="21">
        <f t="shared" si="56"/>
        <v>1</v>
      </c>
      <c r="L323" s="666"/>
      <c r="M323" s="21">
        <f t="shared" si="57"/>
        <v>1</v>
      </c>
      <c r="N323" s="666"/>
      <c r="O323" s="21">
        <f t="shared" si="58"/>
        <v>1</v>
      </c>
      <c r="P323" s="666"/>
      <c r="Q323" s="21">
        <f t="shared" si="59"/>
        <v>1</v>
      </c>
      <c r="R323" s="662">
        <f t="shared" si="60"/>
        <v>0</v>
      </c>
      <c r="S323" s="315">
        <f t="shared" si="62"/>
        <v>0</v>
      </c>
    </row>
    <row r="324" spans="1:19">
      <c r="A324" s="150"/>
      <c r="B324" s="54"/>
      <c r="C324" s="21">
        <f t="shared" si="52"/>
        <v>1</v>
      </c>
      <c r="D324" s="666"/>
      <c r="E324" s="21">
        <f t="shared" si="53"/>
        <v>0</v>
      </c>
      <c r="F324" s="666"/>
      <c r="G324" s="21">
        <f t="shared" si="54"/>
        <v>0.2</v>
      </c>
      <c r="H324" s="666"/>
      <c r="I324" s="21">
        <f t="shared" si="55"/>
        <v>1</v>
      </c>
      <c r="J324" s="666"/>
      <c r="K324" s="21">
        <f t="shared" si="56"/>
        <v>1</v>
      </c>
      <c r="L324" s="666"/>
      <c r="M324" s="21">
        <f t="shared" si="57"/>
        <v>1</v>
      </c>
      <c r="N324" s="666"/>
      <c r="O324" s="21">
        <f t="shared" si="58"/>
        <v>1</v>
      </c>
      <c r="P324" s="666"/>
      <c r="Q324" s="21">
        <f t="shared" si="59"/>
        <v>1</v>
      </c>
      <c r="R324" s="662">
        <f t="shared" si="60"/>
        <v>0</v>
      </c>
      <c r="S324" s="315">
        <f t="shared" si="62"/>
        <v>0</v>
      </c>
    </row>
    <row r="325" spans="1:19">
      <c r="A325" s="150"/>
      <c r="B325" s="54"/>
      <c r="C325" s="21">
        <f t="shared" si="52"/>
        <v>1</v>
      </c>
      <c r="D325" s="666"/>
      <c r="E325" s="21">
        <f t="shared" si="53"/>
        <v>0</v>
      </c>
      <c r="F325" s="666"/>
      <c r="G325" s="21">
        <f t="shared" si="54"/>
        <v>0.2</v>
      </c>
      <c r="H325" s="666"/>
      <c r="I325" s="21">
        <f t="shared" si="55"/>
        <v>1</v>
      </c>
      <c r="J325" s="666"/>
      <c r="K325" s="21">
        <f t="shared" si="56"/>
        <v>1</v>
      </c>
      <c r="L325" s="666"/>
      <c r="M325" s="21">
        <f t="shared" si="57"/>
        <v>1</v>
      </c>
      <c r="N325" s="666"/>
      <c r="O325" s="21">
        <f t="shared" si="58"/>
        <v>1</v>
      </c>
      <c r="P325" s="666"/>
      <c r="Q325" s="21">
        <f t="shared" si="59"/>
        <v>1</v>
      </c>
      <c r="R325" s="662">
        <f t="shared" si="60"/>
        <v>0</v>
      </c>
      <c r="S325" s="315">
        <f t="shared" si="62"/>
        <v>0</v>
      </c>
    </row>
    <row r="326" spans="1:19">
      <c r="A326" s="150"/>
      <c r="B326" s="54"/>
      <c r="C326" s="21">
        <f t="shared" si="52"/>
        <v>1</v>
      </c>
      <c r="D326" s="666"/>
      <c r="E326" s="21">
        <f t="shared" si="53"/>
        <v>0</v>
      </c>
      <c r="F326" s="666"/>
      <c r="G326" s="21">
        <f t="shared" si="54"/>
        <v>0.2</v>
      </c>
      <c r="H326" s="666"/>
      <c r="I326" s="21">
        <f t="shared" si="55"/>
        <v>1</v>
      </c>
      <c r="J326" s="666"/>
      <c r="K326" s="21">
        <f t="shared" si="56"/>
        <v>1</v>
      </c>
      <c r="L326" s="666"/>
      <c r="M326" s="21">
        <f t="shared" si="57"/>
        <v>1</v>
      </c>
      <c r="N326" s="666"/>
      <c r="O326" s="21">
        <f t="shared" si="58"/>
        <v>1</v>
      </c>
      <c r="P326" s="666"/>
      <c r="Q326" s="21">
        <f t="shared" si="59"/>
        <v>1</v>
      </c>
      <c r="R326" s="662">
        <f t="shared" si="60"/>
        <v>0</v>
      </c>
      <c r="S326" s="315">
        <f t="shared" si="62"/>
        <v>0</v>
      </c>
    </row>
    <row r="327" spans="1:19">
      <c r="A327" s="150"/>
      <c r="B327" s="54"/>
      <c r="C327" s="21">
        <f t="shared" si="52"/>
        <v>1</v>
      </c>
      <c r="D327" s="666"/>
      <c r="E327" s="21">
        <f t="shared" si="53"/>
        <v>0</v>
      </c>
      <c r="F327" s="666"/>
      <c r="G327" s="21">
        <f t="shared" si="54"/>
        <v>0.2</v>
      </c>
      <c r="H327" s="666"/>
      <c r="I327" s="21">
        <f t="shared" si="55"/>
        <v>1</v>
      </c>
      <c r="J327" s="666"/>
      <c r="K327" s="21">
        <f t="shared" si="56"/>
        <v>1</v>
      </c>
      <c r="L327" s="666"/>
      <c r="M327" s="21">
        <f t="shared" si="57"/>
        <v>1</v>
      </c>
      <c r="N327" s="666"/>
      <c r="O327" s="21">
        <f t="shared" si="58"/>
        <v>1</v>
      </c>
      <c r="P327" s="666"/>
      <c r="Q327" s="21">
        <f t="shared" si="59"/>
        <v>1</v>
      </c>
      <c r="R327" s="662">
        <f t="shared" si="60"/>
        <v>0</v>
      </c>
      <c r="S327" s="315">
        <f t="shared" si="62"/>
        <v>0</v>
      </c>
    </row>
    <row r="328" spans="1:19">
      <c r="A328" s="150"/>
      <c r="B328" s="54"/>
      <c r="C328" s="21">
        <f t="shared" si="52"/>
        <v>1</v>
      </c>
      <c r="D328" s="666"/>
      <c r="E328" s="21">
        <f t="shared" si="53"/>
        <v>0</v>
      </c>
      <c r="F328" s="666"/>
      <c r="G328" s="21">
        <f t="shared" si="54"/>
        <v>0.2</v>
      </c>
      <c r="H328" s="666"/>
      <c r="I328" s="21">
        <f t="shared" si="55"/>
        <v>1</v>
      </c>
      <c r="J328" s="666"/>
      <c r="K328" s="21">
        <f t="shared" si="56"/>
        <v>1</v>
      </c>
      <c r="L328" s="666"/>
      <c r="M328" s="21">
        <f t="shared" si="57"/>
        <v>1</v>
      </c>
      <c r="N328" s="666"/>
      <c r="O328" s="21">
        <f t="shared" si="58"/>
        <v>1</v>
      </c>
      <c r="P328" s="666"/>
      <c r="Q328" s="21">
        <f t="shared" si="59"/>
        <v>1</v>
      </c>
      <c r="R328" s="662">
        <f t="shared" si="60"/>
        <v>0</v>
      </c>
      <c r="S328" s="315">
        <f t="shared" si="62"/>
        <v>0</v>
      </c>
    </row>
    <row r="329" spans="1:19">
      <c r="A329" s="150"/>
      <c r="B329" s="54"/>
      <c r="C329" s="21">
        <f t="shared" si="52"/>
        <v>1</v>
      </c>
      <c r="D329" s="666"/>
      <c r="E329" s="21">
        <f t="shared" si="53"/>
        <v>0</v>
      </c>
      <c r="F329" s="666"/>
      <c r="G329" s="21">
        <f t="shared" si="54"/>
        <v>0.2</v>
      </c>
      <c r="H329" s="666"/>
      <c r="I329" s="21">
        <f t="shared" si="55"/>
        <v>1</v>
      </c>
      <c r="J329" s="666"/>
      <c r="K329" s="21">
        <f t="shared" si="56"/>
        <v>1</v>
      </c>
      <c r="L329" s="666"/>
      <c r="M329" s="21">
        <f t="shared" si="57"/>
        <v>1</v>
      </c>
      <c r="N329" s="666"/>
      <c r="O329" s="21">
        <f t="shared" si="58"/>
        <v>1</v>
      </c>
      <c r="P329" s="666"/>
      <c r="Q329" s="21">
        <f t="shared" si="59"/>
        <v>1</v>
      </c>
      <c r="R329" s="662">
        <f t="shared" si="60"/>
        <v>0</v>
      </c>
      <c r="S329" s="315">
        <f t="shared" si="62"/>
        <v>0</v>
      </c>
    </row>
    <row r="330" spans="1:19">
      <c r="A330" s="150"/>
      <c r="B330" s="54"/>
      <c r="C330" s="21">
        <f t="shared" si="52"/>
        <v>1</v>
      </c>
      <c r="D330" s="666"/>
      <c r="E330" s="21">
        <f t="shared" si="53"/>
        <v>0</v>
      </c>
      <c r="F330" s="666"/>
      <c r="G330" s="21">
        <f t="shared" si="54"/>
        <v>0.2</v>
      </c>
      <c r="H330" s="666"/>
      <c r="I330" s="21">
        <f t="shared" si="55"/>
        <v>1</v>
      </c>
      <c r="J330" s="666"/>
      <c r="K330" s="21">
        <f t="shared" si="56"/>
        <v>1</v>
      </c>
      <c r="L330" s="666"/>
      <c r="M330" s="21">
        <f t="shared" si="57"/>
        <v>1</v>
      </c>
      <c r="N330" s="666"/>
      <c r="O330" s="21">
        <f t="shared" si="58"/>
        <v>1</v>
      </c>
      <c r="P330" s="666"/>
      <c r="Q330" s="21">
        <f t="shared" si="59"/>
        <v>1</v>
      </c>
      <c r="R330" s="662">
        <f t="shared" si="60"/>
        <v>0</v>
      </c>
      <c r="S330" s="315">
        <f t="shared" si="62"/>
        <v>0</v>
      </c>
    </row>
    <row r="331" spans="1:19">
      <c r="A331" s="150"/>
      <c r="B331" s="54"/>
      <c r="C331" s="21">
        <f t="shared" si="52"/>
        <v>1</v>
      </c>
      <c r="D331" s="666"/>
      <c r="E331" s="21">
        <f t="shared" si="53"/>
        <v>0</v>
      </c>
      <c r="F331" s="666"/>
      <c r="G331" s="21">
        <f t="shared" si="54"/>
        <v>0.2</v>
      </c>
      <c r="H331" s="666"/>
      <c r="I331" s="21">
        <f t="shared" si="55"/>
        <v>1</v>
      </c>
      <c r="J331" s="666"/>
      <c r="K331" s="21">
        <f t="shared" si="56"/>
        <v>1</v>
      </c>
      <c r="L331" s="666"/>
      <c r="M331" s="21">
        <f t="shared" si="57"/>
        <v>1</v>
      </c>
      <c r="N331" s="666"/>
      <c r="O331" s="21">
        <f t="shared" si="58"/>
        <v>1</v>
      </c>
      <c r="P331" s="666"/>
      <c r="Q331" s="21">
        <f t="shared" si="59"/>
        <v>1</v>
      </c>
      <c r="R331" s="662">
        <f t="shared" si="60"/>
        <v>0</v>
      </c>
      <c r="S331" s="315">
        <f t="shared" si="62"/>
        <v>0</v>
      </c>
    </row>
    <row r="332" spans="1:19">
      <c r="A332" s="150"/>
      <c r="B332" s="54"/>
      <c r="C332" s="21">
        <f t="shared" si="52"/>
        <v>1</v>
      </c>
      <c r="D332" s="666"/>
      <c r="E332" s="21">
        <f t="shared" si="53"/>
        <v>0</v>
      </c>
      <c r="F332" s="666"/>
      <c r="G332" s="21">
        <f t="shared" si="54"/>
        <v>0.2</v>
      </c>
      <c r="H332" s="666"/>
      <c r="I332" s="21">
        <f t="shared" si="55"/>
        <v>1</v>
      </c>
      <c r="J332" s="666"/>
      <c r="K332" s="21">
        <f t="shared" si="56"/>
        <v>1</v>
      </c>
      <c r="L332" s="666"/>
      <c r="M332" s="21">
        <f t="shared" si="57"/>
        <v>1</v>
      </c>
      <c r="N332" s="666"/>
      <c r="O332" s="21">
        <f t="shared" si="58"/>
        <v>1</v>
      </c>
      <c r="P332" s="666"/>
      <c r="Q332" s="21">
        <f t="shared" si="59"/>
        <v>1</v>
      </c>
      <c r="R332" s="662">
        <f t="shared" si="60"/>
        <v>0</v>
      </c>
      <c r="S332" s="315">
        <f t="shared" si="62"/>
        <v>0</v>
      </c>
    </row>
    <row r="333" spans="1:19">
      <c r="A333" s="150"/>
      <c r="B333" s="54"/>
      <c r="C333" s="21">
        <f t="shared" si="52"/>
        <v>1</v>
      </c>
      <c r="D333" s="666"/>
      <c r="E333" s="21">
        <f t="shared" si="53"/>
        <v>0</v>
      </c>
      <c r="F333" s="666"/>
      <c r="G333" s="21">
        <f t="shared" si="54"/>
        <v>0.2</v>
      </c>
      <c r="H333" s="666"/>
      <c r="I333" s="21">
        <f t="shared" si="55"/>
        <v>1</v>
      </c>
      <c r="J333" s="666"/>
      <c r="K333" s="21">
        <f t="shared" si="56"/>
        <v>1</v>
      </c>
      <c r="L333" s="666"/>
      <c r="M333" s="21">
        <f t="shared" si="57"/>
        <v>1</v>
      </c>
      <c r="N333" s="666"/>
      <c r="O333" s="21">
        <f t="shared" si="58"/>
        <v>1</v>
      </c>
      <c r="P333" s="666"/>
      <c r="Q333" s="21">
        <f t="shared" si="59"/>
        <v>1</v>
      </c>
      <c r="R333" s="662">
        <f t="shared" si="60"/>
        <v>0</v>
      </c>
      <c r="S333" s="315">
        <f t="shared" si="62"/>
        <v>0</v>
      </c>
    </row>
    <row r="334" spans="1:19">
      <c r="A334" s="150"/>
      <c r="B334" s="54"/>
      <c r="C334" s="21">
        <f t="shared" si="52"/>
        <v>1</v>
      </c>
      <c r="D334" s="666"/>
      <c r="E334" s="21">
        <f t="shared" si="53"/>
        <v>0</v>
      </c>
      <c r="F334" s="666"/>
      <c r="G334" s="21">
        <f t="shared" si="54"/>
        <v>0.2</v>
      </c>
      <c r="H334" s="666"/>
      <c r="I334" s="21">
        <f t="shared" si="55"/>
        <v>1</v>
      </c>
      <c r="J334" s="666"/>
      <c r="K334" s="21">
        <f t="shared" si="56"/>
        <v>1</v>
      </c>
      <c r="L334" s="666"/>
      <c r="M334" s="21">
        <f t="shared" si="57"/>
        <v>1</v>
      </c>
      <c r="N334" s="666"/>
      <c r="O334" s="21">
        <f t="shared" si="58"/>
        <v>1</v>
      </c>
      <c r="P334" s="666"/>
      <c r="Q334" s="21">
        <f t="shared" si="59"/>
        <v>1</v>
      </c>
      <c r="R334" s="662">
        <f t="shared" si="60"/>
        <v>0</v>
      </c>
      <c r="S334" s="315">
        <f t="shared" si="62"/>
        <v>0</v>
      </c>
    </row>
    <row r="335" spans="1:19">
      <c r="A335" s="150"/>
      <c r="B335" s="54"/>
      <c r="C335" s="21">
        <f t="shared" si="52"/>
        <v>1</v>
      </c>
      <c r="D335" s="666"/>
      <c r="E335" s="21">
        <f t="shared" si="53"/>
        <v>0</v>
      </c>
      <c r="F335" s="666"/>
      <c r="G335" s="21">
        <f t="shared" si="54"/>
        <v>0.2</v>
      </c>
      <c r="H335" s="666"/>
      <c r="I335" s="21">
        <f t="shared" si="55"/>
        <v>1</v>
      </c>
      <c r="J335" s="666"/>
      <c r="K335" s="21">
        <f t="shared" si="56"/>
        <v>1</v>
      </c>
      <c r="L335" s="666"/>
      <c r="M335" s="21">
        <f t="shared" si="57"/>
        <v>1</v>
      </c>
      <c r="N335" s="666"/>
      <c r="O335" s="21">
        <f t="shared" si="58"/>
        <v>1</v>
      </c>
      <c r="P335" s="666"/>
      <c r="Q335" s="21">
        <f t="shared" si="59"/>
        <v>1</v>
      </c>
      <c r="R335" s="662">
        <f t="shared" si="60"/>
        <v>0</v>
      </c>
      <c r="S335" s="315">
        <f t="shared" si="62"/>
        <v>0</v>
      </c>
    </row>
    <row r="336" spans="1:19">
      <c r="A336" s="150"/>
      <c r="B336" s="54"/>
      <c r="C336" s="21">
        <f t="shared" si="52"/>
        <v>1</v>
      </c>
      <c r="D336" s="666"/>
      <c r="E336" s="21">
        <f t="shared" si="53"/>
        <v>0</v>
      </c>
      <c r="F336" s="666"/>
      <c r="G336" s="21">
        <f t="shared" si="54"/>
        <v>0.2</v>
      </c>
      <c r="H336" s="666"/>
      <c r="I336" s="21">
        <f t="shared" si="55"/>
        <v>1</v>
      </c>
      <c r="J336" s="666"/>
      <c r="K336" s="21">
        <f t="shared" si="56"/>
        <v>1</v>
      </c>
      <c r="L336" s="666"/>
      <c r="M336" s="21">
        <f t="shared" si="57"/>
        <v>1</v>
      </c>
      <c r="N336" s="666"/>
      <c r="O336" s="21">
        <f t="shared" si="58"/>
        <v>1</v>
      </c>
      <c r="P336" s="666"/>
      <c r="Q336" s="21">
        <f t="shared" si="59"/>
        <v>1</v>
      </c>
      <c r="R336" s="662">
        <f t="shared" si="60"/>
        <v>0</v>
      </c>
      <c r="S336" s="315">
        <f t="shared" si="62"/>
        <v>0</v>
      </c>
    </row>
    <row r="337" spans="1:19">
      <c r="A337" s="150"/>
      <c r="B337" s="54"/>
      <c r="C337" s="21">
        <f t="shared" si="52"/>
        <v>1</v>
      </c>
      <c r="D337" s="666"/>
      <c r="E337" s="21">
        <f t="shared" si="53"/>
        <v>0</v>
      </c>
      <c r="F337" s="666"/>
      <c r="G337" s="21">
        <f t="shared" si="54"/>
        <v>0.2</v>
      </c>
      <c r="H337" s="666"/>
      <c r="I337" s="21">
        <f t="shared" si="55"/>
        <v>1</v>
      </c>
      <c r="J337" s="666"/>
      <c r="K337" s="21">
        <f t="shared" si="56"/>
        <v>1</v>
      </c>
      <c r="L337" s="666"/>
      <c r="M337" s="21">
        <f t="shared" si="57"/>
        <v>1</v>
      </c>
      <c r="N337" s="666"/>
      <c r="O337" s="21">
        <f t="shared" si="58"/>
        <v>1</v>
      </c>
      <c r="P337" s="666"/>
      <c r="Q337" s="21">
        <f t="shared" si="59"/>
        <v>1</v>
      </c>
      <c r="R337" s="662">
        <f t="shared" si="60"/>
        <v>0</v>
      </c>
      <c r="S337" s="315">
        <f t="shared" si="62"/>
        <v>0</v>
      </c>
    </row>
    <row r="338" spans="1:19">
      <c r="A338" s="150"/>
      <c r="B338" s="54"/>
      <c r="C338" s="21">
        <f t="shared" si="52"/>
        <v>1</v>
      </c>
      <c r="D338" s="666"/>
      <c r="E338" s="21">
        <f t="shared" si="53"/>
        <v>0</v>
      </c>
      <c r="F338" s="666"/>
      <c r="G338" s="21">
        <f t="shared" si="54"/>
        <v>0.2</v>
      </c>
      <c r="H338" s="666"/>
      <c r="I338" s="21">
        <f t="shared" si="55"/>
        <v>1</v>
      </c>
      <c r="J338" s="666"/>
      <c r="K338" s="21">
        <f t="shared" si="56"/>
        <v>1</v>
      </c>
      <c r="L338" s="666"/>
      <c r="M338" s="21">
        <f t="shared" si="57"/>
        <v>1</v>
      </c>
      <c r="N338" s="666"/>
      <c r="O338" s="21">
        <f t="shared" si="58"/>
        <v>1</v>
      </c>
      <c r="P338" s="666"/>
      <c r="Q338" s="21">
        <f t="shared" si="59"/>
        <v>1</v>
      </c>
      <c r="R338" s="662">
        <f t="shared" si="60"/>
        <v>0</v>
      </c>
      <c r="S338" s="315">
        <f t="shared" si="62"/>
        <v>0</v>
      </c>
    </row>
    <row r="339" spans="1:19">
      <c r="A339" s="150"/>
      <c r="B339" s="54"/>
      <c r="C339" s="21">
        <f t="shared" si="52"/>
        <v>1</v>
      </c>
      <c r="D339" s="666"/>
      <c r="E339" s="21">
        <f t="shared" si="53"/>
        <v>0</v>
      </c>
      <c r="F339" s="666"/>
      <c r="G339" s="21">
        <f t="shared" si="54"/>
        <v>0.2</v>
      </c>
      <c r="H339" s="666"/>
      <c r="I339" s="21">
        <f t="shared" si="55"/>
        <v>1</v>
      </c>
      <c r="J339" s="666"/>
      <c r="K339" s="21">
        <f t="shared" si="56"/>
        <v>1</v>
      </c>
      <c r="L339" s="666"/>
      <c r="M339" s="21">
        <f t="shared" si="57"/>
        <v>1</v>
      </c>
      <c r="N339" s="666"/>
      <c r="O339" s="21">
        <f t="shared" si="58"/>
        <v>1</v>
      </c>
      <c r="P339" s="666"/>
      <c r="Q339" s="21">
        <f t="shared" si="59"/>
        <v>1</v>
      </c>
      <c r="R339" s="662">
        <f t="shared" si="60"/>
        <v>0</v>
      </c>
      <c r="S339" s="315">
        <f t="shared" si="62"/>
        <v>0</v>
      </c>
    </row>
    <row r="340" spans="1:19">
      <c r="A340" s="150"/>
      <c r="B340" s="54"/>
      <c r="C340" s="21">
        <f t="shared" si="52"/>
        <v>1</v>
      </c>
      <c r="D340" s="666"/>
      <c r="E340" s="21">
        <f t="shared" si="53"/>
        <v>0</v>
      </c>
      <c r="F340" s="666"/>
      <c r="G340" s="21">
        <f t="shared" si="54"/>
        <v>0.2</v>
      </c>
      <c r="H340" s="666"/>
      <c r="I340" s="21">
        <f t="shared" si="55"/>
        <v>1</v>
      </c>
      <c r="J340" s="666"/>
      <c r="K340" s="21">
        <f t="shared" si="56"/>
        <v>1</v>
      </c>
      <c r="L340" s="666"/>
      <c r="M340" s="21">
        <f t="shared" si="57"/>
        <v>1</v>
      </c>
      <c r="N340" s="666"/>
      <c r="O340" s="21">
        <f t="shared" si="58"/>
        <v>1</v>
      </c>
      <c r="P340" s="666"/>
      <c r="Q340" s="21">
        <f t="shared" si="59"/>
        <v>1</v>
      </c>
      <c r="R340" s="662">
        <f t="shared" si="60"/>
        <v>0</v>
      </c>
      <c r="S340" s="315">
        <f t="shared" si="62"/>
        <v>0</v>
      </c>
    </row>
    <row r="341" spans="1:19">
      <c r="A341" s="150"/>
      <c r="B341" s="54"/>
      <c r="C341" s="21">
        <f t="shared" si="52"/>
        <v>1</v>
      </c>
      <c r="D341" s="666"/>
      <c r="E341" s="21">
        <f t="shared" si="53"/>
        <v>0</v>
      </c>
      <c r="F341" s="666"/>
      <c r="G341" s="21">
        <f t="shared" si="54"/>
        <v>0.2</v>
      </c>
      <c r="H341" s="666"/>
      <c r="I341" s="21">
        <f t="shared" si="55"/>
        <v>1</v>
      </c>
      <c r="J341" s="666"/>
      <c r="K341" s="21">
        <f t="shared" si="56"/>
        <v>1</v>
      </c>
      <c r="L341" s="666"/>
      <c r="M341" s="21">
        <f t="shared" si="57"/>
        <v>1</v>
      </c>
      <c r="N341" s="666"/>
      <c r="O341" s="21">
        <f t="shared" si="58"/>
        <v>1</v>
      </c>
      <c r="P341" s="666"/>
      <c r="Q341" s="21">
        <f t="shared" si="59"/>
        <v>1</v>
      </c>
      <c r="R341" s="662">
        <f t="shared" si="60"/>
        <v>0</v>
      </c>
      <c r="S341" s="315">
        <f t="shared" si="62"/>
        <v>0</v>
      </c>
    </row>
    <row r="342" spans="1:19">
      <c r="A342" s="150"/>
      <c r="B342" s="54"/>
      <c r="C342" s="21">
        <f t="shared" si="52"/>
        <v>1</v>
      </c>
      <c r="D342" s="666"/>
      <c r="E342" s="21">
        <f t="shared" si="53"/>
        <v>0</v>
      </c>
      <c r="F342" s="666"/>
      <c r="G342" s="21">
        <f t="shared" si="54"/>
        <v>0.2</v>
      </c>
      <c r="H342" s="666"/>
      <c r="I342" s="21">
        <f t="shared" si="55"/>
        <v>1</v>
      </c>
      <c r="J342" s="666"/>
      <c r="K342" s="21">
        <f t="shared" si="56"/>
        <v>1</v>
      </c>
      <c r="L342" s="666"/>
      <c r="M342" s="21">
        <f t="shared" si="57"/>
        <v>1</v>
      </c>
      <c r="N342" s="666"/>
      <c r="O342" s="21">
        <f t="shared" si="58"/>
        <v>1</v>
      </c>
      <c r="P342" s="666"/>
      <c r="Q342" s="21">
        <f t="shared" si="59"/>
        <v>1</v>
      </c>
      <c r="R342" s="662">
        <f t="shared" si="60"/>
        <v>0</v>
      </c>
      <c r="S342" s="315">
        <f t="shared" si="62"/>
        <v>0</v>
      </c>
    </row>
    <row r="343" spans="1:19">
      <c r="A343" s="150"/>
      <c r="B343" s="54"/>
      <c r="C343" s="21">
        <f t="shared" si="52"/>
        <v>1</v>
      </c>
      <c r="D343" s="666"/>
      <c r="E343" s="21">
        <f t="shared" si="53"/>
        <v>0</v>
      </c>
      <c r="F343" s="666"/>
      <c r="G343" s="21">
        <f t="shared" si="54"/>
        <v>0.2</v>
      </c>
      <c r="H343" s="666"/>
      <c r="I343" s="21">
        <f t="shared" si="55"/>
        <v>1</v>
      </c>
      <c r="J343" s="666"/>
      <c r="K343" s="21">
        <f t="shared" si="56"/>
        <v>1</v>
      </c>
      <c r="L343" s="666"/>
      <c r="M343" s="21">
        <f t="shared" si="57"/>
        <v>1</v>
      </c>
      <c r="N343" s="666"/>
      <c r="O343" s="21">
        <f t="shared" si="58"/>
        <v>1</v>
      </c>
      <c r="P343" s="666"/>
      <c r="Q343" s="21">
        <f t="shared" si="59"/>
        <v>1</v>
      </c>
      <c r="R343" s="662">
        <f t="shared" si="60"/>
        <v>0</v>
      </c>
      <c r="S343" s="315">
        <f t="shared" si="62"/>
        <v>0</v>
      </c>
    </row>
    <row r="344" spans="1:19">
      <c r="A344" s="150"/>
      <c r="B344" s="54"/>
      <c r="C344" s="21">
        <f t="shared" si="52"/>
        <v>1</v>
      </c>
      <c r="D344" s="666"/>
      <c r="E344" s="21">
        <f t="shared" si="53"/>
        <v>0</v>
      </c>
      <c r="F344" s="666"/>
      <c r="G344" s="21">
        <f t="shared" si="54"/>
        <v>0.2</v>
      </c>
      <c r="H344" s="666"/>
      <c r="I344" s="21">
        <f t="shared" si="55"/>
        <v>1</v>
      </c>
      <c r="J344" s="666"/>
      <c r="K344" s="21">
        <f t="shared" si="56"/>
        <v>1</v>
      </c>
      <c r="L344" s="666"/>
      <c r="M344" s="21">
        <f t="shared" si="57"/>
        <v>1</v>
      </c>
      <c r="N344" s="666"/>
      <c r="O344" s="21">
        <f t="shared" si="58"/>
        <v>1</v>
      </c>
      <c r="P344" s="666"/>
      <c r="Q344" s="21">
        <f t="shared" si="59"/>
        <v>1</v>
      </c>
      <c r="R344" s="662">
        <f t="shared" si="60"/>
        <v>0</v>
      </c>
      <c r="S344" s="315">
        <f t="shared" si="62"/>
        <v>0</v>
      </c>
    </row>
    <row r="345" spans="1:19">
      <c r="A345" s="150"/>
      <c r="B345" s="54"/>
      <c r="C345" s="21">
        <f t="shared" si="52"/>
        <v>1</v>
      </c>
      <c r="D345" s="666"/>
      <c r="E345" s="21">
        <f t="shared" si="53"/>
        <v>0</v>
      </c>
      <c r="F345" s="666"/>
      <c r="G345" s="21">
        <f t="shared" si="54"/>
        <v>0.2</v>
      </c>
      <c r="H345" s="666"/>
      <c r="I345" s="21">
        <f t="shared" si="55"/>
        <v>1</v>
      </c>
      <c r="J345" s="666"/>
      <c r="K345" s="21">
        <f t="shared" si="56"/>
        <v>1</v>
      </c>
      <c r="L345" s="666"/>
      <c r="M345" s="21">
        <f t="shared" si="57"/>
        <v>1</v>
      </c>
      <c r="N345" s="666"/>
      <c r="O345" s="21">
        <f t="shared" si="58"/>
        <v>1</v>
      </c>
      <c r="P345" s="666"/>
      <c r="Q345" s="21">
        <f t="shared" si="59"/>
        <v>1</v>
      </c>
      <c r="R345" s="662">
        <f t="shared" si="60"/>
        <v>0</v>
      </c>
      <c r="S345" s="315">
        <f t="shared" si="62"/>
        <v>0</v>
      </c>
    </row>
    <row r="346" spans="1:19">
      <c r="A346" s="150"/>
      <c r="B346" s="54"/>
      <c r="C346" s="21">
        <f t="shared" ref="C346:C409" si="63">IF(B346="",1,(LOOKUP(B346,$3:$3,$4:$4)-LOOKUP($B$24,$3:$3,$4:$4)+100)/100)</f>
        <v>1</v>
      </c>
      <c r="D346" s="666"/>
      <c r="E346" s="21">
        <f t="shared" ref="E346:E409" si="64">(SUMIF($5:$5,D346,$6:$6)-SUMIF($5:$5,$D$24,$6:$6)+100)/100</f>
        <v>0</v>
      </c>
      <c r="F346" s="666"/>
      <c r="G346" s="21">
        <f t="shared" ref="G346:G409" si="65">(SUMIF($7:$7,F346,$8:$8)-SUMIF($7:$7,$F$24,$8:$8)+100)/100</f>
        <v>0.2</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666"/>
      <c r="Q346" s="21">
        <f t="shared" ref="Q346:Q409" si="70">(SUMIF($17:$17,P346,$18:$18)-SUMIF($17:$17,$P$24,$18:$18)+100)/100</f>
        <v>1</v>
      </c>
      <c r="R346" s="662">
        <f t="shared" ref="R346:R409" si="71">IF(B346="",0,ROUND($R$24*C346*E346*G346*I346*K346*M346*O346*Q346,0))</f>
        <v>0</v>
      </c>
      <c r="S346" s="315">
        <f t="shared" si="62"/>
        <v>0</v>
      </c>
    </row>
    <row r="347" spans="1:19">
      <c r="A347" s="150"/>
      <c r="B347" s="54"/>
      <c r="C347" s="21">
        <f t="shared" si="63"/>
        <v>1</v>
      </c>
      <c r="D347" s="666"/>
      <c r="E347" s="21">
        <f t="shared" si="64"/>
        <v>0</v>
      </c>
      <c r="F347" s="666"/>
      <c r="G347" s="21">
        <f t="shared" si="65"/>
        <v>0.2</v>
      </c>
      <c r="H347" s="666"/>
      <c r="I347" s="21">
        <f t="shared" si="66"/>
        <v>1</v>
      </c>
      <c r="J347" s="666"/>
      <c r="K347" s="21">
        <f t="shared" si="67"/>
        <v>1</v>
      </c>
      <c r="L347" s="666"/>
      <c r="M347" s="21">
        <f t="shared" si="68"/>
        <v>1</v>
      </c>
      <c r="N347" s="666"/>
      <c r="O347" s="21">
        <f t="shared" si="69"/>
        <v>1</v>
      </c>
      <c r="P347" s="666"/>
      <c r="Q347" s="21">
        <f t="shared" si="70"/>
        <v>1</v>
      </c>
      <c r="R347" s="662">
        <f t="shared" si="71"/>
        <v>0</v>
      </c>
      <c r="S347" s="315">
        <f t="shared" si="62"/>
        <v>0</v>
      </c>
    </row>
    <row r="348" spans="1:19">
      <c r="A348" s="150"/>
      <c r="B348" s="54"/>
      <c r="C348" s="21">
        <f t="shared" si="63"/>
        <v>1</v>
      </c>
      <c r="D348" s="666"/>
      <c r="E348" s="21">
        <f t="shared" si="64"/>
        <v>0</v>
      </c>
      <c r="F348" s="666"/>
      <c r="G348" s="21">
        <f t="shared" si="65"/>
        <v>0.2</v>
      </c>
      <c r="H348" s="666"/>
      <c r="I348" s="21">
        <f t="shared" si="66"/>
        <v>1</v>
      </c>
      <c r="J348" s="666"/>
      <c r="K348" s="21">
        <f t="shared" si="67"/>
        <v>1</v>
      </c>
      <c r="L348" s="666"/>
      <c r="M348" s="21">
        <f t="shared" si="68"/>
        <v>1</v>
      </c>
      <c r="N348" s="666"/>
      <c r="O348" s="21">
        <f t="shared" si="69"/>
        <v>1</v>
      </c>
      <c r="P348" s="666"/>
      <c r="Q348" s="21">
        <f t="shared" si="70"/>
        <v>1</v>
      </c>
      <c r="R348" s="662">
        <f t="shared" si="71"/>
        <v>0</v>
      </c>
      <c r="S348" s="315">
        <f t="shared" si="62"/>
        <v>0</v>
      </c>
    </row>
    <row r="349" spans="1:19">
      <c r="A349" s="150"/>
      <c r="B349" s="54"/>
      <c r="C349" s="21">
        <f t="shared" si="63"/>
        <v>1</v>
      </c>
      <c r="D349" s="666"/>
      <c r="E349" s="21">
        <f t="shared" si="64"/>
        <v>0</v>
      </c>
      <c r="F349" s="666"/>
      <c r="G349" s="21">
        <f t="shared" si="65"/>
        <v>0.2</v>
      </c>
      <c r="H349" s="666"/>
      <c r="I349" s="21">
        <f t="shared" si="66"/>
        <v>1</v>
      </c>
      <c r="J349" s="666"/>
      <c r="K349" s="21">
        <f t="shared" si="67"/>
        <v>1</v>
      </c>
      <c r="L349" s="666"/>
      <c r="M349" s="21">
        <f t="shared" si="68"/>
        <v>1</v>
      </c>
      <c r="N349" s="666"/>
      <c r="O349" s="21">
        <f t="shared" si="69"/>
        <v>1</v>
      </c>
      <c r="P349" s="666"/>
      <c r="Q349" s="21">
        <f t="shared" si="70"/>
        <v>1</v>
      </c>
      <c r="R349" s="662">
        <f t="shared" si="71"/>
        <v>0</v>
      </c>
      <c r="S349" s="315">
        <f t="shared" si="62"/>
        <v>0</v>
      </c>
    </row>
    <row r="350" spans="1:19">
      <c r="A350" s="150"/>
      <c r="B350" s="54"/>
      <c r="C350" s="21">
        <f t="shared" si="63"/>
        <v>1</v>
      </c>
      <c r="D350" s="666"/>
      <c r="E350" s="21">
        <f t="shared" si="64"/>
        <v>0</v>
      </c>
      <c r="F350" s="666"/>
      <c r="G350" s="21">
        <f t="shared" si="65"/>
        <v>0.2</v>
      </c>
      <c r="H350" s="666"/>
      <c r="I350" s="21">
        <f t="shared" si="66"/>
        <v>1</v>
      </c>
      <c r="J350" s="666"/>
      <c r="K350" s="21">
        <f t="shared" si="67"/>
        <v>1</v>
      </c>
      <c r="L350" s="666"/>
      <c r="M350" s="21">
        <f t="shared" si="68"/>
        <v>1</v>
      </c>
      <c r="N350" s="666"/>
      <c r="O350" s="21">
        <f t="shared" si="69"/>
        <v>1</v>
      </c>
      <c r="P350" s="666"/>
      <c r="Q350" s="21">
        <f t="shared" si="70"/>
        <v>1</v>
      </c>
      <c r="R350" s="662">
        <f t="shared" si="71"/>
        <v>0</v>
      </c>
      <c r="S350" s="315">
        <f t="shared" si="62"/>
        <v>0</v>
      </c>
    </row>
    <row r="351" spans="1:19">
      <c r="A351" s="150"/>
      <c r="B351" s="54"/>
      <c r="C351" s="21">
        <f t="shared" si="63"/>
        <v>1</v>
      </c>
      <c r="D351" s="666"/>
      <c r="E351" s="21">
        <f t="shared" si="64"/>
        <v>0</v>
      </c>
      <c r="F351" s="666"/>
      <c r="G351" s="21">
        <f t="shared" si="65"/>
        <v>0.2</v>
      </c>
      <c r="H351" s="666"/>
      <c r="I351" s="21">
        <f t="shared" si="66"/>
        <v>1</v>
      </c>
      <c r="J351" s="666"/>
      <c r="K351" s="21">
        <f t="shared" si="67"/>
        <v>1</v>
      </c>
      <c r="L351" s="666"/>
      <c r="M351" s="21">
        <f t="shared" si="68"/>
        <v>1</v>
      </c>
      <c r="N351" s="666"/>
      <c r="O351" s="21">
        <f t="shared" si="69"/>
        <v>1</v>
      </c>
      <c r="P351" s="666"/>
      <c r="Q351" s="21">
        <f t="shared" si="70"/>
        <v>1</v>
      </c>
      <c r="R351" s="662">
        <f t="shared" si="71"/>
        <v>0</v>
      </c>
      <c r="S351" s="315">
        <f t="shared" si="62"/>
        <v>0</v>
      </c>
    </row>
    <row r="352" spans="1:19">
      <c r="A352" s="150"/>
      <c r="B352" s="54"/>
      <c r="C352" s="21">
        <f t="shared" si="63"/>
        <v>1</v>
      </c>
      <c r="D352" s="666"/>
      <c r="E352" s="21">
        <f t="shared" si="64"/>
        <v>0</v>
      </c>
      <c r="F352" s="666"/>
      <c r="G352" s="21">
        <f t="shared" si="65"/>
        <v>0.2</v>
      </c>
      <c r="H352" s="666"/>
      <c r="I352" s="21">
        <f t="shared" si="66"/>
        <v>1</v>
      </c>
      <c r="J352" s="666"/>
      <c r="K352" s="21">
        <f t="shared" si="67"/>
        <v>1</v>
      </c>
      <c r="L352" s="666"/>
      <c r="M352" s="21">
        <f t="shared" si="68"/>
        <v>1</v>
      </c>
      <c r="N352" s="666"/>
      <c r="O352" s="21">
        <f t="shared" si="69"/>
        <v>1</v>
      </c>
      <c r="P352" s="666"/>
      <c r="Q352" s="21">
        <f t="shared" si="70"/>
        <v>1</v>
      </c>
      <c r="R352" s="662">
        <f t="shared" si="71"/>
        <v>0</v>
      </c>
      <c r="S352" s="315">
        <f t="shared" si="62"/>
        <v>0</v>
      </c>
    </row>
    <row r="353" spans="1:19">
      <c r="A353" s="150"/>
      <c r="B353" s="54"/>
      <c r="C353" s="21">
        <f t="shared" si="63"/>
        <v>1</v>
      </c>
      <c r="D353" s="666"/>
      <c r="E353" s="21">
        <f t="shared" si="64"/>
        <v>0</v>
      </c>
      <c r="F353" s="666"/>
      <c r="G353" s="21">
        <f t="shared" si="65"/>
        <v>0.2</v>
      </c>
      <c r="H353" s="666"/>
      <c r="I353" s="21">
        <f t="shared" si="66"/>
        <v>1</v>
      </c>
      <c r="J353" s="666"/>
      <c r="K353" s="21">
        <f t="shared" si="67"/>
        <v>1</v>
      </c>
      <c r="L353" s="666"/>
      <c r="M353" s="21">
        <f t="shared" si="68"/>
        <v>1</v>
      </c>
      <c r="N353" s="666"/>
      <c r="O353" s="21">
        <f t="shared" si="69"/>
        <v>1</v>
      </c>
      <c r="P353" s="666"/>
      <c r="Q353" s="21">
        <f t="shared" si="70"/>
        <v>1</v>
      </c>
      <c r="R353" s="662">
        <f t="shared" si="71"/>
        <v>0</v>
      </c>
      <c r="S353" s="315">
        <f t="shared" si="62"/>
        <v>0</v>
      </c>
    </row>
    <row r="354" spans="1:19">
      <c r="A354" s="150"/>
      <c r="B354" s="54"/>
      <c r="C354" s="21">
        <f t="shared" si="63"/>
        <v>1</v>
      </c>
      <c r="D354" s="666"/>
      <c r="E354" s="21">
        <f t="shared" si="64"/>
        <v>0</v>
      </c>
      <c r="F354" s="666"/>
      <c r="G354" s="21">
        <f t="shared" si="65"/>
        <v>0.2</v>
      </c>
      <c r="H354" s="666"/>
      <c r="I354" s="21">
        <f t="shared" si="66"/>
        <v>1</v>
      </c>
      <c r="J354" s="666"/>
      <c r="K354" s="21">
        <f t="shared" si="67"/>
        <v>1</v>
      </c>
      <c r="L354" s="666"/>
      <c r="M354" s="21">
        <f t="shared" si="68"/>
        <v>1</v>
      </c>
      <c r="N354" s="666"/>
      <c r="O354" s="21">
        <f t="shared" si="69"/>
        <v>1</v>
      </c>
      <c r="P354" s="666"/>
      <c r="Q354" s="21">
        <f t="shared" si="70"/>
        <v>1</v>
      </c>
      <c r="R354" s="662">
        <f t="shared" si="71"/>
        <v>0</v>
      </c>
      <c r="S354" s="315">
        <f t="shared" si="62"/>
        <v>0</v>
      </c>
    </row>
    <row r="355" spans="1:19">
      <c r="A355" s="150"/>
      <c r="B355" s="54"/>
      <c r="C355" s="21">
        <f t="shared" si="63"/>
        <v>1</v>
      </c>
      <c r="D355" s="666"/>
      <c r="E355" s="21">
        <f t="shared" si="64"/>
        <v>0</v>
      </c>
      <c r="F355" s="666"/>
      <c r="G355" s="21">
        <f t="shared" si="65"/>
        <v>0.2</v>
      </c>
      <c r="H355" s="666"/>
      <c r="I355" s="21">
        <f t="shared" si="66"/>
        <v>1</v>
      </c>
      <c r="J355" s="666"/>
      <c r="K355" s="21">
        <f t="shared" si="67"/>
        <v>1</v>
      </c>
      <c r="L355" s="666"/>
      <c r="M355" s="21">
        <f t="shared" si="68"/>
        <v>1</v>
      </c>
      <c r="N355" s="666"/>
      <c r="O355" s="21">
        <f t="shared" si="69"/>
        <v>1</v>
      </c>
      <c r="P355" s="666"/>
      <c r="Q355" s="21">
        <f t="shared" si="70"/>
        <v>1</v>
      </c>
      <c r="R355" s="662">
        <f t="shared" si="71"/>
        <v>0</v>
      </c>
      <c r="S355" s="315">
        <f t="shared" si="62"/>
        <v>0</v>
      </c>
    </row>
    <row r="356" spans="1:19">
      <c r="A356" s="150"/>
      <c r="B356" s="54"/>
      <c r="C356" s="21">
        <f t="shared" si="63"/>
        <v>1</v>
      </c>
      <c r="D356" s="666"/>
      <c r="E356" s="21">
        <f t="shared" si="64"/>
        <v>0</v>
      </c>
      <c r="F356" s="666"/>
      <c r="G356" s="21">
        <f t="shared" si="65"/>
        <v>0.2</v>
      </c>
      <c r="H356" s="666"/>
      <c r="I356" s="21">
        <f t="shared" si="66"/>
        <v>1</v>
      </c>
      <c r="J356" s="666"/>
      <c r="K356" s="21">
        <f t="shared" si="67"/>
        <v>1</v>
      </c>
      <c r="L356" s="666"/>
      <c r="M356" s="21">
        <f t="shared" si="68"/>
        <v>1</v>
      </c>
      <c r="N356" s="666"/>
      <c r="O356" s="21">
        <f t="shared" si="69"/>
        <v>1</v>
      </c>
      <c r="P356" s="666"/>
      <c r="Q356" s="21">
        <f t="shared" si="70"/>
        <v>1</v>
      </c>
      <c r="R356" s="662">
        <f t="shared" si="71"/>
        <v>0</v>
      </c>
      <c r="S356" s="315">
        <f t="shared" si="62"/>
        <v>0</v>
      </c>
    </row>
    <row r="357" spans="1:19">
      <c r="A357" s="150"/>
      <c r="B357" s="54"/>
      <c r="C357" s="21">
        <f t="shared" si="63"/>
        <v>1</v>
      </c>
      <c r="D357" s="666"/>
      <c r="E357" s="21">
        <f t="shared" si="64"/>
        <v>0</v>
      </c>
      <c r="F357" s="666"/>
      <c r="G357" s="21">
        <f t="shared" si="65"/>
        <v>0.2</v>
      </c>
      <c r="H357" s="666"/>
      <c r="I357" s="21">
        <f t="shared" si="66"/>
        <v>1</v>
      </c>
      <c r="J357" s="666"/>
      <c r="K357" s="21">
        <f t="shared" si="67"/>
        <v>1</v>
      </c>
      <c r="L357" s="666"/>
      <c r="M357" s="21">
        <f t="shared" si="68"/>
        <v>1</v>
      </c>
      <c r="N357" s="666"/>
      <c r="O357" s="21">
        <f t="shared" si="69"/>
        <v>1</v>
      </c>
      <c r="P357" s="666"/>
      <c r="Q357" s="21">
        <f t="shared" si="70"/>
        <v>1</v>
      </c>
      <c r="R357" s="662">
        <f t="shared" si="71"/>
        <v>0</v>
      </c>
      <c r="S357" s="315">
        <f t="shared" si="62"/>
        <v>0</v>
      </c>
    </row>
    <row r="358" spans="1:19">
      <c r="A358" s="150"/>
      <c r="B358" s="54"/>
      <c r="C358" s="21">
        <f t="shared" si="63"/>
        <v>1</v>
      </c>
      <c r="D358" s="666"/>
      <c r="E358" s="21">
        <f t="shared" si="64"/>
        <v>0</v>
      </c>
      <c r="F358" s="666"/>
      <c r="G358" s="21">
        <f t="shared" si="65"/>
        <v>0.2</v>
      </c>
      <c r="H358" s="666"/>
      <c r="I358" s="21">
        <f t="shared" si="66"/>
        <v>1</v>
      </c>
      <c r="J358" s="666"/>
      <c r="K358" s="21">
        <f t="shared" si="67"/>
        <v>1</v>
      </c>
      <c r="L358" s="666"/>
      <c r="M358" s="21">
        <f t="shared" si="68"/>
        <v>1</v>
      </c>
      <c r="N358" s="666"/>
      <c r="O358" s="21">
        <f t="shared" si="69"/>
        <v>1</v>
      </c>
      <c r="P358" s="666"/>
      <c r="Q358" s="21">
        <f t="shared" si="70"/>
        <v>1</v>
      </c>
      <c r="R358" s="662">
        <f t="shared" si="71"/>
        <v>0</v>
      </c>
      <c r="S358" s="315">
        <f t="shared" si="62"/>
        <v>0</v>
      </c>
    </row>
    <row r="359" spans="1:19">
      <c r="A359" s="150"/>
      <c r="B359" s="54"/>
      <c r="C359" s="21">
        <f t="shared" si="63"/>
        <v>1</v>
      </c>
      <c r="D359" s="666"/>
      <c r="E359" s="21">
        <f t="shared" si="64"/>
        <v>0</v>
      </c>
      <c r="F359" s="666"/>
      <c r="G359" s="21">
        <f t="shared" si="65"/>
        <v>0.2</v>
      </c>
      <c r="H359" s="666"/>
      <c r="I359" s="21">
        <f t="shared" si="66"/>
        <v>1</v>
      </c>
      <c r="J359" s="666"/>
      <c r="K359" s="21">
        <f t="shared" si="67"/>
        <v>1</v>
      </c>
      <c r="L359" s="666"/>
      <c r="M359" s="21">
        <f t="shared" si="68"/>
        <v>1</v>
      </c>
      <c r="N359" s="666"/>
      <c r="O359" s="21">
        <f t="shared" si="69"/>
        <v>1</v>
      </c>
      <c r="P359" s="666"/>
      <c r="Q359" s="21">
        <f t="shared" si="70"/>
        <v>1</v>
      </c>
      <c r="R359" s="662">
        <f t="shared" si="71"/>
        <v>0</v>
      </c>
      <c r="S359" s="315">
        <f t="shared" si="62"/>
        <v>0</v>
      </c>
    </row>
    <row r="360" spans="1:19">
      <c r="A360" s="150"/>
      <c r="B360" s="54"/>
      <c r="C360" s="21">
        <f t="shared" si="63"/>
        <v>1</v>
      </c>
      <c r="D360" s="666"/>
      <c r="E360" s="21">
        <f t="shared" si="64"/>
        <v>0</v>
      </c>
      <c r="F360" s="666"/>
      <c r="G360" s="21">
        <f t="shared" si="65"/>
        <v>0.2</v>
      </c>
      <c r="H360" s="666"/>
      <c r="I360" s="21">
        <f t="shared" si="66"/>
        <v>1</v>
      </c>
      <c r="J360" s="666"/>
      <c r="K360" s="21">
        <f t="shared" si="67"/>
        <v>1</v>
      </c>
      <c r="L360" s="666"/>
      <c r="M360" s="21">
        <f t="shared" si="68"/>
        <v>1</v>
      </c>
      <c r="N360" s="666"/>
      <c r="O360" s="21">
        <f t="shared" si="69"/>
        <v>1</v>
      </c>
      <c r="P360" s="666"/>
      <c r="Q360" s="21">
        <f t="shared" si="70"/>
        <v>1</v>
      </c>
      <c r="R360" s="662">
        <f t="shared" si="71"/>
        <v>0</v>
      </c>
      <c r="S360" s="315">
        <f t="shared" si="62"/>
        <v>0</v>
      </c>
    </row>
    <row r="361" spans="1:19">
      <c r="A361" s="150"/>
      <c r="B361" s="54"/>
      <c r="C361" s="21">
        <f t="shared" si="63"/>
        <v>1</v>
      </c>
      <c r="D361" s="666"/>
      <c r="E361" s="21">
        <f t="shared" si="64"/>
        <v>0</v>
      </c>
      <c r="F361" s="666"/>
      <c r="G361" s="21">
        <f t="shared" si="65"/>
        <v>0.2</v>
      </c>
      <c r="H361" s="666"/>
      <c r="I361" s="21">
        <f t="shared" si="66"/>
        <v>1</v>
      </c>
      <c r="J361" s="666"/>
      <c r="K361" s="21">
        <f t="shared" si="67"/>
        <v>1</v>
      </c>
      <c r="L361" s="666"/>
      <c r="M361" s="21">
        <f t="shared" si="68"/>
        <v>1</v>
      </c>
      <c r="N361" s="666"/>
      <c r="O361" s="21">
        <f t="shared" si="69"/>
        <v>1</v>
      </c>
      <c r="P361" s="666"/>
      <c r="Q361" s="21">
        <f t="shared" si="70"/>
        <v>1</v>
      </c>
      <c r="R361" s="662">
        <f t="shared" si="71"/>
        <v>0</v>
      </c>
      <c r="S361" s="315">
        <f t="shared" si="62"/>
        <v>0</v>
      </c>
    </row>
    <row r="362" spans="1:19">
      <c r="A362" s="150"/>
      <c r="B362" s="54"/>
      <c r="C362" s="21">
        <f t="shared" si="63"/>
        <v>1</v>
      </c>
      <c r="D362" s="666"/>
      <c r="E362" s="21">
        <f t="shared" si="64"/>
        <v>0</v>
      </c>
      <c r="F362" s="666"/>
      <c r="G362" s="21">
        <f t="shared" si="65"/>
        <v>0.2</v>
      </c>
      <c r="H362" s="666"/>
      <c r="I362" s="21">
        <f t="shared" si="66"/>
        <v>1</v>
      </c>
      <c r="J362" s="666"/>
      <c r="K362" s="21">
        <f t="shared" si="67"/>
        <v>1</v>
      </c>
      <c r="L362" s="666"/>
      <c r="M362" s="21">
        <f t="shared" si="68"/>
        <v>1</v>
      </c>
      <c r="N362" s="666"/>
      <c r="O362" s="21">
        <f t="shared" si="69"/>
        <v>1</v>
      </c>
      <c r="P362" s="666"/>
      <c r="Q362" s="21">
        <f t="shared" si="70"/>
        <v>1</v>
      </c>
      <c r="R362" s="662">
        <f t="shared" si="71"/>
        <v>0</v>
      </c>
      <c r="S362" s="315">
        <f t="shared" si="62"/>
        <v>0</v>
      </c>
    </row>
    <row r="363" spans="1:19">
      <c r="A363" s="150"/>
      <c r="B363" s="54"/>
      <c r="C363" s="21">
        <f t="shared" si="63"/>
        <v>1</v>
      </c>
      <c r="D363" s="666"/>
      <c r="E363" s="21">
        <f t="shared" si="64"/>
        <v>0</v>
      </c>
      <c r="F363" s="666"/>
      <c r="G363" s="21">
        <f t="shared" si="65"/>
        <v>0.2</v>
      </c>
      <c r="H363" s="666"/>
      <c r="I363" s="21">
        <f t="shared" si="66"/>
        <v>1</v>
      </c>
      <c r="J363" s="666"/>
      <c r="K363" s="21">
        <f t="shared" si="67"/>
        <v>1</v>
      </c>
      <c r="L363" s="666"/>
      <c r="M363" s="21">
        <f t="shared" si="68"/>
        <v>1</v>
      </c>
      <c r="N363" s="666"/>
      <c r="O363" s="21">
        <f t="shared" si="69"/>
        <v>1</v>
      </c>
      <c r="P363" s="666"/>
      <c r="Q363" s="21">
        <f t="shared" si="70"/>
        <v>1</v>
      </c>
      <c r="R363" s="662">
        <f t="shared" si="71"/>
        <v>0</v>
      </c>
      <c r="S363" s="315">
        <f t="shared" si="62"/>
        <v>0</v>
      </c>
    </row>
    <row r="364" spans="1:19">
      <c r="A364" s="150"/>
      <c r="B364" s="54"/>
      <c r="C364" s="21">
        <f t="shared" si="63"/>
        <v>1</v>
      </c>
      <c r="D364" s="666"/>
      <c r="E364" s="21">
        <f t="shared" si="64"/>
        <v>0</v>
      </c>
      <c r="F364" s="666"/>
      <c r="G364" s="21">
        <f t="shared" si="65"/>
        <v>0.2</v>
      </c>
      <c r="H364" s="666"/>
      <c r="I364" s="21">
        <f t="shared" si="66"/>
        <v>1</v>
      </c>
      <c r="J364" s="666"/>
      <c r="K364" s="21">
        <f t="shared" si="67"/>
        <v>1</v>
      </c>
      <c r="L364" s="666"/>
      <c r="M364" s="21">
        <f t="shared" si="68"/>
        <v>1</v>
      </c>
      <c r="N364" s="666"/>
      <c r="O364" s="21">
        <f t="shared" si="69"/>
        <v>1</v>
      </c>
      <c r="P364" s="666"/>
      <c r="Q364" s="21">
        <f t="shared" si="70"/>
        <v>1</v>
      </c>
      <c r="R364" s="662">
        <f t="shared" si="71"/>
        <v>0</v>
      </c>
      <c r="S364" s="315">
        <f t="shared" si="62"/>
        <v>0</v>
      </c>
    </row>
    <row r="365" spans="1:19">
      <c r="A365" s="150"/>
      <c r="B365" s="54"/>
      <c r="C365" s="21">
        <f t="shared" si="63"/>
        <v>1</v>
      </c>
      <c r="D365" s="666"/>
      <c r="E365" s="21">
        <f t="shared" si="64"/>
        <v>0</v>
      </c>
      <c r="F365" s="666"/>
      <c r="G365" s="21">
        <f t="shared" si="65"/>
        <v>0.2</v>
      </c>
      <c r="H365" s="666"/>
      <c r="I365" s="21">
        <f t="shared" si="66"/>
        <v>1</v>
      </c>
      <c r="J365" s="666"/>
      <c r="K365" s="21">
        <f t="shared" si="67"/>
        <v>1</v>
      </c>
      <c r="L365" s="666"/>
      <c r="M365" s="21">
        <f t="shared" si="68"/>
        <v>1</v>
      </c>
      <c r="N365" s="666"/>
      <c r="O365" s="21">
        <f t="shared" si="69"/>
        <v>1</v>
      </c>
      <c r="P365" s="666"/>
      <c r="Q365" s="21">
        <f t="shared" si="70"/>
        <v>1</v>
      </c>
      <c r="R365" s="662">
        <f t="shared" si="71"/>
        <v>0</v>
      </c>
      <c r="S365" s="315">
        <f t="shared" si="62"/>
        <v>0</v>
      </c>
    </row>
    <row r="366" spans="1:19">
      <c r="A366" s="150"/>
      <c r="B366" s="54"/>
      <c r="C366" s="21">
        <f t="shared" si="63"/>
        <v>1</v>
      </c>
      <c r="D366" s="666"/>
      <c r="E366" s="21">
        <f t="shared" si="64"/>
        <v>0</v>
      </c>
      <c r="F366" s="666"/>
      <c r="G366" s="21">
        <f t="shared" si="65"/>
        <v>0.2</v>
      </c>
      <c r="H366" s="666"/>
      <c r="I366" s="21">
        <f t="shared" si="66"/>
        <v>1</v>
      </c>
      <c r="J366" s="666"/>
      <c r="K366" s="21">
        <f t="shared" si="67"/>
        <v>1</v>
      </c>
      <c r="L366" s="666"/>
      <c r="M366" s="21">
        <f t="shared" si="68"/>
        <v>1</v>
      </c>
      <c r="N366" s="666"/>
      <c r="O366" s="21">
        <f t="shared" si="69"/>
        <v>1</v>
      </c>
      <c r="P366" s="666"/>
      <c r="Q366" s="21">
        <f t="shared" si="70"/>
        <v>1</v>
      </c>
      <c r="R366" s="662">
        <f t="shared" si="71"/>
        <v>0</v>
      </c>
      <c r="S366" s="315">
        <f t="shared" si="62"/>
        <v>0</v>
      </c>
    </row>
    <row r="367" spans="1:19">
      <c r="A367" s="150"/>
      <c r="B367" s="54"/>
      <c r="C367" s="21">
        <f t="shared" si="63"/>
        <v>1</v>
      </c>
      <c r="D367" s="666"/>
      <c r="E367" s="21">
        <f t="shared" si="64"/>
        <v>0</v>
      </c>
      <c r="F367" s="666"/>
      <c r="G367" s="21">
        <f t="shared" si="65"/>
        <v>0.2</v>
      </c>
      <c r="H367" s="666"/>
      <c r="I367" s="21">
        <f t="shared" si="66"/>
        <v>1</v>
      </c>
      <c r="J367" s="666"/>
      <c r="K367" s="21">
        <f t="shared" si="67"/>
        <v>1</v>
      </c>
      <c r="L367" s="666"/>
      <c r="M367" s="21">
        <f t="shared" si="68"/>
        <v>1</v>
      </c>
      <c r="N367" s="666"/>
      <c r="O367" s="21">
        <f t="shared" si="69"/>
        <v>1</v>
      </c>
      <c r="P367" s="666"/>
      <c r="Q367" s="21">
        <f t="shared" si="70"/>
        <v>1</v>
      </c>
      <c r="R367" s="662">
        <f t="shared" si="71"/>
        <v>0</v>
      </c>
      <c r="S367" s="315">
        <f t="shared" si="62"/>
        <v>0</v>
      </c>
    </row>
    <row r="368" spans="1:19">
      <c r="A368" s="150"/>
      <c r="B368" s="54"/>
      <c r="C368" s="21">
        <f t="shared" si="63"/>
        <v>1</v>
      </c>
      <c r="D368" s="666"/>
      <c r="E368" s="21">
        <f t="shared" si="64"/>
        <v>0</v>
      </c>
      <c r="F368" s="666"/>
      <c r="G368" s="21">
        <f t="shared" si="65"/>
        <v>0.2</v>
      </c>
      <c r="H368" s="666"/>
      <c r="I368" s="21">
        <f t="shared" si="66"/>
        <v>1</v>
      </c>
      <c r="J368" s="666"/>
      <c r="K368" s="21">
        <f t="shared" si="67"/>
        <v>1</v>
      </c>
      <c r="L368" s="666"/>
      <c r="M368" s="21">
        <f t="shared" si="68"/>
        <v>1</v>
      </c>
      <c r="N368" s="666"/>
      <c r="O368" s="21">
        <f t="shared" si="69"/>
        <v>1</v>
      </c>
      <c r="P368" s="666"/>
      <c r="Q368" s="21">
        <f t="shared" si="70"/>
        <v>1</v>
      </c>
      <c r="R368" s="662">
        <f t="shared" si="71"/>
        <v>0</v>
      </c>
      <c r="S368" s="315">
        <f t="shared" si="62"/>
        <v>0</v>
      </c>
    </row>
    <row r="369" spans="1:19">
      <c r="A369" s="150"/>
      <c r="B369" s="54"/>
      <c r="C369" s="21">
        <f t="shared" si="63"/>
        <v>1</v>
      </c>
      <c r="D369" s="666"/>
      <c r="E369" s="21">
        <f t="shared" si="64"/>
        <v>0</v>
      </c>
      <c r="F369" s="666"/>
      <c r="G369" s="21">
        <f t="shared" si="65"/>
        <v>0.2</v>
      </c>
      <c r="H369" s="666"/>
      <c r="I369" s="21">
        <f t="shared" si="66"/>
        <v>1</v>
      </c>
      <c r="J369" s="666"/>
      <c r="K369" s="21">
        <f t="shared" si="67"/>
        <v>1</v>
      </c>
      <c r="L369" s="666"/>
      <c r="M369" s="21">
        <f t="shared" si="68"/>
        <v>1</v>
      </c>
      <c r="N369" s="666"/>
      <c r="O369" s="21">
        <f t="shared" si="69"/>
        <v>1</v>
      </c>
      <c r="P369" s="666"/>
      <c r="Q369" s="21">
        <f t="shared" si="70"/>
        <v>1</v>
      </c>
      <c r="R369" s="662">
        <f t="shared" si="71"/>
        <v>0</v>
      </c>
      <c r="S369" s="315">
        <f t="shared" si="62"/>
        <v>0</v>
      </c>
    </row>
    <row r="370" spans="1:19">
      <c r="A370" s="150"/>
      <c r="B370" s="54"/>
      <c r="C370" s="21">
        <f t="shared" si="63"/>
        <v>1</v>
      </c>
      <c r="D370" s="666"/>
      <c r="E370" s="21">
        <f t="shared" si="64"/>
        <v>0</v>
      </c>
      <c r="F370" s="666"/>
      <c r="G370" s="21">
        <f t="shared" si="65"/>
        <v>0.2</v>
      </c>
      <c r="H370" s="666"/>
      <c r="I370" s="21">
        <f t="shared" si="66"/>
        <v>1</v>
      </c>
      <c r="J370" s="666"/>
      <c r="K370" s="21">
        <f t="shared" si="67"/>
        <v>1</v>
      </c>
      <c r="L370" s="666"/>
      <c r="M370" s="21">
        <f t="shared" si="68"/>
        <v>1</v>
      </c>
      <c r="N370" s="666"/>
      <c r="O370" s="21">
        <f t="shared" si="69"/>
        <v>1</v>
      </c>
      <c r="P370" s="666"/>
      <c r="Q370" s="21">
        <f t="shared" si="70"/>
        <v>1</v>
      </c>
      <c r="R370" s="662">
        <f t="shared" si="71"/>
        <v>0</v>
      </c>
      <c r="S370" s="315">
        <f t="shared" si="62"/>
        <v>0</v>
      </c>
    </row>
    <row r="371" spans="1:19">
      <c r="A371" s="150"/>
      <c r="B371" s="54"/>
      <c r="C371" s="21">
        <f t="shared" si="63"/>
        <v>1</v>
      </c>
      <c r="D371" s="666"/>
      <c r="E371" s="21">
        <f t="shared" si="64"/>
        <v>0</v>
      </c>
      <c r="F371" s="666"/>
      <c r="G371" s="21">
        <f t="shared" si="65"/>
        <v>0.2</v>
      </c>
      <c r="H371" s="666"/>
      <c r="I371" s="21">
        <f t="shared" si="66"/>
        <v>1</v>
      </c>
      <c r="J371" s="666"/>
      <c r="K371" s="21">
        <f t="shared" si="67"/>
        <v>1</v>
      </c>
      <c r="L371" s="666"/>
      <c r="M371" s="21">
        <f t="shared" si="68"/>
        <v>1</v>
      </c>
      <c r="N371" s="666"/>
      <c r="O371" s="21">
        <f t="shared" si="69"/>
        <v>1</v>
      </c>
      <c r="P371" s="666"/>
      <c r="Q371" s="21">
        <f t="shared" si="70"/>
        <v>1</v>
      </c>
      <c r="R371" s="662">
        <f t="shared" si="71"/>
        <v>0</v>
      </c>
      <c r="S371" s="315">
        <f t="shared" si="62"/>
        <v>0</v>
      </c>
    </row>
    <row r="372" spans="1:19">
      <c r="A372" s="150"/>
      <c r="B372" s="54"/>
      <c r="C372" s="21">
        <f t="shared" si="63"/>
        <v>1</v>
      </c>
      <c r="D372" s="666"/>
      <c r="E372" s="21">
        <f t="shared" si="64"/>
        <v>0</v>
      </c>
      <c r="F372" s="666"/>
      <c r="G372" s="21">
        <f t="shared" si="65"/>
        <v>0.2</v>
      </c>
      <c r="H372" s="666"/>
      <c r="I372" s="21">
        <f t="shared" si="66"/>
        <v>1</v>
      </c>
      <c r="J372" s="666"/>
      <c r="K372" s="21">
        <f t="shared" si="67"/>
        <v>1</v>
      </c>
      <c r="L372" s="666"/>
      <c r="M372" s="21">
        <f t="shared" si="68"/>
        <v>1</v>
      </c>
      <c r="N372" s="666"/>
      <c r="O372" s="21">
        <f t="shared" si="69"/>
        <v>1</v>
      </c>
      <c r="P372" s="666"/>
      <c r="Q372" s="21">
        <f t="shared" si="70"/>
        <v>1</v>
      </c>
      <c r="R372" s="662">
        <f t="shared" si="71"/>
        <v>0</v>
      </c>
      <c r="S372" s="315">
        <f t="shared" si="62"/>
        <v>0</v>
      </c>
    </row>
    <row r="373" spans="1:19">
      <c r="A373" s="150"/>
      <c r="B373" s="54"/>
      <c r="C373" s="21">
        <f t="shared" si="63"/>
        <v>1</v>
      </c>
      <c r="D373" s="666"/>
      <c r="E373" s="21">
        <f t="shared" si="64"/>
        <v>0</v>
      </c>
      <c r="F373" s="666"/>
      <c r="G373" s="21">
        <f t="shared" si="65"/>
        <v>0.2</v>
      </c>
      <c r="H373" s="666"/>
      <c r="I373" s="21">
        <f t="shared" si="66"/>
        <v>1</v>
      </c>
      <c r="J373" s="666"/>
      <c r="K373" s="21">
        <f t="shared" si="67"/>
        <v>1</v>
      </c>
      <c r="L373" s="666"/>
      <c r="M373" s="21">
        <f t="shared" si="68"/>
        <v>1</v>
      </c>
      <c r="N373" s="666"/>
      <c r="O373" s="21">
        <f t="shared" si="69"/>
        <v>1</v>
      </c>
      <c r="P373" s="666"/>
      <c r="Q373" s="21">
        <f t="shared" si="70"/>
        <v>1</v>
      </c>
      <c r="R373" s="662">
        <f t="shared" si="71"/>
        <v>0</v>
      </c>
      <c r="S373" s="315">
        <f t="shared" si="62"/>
        <v>0</v>
      </c>
    </row>
    <row r="374" spans="1:19">
      <c r="A374" s="150"/>
      <c r="B374" s="54"/>
      <c r="C374" s="21">
        <f t="shared" si="63"/>
        <v>1</v>
      </c>
      <c r="D374" s="666"/>
      <c r="E374" s="21">
        <f t="shared" si="64"/>
        <v>0</v>
      </c>
      <c r="F374" s="666"/>
      <c r="G374" s="21">
        <f t="shared" si="65"/>
        <v>0.2</v>
      </c>
      <c r="H374" s="666"/>
      <c r="I374" s="21">
        <f t="shared" si="66"/>
        <v>1</v>
      </c>
      <c r="J374" s="666"/>
      <c r="K374" s="21">
        <f t="shared" si="67"/>
        <v>1</v>
      </c>
      <c r="L374" s="666"/>
      <c r="M374" s="21">
        <f t="shared" si="68"/>
        <v>1</v>
      </c>
      <c r="N374" s="666"/>
      <c r="O374" s="21">
        <f t="shared" si="69"/>
        <v>1</v>
      </c>
      <c r="P374" s="666"/>
      <c r="Q374" s="21">
        <f t="shared" si="70"/>
        <v>1</v>
      </c>
      <c r="R374" s="662">
        <f t="shared" si="71"/>
        <v>0</v>
      </c>
      <c r="S374" s="315">
        <f t="shared" si="62"/>
        <v>0</v>
      </c>
    </row>
    <row r="375" spans="1:19">
      <c r="A375" s="150"/>
      <c r="B375" s="54"/>
      <c r="C375" s="21">
        <f t="shared" si="63"/>
        <v>1</v>
      </c>
      <c r="D375" s="666"/>
      <c r="E375" s="21">
        <f t="shared" si="64"/>
        <v>0</v>
      </c>
      <c r="F375" s="666"/>
      <c r="G375" s="21">
        <f t="shared" si="65"/>
        <v>0.2</v>
      </c>
      <c r="H375" s="666"/>
      <c r="I375" s="21">
        <f t="shared" si="66"/>
        <v>1</v>
      </c>
      <c r="J375" s="666"/>
      <c r="K375" s="21">
        <f t="shared" si="67"/>
        <v>1</v>
      </c>
      <c r="L375" s="666"/>
      <c r="M375" s="21">
        <f t="shared" si="68"/>
        <v>1</v>
      </c>
      <c r="N375" s="666"/>
      <c r="O375" s="21">
        <f t="shared" si="69"/>
        <v>1</v>
      </c>
      <c r="P375" s="666"/>
      <c r="Q375" s="21">
        <f t="shared" si="70"/>
        <v>1</v>
      </c>
      <c r="R375" s="662">
        <f t="shared" si="71"/>
        <v>0</v>
      </c>
      <c r="S375" s="315">
        <f t="shared" si="62"/>
        <v>0</v>
      </c>
    </row>
    <row r="376" spans="1:19">
      <c r="A376" s="150"/>
      <c r="B376" s="54"/>
      <c r="C376" s="21">
        <f t="shared" si="63"/>
        <v>1</v>
      </c>
      <c r="D376" s="666"/>
      <c r="E376" s="21">
        <f t="shared" si="64"/>
        <v>0</v>
      </c>
      <c r="F376" s="666"/>
      <c r="G376" s="21">
        <f t="shared" si="65"/>
        <v>0.2</v>
      </c>
      <c r="H376" s="666"/>
      <c r="I376" s="21">
        <f t="shared" si="66"/>
        <v>1</v>
      </c>
      <c r="J376" s="666"/>
      <c r="K376" s="21">
        <f t="shared" si="67"/>
        <v>1</v>
      </c>
      <c r="L376" s="666"/>
      <c r="M376" s="21">
        <f t="shared" si="68"/>
        <v>1</v>
      </c>
      <c r="N376" s="666"/>
      <c r="O376" s="21">
        <f t="shared" si="69"/>
        <v>1</v>
      </c>
      <c r="P376" s="666"/>
      <c r="Q376" s="21">
        <f t="shared" si="70"/>
        <v>1</v>
      </c>
      <c r="R376" s="662">
        <f t="shared" si="71"/>
        <v>0</v>
      </c>
      <c r="S376" s="315">
        <f t="shared" si="62"/>
        <v>0</v>
      </c>
    </row>
    <row r="377" spans="1:19">
      <c r="A377" s="150"/>
      <c r="B377" s="54"/>
      <c r="C377" s="21">
        <f t="shared" si="63"/>
        <v>1</v>
      </c>
      <c r="D377" s="666"/>
      <c r="E377" s="21">
        <f t="shared" si="64"/>
        <v>0</v>
      </c>
      <c r="F377" s="666"/>
      <c r="G377" s="21">
        <f t="shared" si="65"/>
        <v>0.2</v>
      </c>
      <c r="H377" s="666"/>
      <c r="I377" s="21">
        <f t="shared" si="66"/>
        <v>1</v>
      </c>
      <c r="J377" s="666"/>
      <c r="K377" s="21">
        <f t="shared" si="67"/>
        <v>1</v>
      </c>
      <c r="L377" s="666"/>
      <c r="M377" s="21">
        <f t="shared" si="68"/>
        <v>1</v>
      </c>
      <c r="N377" s="666"/>
      <c r="O377" s="21">
        <f t="shared" si="69"/>
        <v>1</v>
      </c>
      <c r="P377" s="666"/>
      <c r="Q377" s="21">
        <f t="shared" si="70"/>
        <v>1</v>
      </c>
      <c r="R377" s="662">
        <f t="shared" si="71"/>
        <v>0</v>
      </c>
      <c r="S377" s="315">
        <f t="shared" si="62"/>
        <v>0</v>
      </c>
    </row>
    <row r="378" spans="1:19">
      <c r="A378" s="150"/>
      <c r="B378" s="54"/>
      <c r="C378" s="21">
        <f t="shared" si="63"/>
        <v>1</v>
      </c>
      <c r="D378" s="666"/>
      <c r="E378" s="21">
        <f t="shared" si="64"/>
        <v>0</v>
      </c>
      <c r="F378" s="666"/>
      <c r="G378" s="21">
        <f t="shared" si="65"/>
        <v>0.2</v>
      </c>
      <c r="H378" s="666"/>
      <c r="I378" s="21">
        <f t="shared" si="66"/>
        <v>1</v>
      </c>
      <c r="J378" s="666"/>
      <c r="K378" s="21">
        <f t="shared" si="67"/>
        <v>1</v>
      </c>
      <c r="L378" s="666"/>
      <c r="M378" s="21">
        <f t="shared" si="68"/>
        <v>1</v>
      </c>
      <c r="N378" s="666"/>
      <c r="O378" s="21">
        <f t="shared" si="69"/>
        <v>1</v>
      </c>
      <c r="P378" s="666"/>
      <c r="Q378" s="21">
        <f t="shared" si="70"/>
        <v>1</v>
      </c>
      <c r="R378" s="662">
        <f t="shared" si="71"/>
        <v>0</v>
      </c>
      <c r="S378" s="315">
        <f t="shared" si="62"/>
        <v>0</v>
      </c>
    </row>
    <row r="379" spans="1:19">
      <c r="A379" s="150"/>
      <c r="B379" s="54"/>
      <c r="C379" s="21">
        <f t="shared" si="63"/>
        <v>1</v>
      </c>
      <c r="D379" s="666"/>
      <c r="E379" s="21">
        <f t="shared" si="64"/>
        <v>0</v>
      </c>
      <c r="F379" s="666"/>
      <c r="G379" s="21">
        <f t="shared" si="65"/>
        <v>0.2</v>
      </c>
      <c r="H379" s="666"/>
      <c r="I379" s="21">
        <f t="shared" si="66"/>
        <v>1</v>
      </c>
      <c r="J379" s="666"/>
      <c r="K379" s="21">
        <f t="shared" si="67"/>
        <v>1</v>
      </c>
      <c r="L379" s="666"/>
      <c r="M379" s="21">
        <f t="shared" si="68"/>
        <v>1</v>
      </c>
      <c r="N379" s="666"/>
      <c r="O379" s="21">
        <f t="shared" si="69"/>
        <v>1</v>
      </c>
      <c r="P379" s="666"/>
      <c r="Q379" s="21">
        <f t="shared" si="70"/>
        <v>1</v>
      </c>
      <c r="R379" s="662">
        <f t="shared" si="71"/>
        <v>0</v>
      </c>
      <c r="S379" s="315">
        <f t="shared" si="62"/>
        <v>0</v>
      </c>
    </row>
    <row r="380" spans="1:19">
      <c r="A380" s="150"/>
      <c r="B380" s="54"/>
      <c r="C380" s="21">
        <f t="shared" si="63"/>
        <v>1</v>
      </c>
      <c r="D380" s="666"/>
      <c r="E380" s="21">
        <f t="shared" si="64"/>
        <v>0</v>
      </c>
      <c r="F380" s="666"/>
      <c r="G380" s="21">
        <f t="shared" si="65"/>
        <v>0.2</v>
      </c>
      <c r="H380" s="666"/>
      <c r="I380" s="21">
        <f t="shared" si="66"/>
        <v>1</v>
      </c>
      <c r="J380" s="666"/>
      <c r="K380" s="21">
        <f t="shared" si="67"/>
        <v>1</v>
      </c>
      <c r="L380" s="666"/>
      <c r="M380" s="21">
        <f t="shared" si="68"/>
        <v>1</v>
      </c>
      <c r="N380" s="666"/>
      <c r="O380" s="21">
        <f t="shared" si="69"/>
        <v>1</v>
      </c>
      <c r="P380" s="666"/>
      <c r="Q380" s="21">
        <f t="shared" si="70"/>
        <v>1</v>
      </c>
      <c r="R380" s="662">
        <f t="shared" si="71"/>
        <v>0</v>
      </c>
      <c r="S380" s="315">
        <f t="shared" si="62"/>
        <v>0</v>
      </c>
    </row>
    <row r="381" spans="1:19">
      <c r="A381" s="150"/>
      <c r="B381" s="54"/>
      <c r="C381" s="21">
        <f t="shared" si="63"/>
        <v>1</v>
      </c>
      <c r="D381" s="666"/>
      <c r="E381" s="21">
        <f t="shared" si="64"/>
        <v>0</v>
      </c>
      <c r="F381" s="666"/>
      <c r="G381" s="21">
        <f t="shared" si="65"/>
        <v>0.2</v>
      </c>
      <c r="H381" s="666"/>
      <c r="I381" s="21">
        <f t="shared" si="66"/>
        <v>1</v>
      </c>
      <c r="J381" s="666"/>
      <c r="K381" s="21">
        <f t="shared" si="67"/>
        <v>1</v>
      </c>
      <c r="L381" s="666"/>
      <c r="M381" s="21">
        <f t="shared" si="68"/>
        <v>1</v>
      </c>
      <c r="N381" s="666"/>
      <c r="O381" s="21">
        <f t="shared" si="69"/>
        <v>1</v>
      </c>
      <c r="P381" s="666"/>
      <c r="Q381" s="21">
        <f t="shared" si="70"/>
        <v>1</v>
      </c>
      <c r="R381" s="662">
        <f t="shared" si="71"/>
        <v>0</v>
      </c>
      <c r="S381" s="315">
        <f t="shared" si="62"/>
        <v>0</v>
      </c>
    </row>
    <row r="382" spans="1:19">
      <c r="A382" s="150"/>
      <c r="B382" s="54"/>
      <c r="C382" s="21">
        <f t="shared" si="63"/>
        <v>1</v>
      </c>
      <c r="D382" s="666"/>
      <c r="E382" s="21">
        <f t="shared" si="64"/>
        <v>0</v>
      </c>
      <c r="F382" s="666"/>
      <c r="G382" s="21">
        <f t="shared" si="65"/>
        <v>0.2</v>
      </c>
      <c r="H382" s="666"/>
      <c r="I382" s="21">
        <f t="shared" si="66"/>
        <v>1</v>
      </c>
      <c r="J382" s="666"/>
      <c r="K382" s="21">
        <f t="shared" si="67"/>
        <v>1</v>
      </c>
      <c r="L382" s="666"/>
      <c r="M382" s="21">
        <f t="shared" si="68"/>
        <v>1</v>
      </c>
      <c r="N382" s="666"/>
      <c r="O382" s="21">
        <f t="shared" si="69"/>
        <v>1</v>
      </c>
      <c r="P382" s="666"/>
      <c r="Q382" s="21">
        <f t="shared" si="70"/>
        <v>1</v>
      </c>
      <c r="R382" s="662">
        <f t="shared" si="71"/>
        <v>0</v>
      </c>
      <c r="S382" s="315">
        <f t="shared" si="62"/>
        <v>0</v>
      </c>
    </row>
    <row r="383" spans="1:19">
      <c r="A383" s="150"/>
      <c r="B383" s="54"/>
      <c r="C383" s="21">
        <f t="shared" si="63"/>
        <v>1</v>
      </c>
      <c r="D383" s="666"/>
      <c r="E383" s="21">
        <f t="shared" si="64"/>
        <v>0</v>
      </c>
      <c r="F383" s="666"/>
      <c r="G383" s="21">
        <f t="shared" si="65"/>
        <v>0.2</v>
      </c>
      <c r="H383" s="666"/>
      <c r="I383" s="21">
        <f t="shared" si="66"/>
        <v>1</v>
      </c>
      <c r="J383" s="666"/>
      <c r="K383" s="21">
        <f t="shared" si="67"/>
        <v>1</v>
      </c>
      <c r="L383" s="666"/>
      <c r="M383" s="21">
        <f t="shared" si="68"/>
        <v>1</v>
      </c>
      <c r="N383" s="666"/>
      <c r="O383" s="21">
        <f t="shared" si="69"/>
        <v>1</v>
      </c>
      <c r="P383" s="666"/>
      <c r="Q383" s="21">
        <f t="shared" si="70"/>
        <v>1</v>
      </c>
      <c r="R383" s="662">
        <f t="shared" si="71"/>
        <v>0</v>
      </c>
      <c r="S383" s="315">
        <f t="shared" si="62"/>
        <v>0</v>
      </c>
    </row>
    <row r="384" spans="1:19">
      <c r="A384" s="150"/>
      <c r="B384" s="54"/>
      <c r="C384" s="21">
        <f t="shared" si="63"/>
        <v>1</v>
      </c>
      <c r="D384" s="666"/>
      <c r="E384" s="21">
        <f t="shared" si="64"/>
        <v>0</v>
      </c>
      <c r="F384" s="666"/>
      <c r="G384" s="21">
        <f t="shared" si="65"/>
        <v>0.2</v>
      </c>
      <c r="H384" s="666"/>
      <c r="I384" s="21">
        <f t="shared" si="66"/>
        <v>1</v>
      </c>
      <c r="J384" s="666"/>
      <c r="K384" s="21">
        <f t="shared" si="67"/>
        <v>1</v>
      </c>
      <c r="L384" s="666"/>
      <c r="M384" s="21">
        <f t="shared" si="68"/>
        <v>1</v>
      </c>
      <c r="N384" s="666"/>
      <c r="O384" s="21">
        <f t="shared" si="69"/>
        <v>1</v>
      </c>
      <c r="P384" s="666"/>
      <c r="Q384" s="21">
        <f t="shared" si="70"/>
        <v>1</v>
      </c>
      <c r="R384" s="662">
        <f t="shared" si="71"/>
        <v>0</v>
      </c>
      <c r="S384" s="315">
        <f t="shared" si="62"/>
        <v>0</v>
      </c>
    </row>
    <row r="385" spans="1:19">
      <c r="A385" s="150"/>
      <c r="B385" s="54"/>
      <c r="C385" s="21">
        <f t="shared" si="63"/>
        <v>1</v>
      </c>
      <c r="D385" s="666"/>
      <c r="E385" s="21">
        <f t="shared" si="64"/>
        <v>0</v>
      </c>
      <c r="F385" s="666"/>
      <c r="G385" s="21">
        <f t="shared" si="65"/>
        <v>0.2</v>
      </c>
      <c r="H385" s="666"/>
      <c r="I385" s="21">
        <f t="shared" si="66"/>
        <v>1</v>
      </c>
      <c r="J385" s="666"/>
      <c r="K385" s="21">
        <f t="shared" si="67"/>
        <v>1</v>
      </c>
      <c r="L385" s="666"/>
      <c r="M385" s="21">
        <f t="shared" si="68"/>
        <v>1</v>
      </c>
      <c r="N385" s="666"/>
      <c r="O385" s="21">
        <f t="shared" si="69"/>
        <v>1</v>
      </c>
      <c r="P385" s="666"/>
      <c r="Q385" s="21">
        <f t="shared" si="70"/>
        <v>1</v>
      </c>
      <c r="R385" s="662">
        <f t="shared" si="71"/>
        <v>0</v>
      </c>
      <c r="S385" s="315">
        <f t="shared" ref="S385:S422" si="72">ROUND(R385*B385/10000,0)</f>
        <v>0</v>
      </c>
    </row>
    <row r="386" spans="1:19">
      <c r="A386" s="150"/>
      <c r="B386" s="54"/>
      <c r="C386" s="21">
        <f t="shared" si="63"/>
        <v>1</v>
      </c>
      <c r="D386" s="666"/>
      <c r="E386" s="21">
        <f t="shared" si="64"/>
        <v>0</v>
      </c>
      <c r="F386" s="666"/>
      <c r="G386" s="21">
        <f t="shared" si="65"/>
        <v>0.2</v>
      </c>
      <c r="H386" s="666"/>
      <c r="I386" s="21">
        <f t="shared" si="66"/>
        <v>1</v>
      </c>
      <c r="J386" s="666"/>
      <c r="K386" s="21">
        <f t="shared" si="67"/>
        <v>1</v>
      </c>
      <c r="L386" s="666"/>
      <c r="M386" s="21">
        <f t="shared" si="68"/>
        <v>1</v>
      </c>
      <c r="N386" s="666"/>
      <c r="O386" s="21">
        <f t="shared" si="69"/>
        <v>1</v>
      </c>
      <c r="P386" s="666"/>
      <c r="Q386" s="21">
        <f t="shared" si="70"/>
        <v>1</v>
      </c>
      <c r="R386" s="662">
        <f t="shared" si="71"/>
        <v>0</v>
      </c>
      <c r="S386" s="315">
        <f t="shared" si="72"/>
        <v>0</v>
      </c>
    </row>
    <row r="387" spans="1:19">
      <c r="A387" s="150"/>
      <c r="B387" s="54"/>
      <c r="C387" s="21">
        <f t="shared" si="63"/>
        <v>1</v>
      </c>
      <c r="D387" s="666"/>
      <c r="E387" s="21">
        <f t="shared" si="64"/>
        <v>0</v>
      </c>
      <c r="F387" s="666"/>
      <c r="G387" s="21">
        <f t="shared" si="65"/>
        <v>0.2</v>
      </c>
      <c r="H387" s="666"/>
      <c r="I387" s="21">
        <f t="shared" si="66"/>
        <v>1</v>
      </c>
      <c r="J387" s="666"/>
      <c r="K387" s="21">
        <f t="shared" si="67"/>
        <v>1</v>
      </c>
      <c r="L387" s="666"/>
      <c r="M387" s="21">
        <f t="shared" si="68"/>
        <v>1</v>
      </c>
      <c r="N387" s="666"/>
      <c r="O387" s="21">
        <f t="shared" si="69"/>
        <v>1</v>
      </c>
      <c r="P387" s="666"/>
      <c r="Q387" s="21">
        <f t="shared" si="70"/>
        <v>1</v>
      </c>
      <c r="R387" s="662">
        <f t="shared" si="71"/>
        <v>0</v>
      </c>
      <c r="S387" s="315">
        <f t="shared" si="72"/>
        <v>0</v>
      </c>
    </row>
    <row r="388" spans="1:19">
      <c r="A388" s="150"/>
      <c r="B388" s="54"/>
      <c r="C388" s="21">
        <f t="shared" si="63"/>
        <v>1</v>
      </c>
      <c r="D388" s="666"/>
      <c r="E388" s="21">
        <f t="shared" si="64"/>
        <v>0</v>
      </c>
      <c r="F388" s="666"/>
      <c r="G388" s="21">
        <f t="shared" si="65"/>
        <v>0.2</v>
      </c>
      <c r="H388" s="666"/>
      <c r="I388" s="21">
        <f t="shared" si="66"/>
        <v>1</v>
      </c>
      <c r="J388" s="666"/>
      <c r="K388" s="21">
        <f t="shared" si="67"/>
        <v>1</v>
      </c>
      <c r="L388" s="666"/>
      <c r="M388" s="21">
        <f t="shared" si="68"/>
        <v>1</v>
      </c>
      <c r="N388" s="666"/>
      <c r="O388" s="21">
        <f t="shared" si="69"/>
        <v>1</v>
      </c>
      <c r="P388" s="666"/>
      <c r="Q388" s="21">
        <f t="shared" si="70"/>
        <v>1</v>
      </c>
      <c r="R388" s="662">
        <f t="shared" si="71"/>
        <v>0</v>
      </c>
      <c r="S388" s="315">
        <f t="shared" si="72"/>
        <v>0</v>
      </c>
    </row>
    <row r="389" spans="1:19">
      <c r="A389" s="150"/>
      <c r="B389" s="54"/>
      <c r="C389" s="21">
        <f t="shared" si="63"/>
        <v>1</v>
      </c>
      <c r="D389" s="666"/>
      <c r="E389" s="21">
        <f t="shared" si="64"/>
        <v>0</v>
      </c>
      <c r="F389" s="666"/>
      <c r="G389" s="21">
        <f t="shared" si="65"/>
        <v>0.2</v>
      </c>
      <c r="H389" s="666"/>
      <c r="I389" s="21">
        <f t="shared" si="66"/>
        <v>1</v>
      </c>
      <c r="J389" s="666"/>
      <c r="K389" s="21">
        <f t="shared" si="67"/>
        <v>1</v>
      </c>
      <c r="L389" s="666"/>
      <c r="M389" s="21">
        <f t="shared" si="68"/>
        <v>1</v>
      </c>
      <c r="N389" s="666"/>
      <c r="O389" s="21">
        <f t="shared" si="69"/>
        <v>1</v>
      </c>
      <c r="P389" s="666"/>
      <c r="Q389" s="21">
        <f t="shared" si="70"/>
        <v>1</v>
      </c>
      <c r="R389" s="662">
        <f t="shared" si="71"/>
        <v>0</v>
      </c>
      <c r="S389" s="315">
        <f t="shared" si="72"/>
        <v>0</v>
      </c>
    </row>
    <row r="390" spans="1:19">
      <c r="A390" s="150"/>
      <c r="B390" s="54"/>
      <c r="C390" s="21">
        <f t="shared" si="63"/>
        <v>1</v>
      </c>
      <c r="D390" s="666"/>
      <c r="E390" s="21">
        <f t="shared" si="64"/>
        <v>0</v>
      </c>
      <c r="F390" s="666"/>
      <c r="G390" s="21">
        <f t="shared" si="65"/>
        <v>0.2</v>
      </c>
      <c r="H390" s="666"/>
      <c r="I390" s="21">
        <f t="shared" si="66"/>
        <v>1</v>
      </c>
      <c r="J390" s="666"/>
      <c r="K390" s="21">
        <f t="shared" si="67"/>
        <v>1</v>
      </c>
      <c r="L390" s="666"/>
      <c r="M390" s="21">
        <f t="shared" si="68"/>
        <v>1</v>
      </c>
      <c r="N390" s="666"/>
      <c r="O390" s="21">
        <f t="shared" si="69"/>
        <v>1</v>
      </c>
      <c r="P390" s="666"/>
      <c r="Q390" s="21">
        <f t="shared" si="70"/>
        <v>1</v>
      </c>
      <c r="R390" s="662">
        <f t="shared" si="71"/>
        <v>0</v>
      </c>
      <c r="S390" s="315">
        <f t="shared" si="72"/>
        <v>0</v>
      </c>
    </row>
    <row r="391" spans="1:19">
      <c r="A391" s="150"/>
      <c r="B391" s="54"/>
      <c r="C391" s="21">
        <f t="shared" si="63"/>
        <v>1</v>
      </c>
      <c r="D391" s="666"/>
      <c r="E391" s="21">
        <f t="shared" si="64"/>
        <v>0</v>
      </c>
      <c r="F391" s="666"/>
      <c r="G391" s="21">
        <f t="shared" si="65"/>
        <v>0.2</v>
      </c>
      <c r="H391" s="666"/>
      <c r="I391" s="21">
        <f t="shared" si="66"/>
        <v>1</v>
      </c>
      <c r="J391" s="666"/>
      <c r="K391" s="21">
        <f t="shared" si="67"/>
        <v>1</v>
      </c>
      <c r="L391" s="666"/>
      <c r="M391" s="21">
        <f t="shared" si="68"/>
        <v>1</v>
      </c>
      <c r="N391" s="666"/>
      <c r="O391" s="21">
        <f t="shared" si="69"/>
        <v>1</v>
      </c>
      <c r="P391" s="666"/>
      <c r="Q391" s="21">
        <f t="shared" si="70"/>
        <v>1</v>
      </c>
      <c r="R391" s="662">
        <f t="shared" si="71"/>
        <v>0</v>
      </c>
      <c r="S391" s="315">
        <f t="shared" si="72"/>
        <v>0</v>
      </c>
    </row>
    <row r="392" spans="1:19">
      <c r="A392" s="150"/>
      <c r="B392" s="54"/>
      <c r="C392" s="21">
        <f t="shared" si="63"/>
        <v>1</v>
      </c>
      <c r="D392" s="666"/>
      <c r="E392" s="21">
        <f t="shared" si="64"/>
        <v>0</v>
      </c>
      <c r="F392" s="666"/>
      <c r="G392" s="21">
        <f t="shared" si="65"/>
        <v>0.2</v>
      </c>
      <c r="H392" s="666"/>
      <c r="I392" s="21">
        <f t="shared" si="66"/>
        <v>1</v>
      </c>
      <c r="J392" s="666"/>
      <c r="K392" s="21">
        <f t="shared" si="67"/>
        <v>1</v>
      </c>
      <c r="L392" s="666"/>
      <c r="M392" s="21">
        <f t="shared" si="68"/>
        <v>1</v>
      </c>
      <c r="N392" s="666"/>
      <c r="O392" s="21">
        <f t="shared" si="69"/>
        <v>1</v>
      </c>
      <c r="P392" s="666"/>
      <c r="Q392" s="21">
        <f t="shared" si="70"/>
        <v>1</v>
      </c>
      <c r="R392" s="662">
        <f t="shared" si="71"/>
        <v>0</v>
      </c>
      <c r="S392" s="315">
        <f t="shared" si="72"/>
        <v>0</v>
      </c>
    </row>
    <row r="393" spans="1:19">
      <c r="A393" s="150"/>
      <c r="B393" s="54"/>
      <c r="C393" s="21">
        <f t="shared" si="63"/>
        <v>1</v>
      </c>
      <c r="D393" s="666"/>
      <c r="E393" s="21">
        <f t="shared" si="64"/>
        <v>0</v>
      </c>
      <c r="F393" s="666"/>
      <c r="G393" s="21">
        <f t="shared" si="65"/>
        <v>0.2</v>
      </c>
      <c r="H393" s="666"/>
      <c r="I393" s="21">
        <f t="shared" si="66"/>
        <v>1</v>
      </c>
      <c r="J393" s="666"/>
      <c r="K393" s="21">
        <f t="shared" si="67"/>
        <v>1</v>
      </c>
      <c r="L393" s="666"/>
      <c r="M393" s="21">
        <f t="shared" si="68"/>
        <v>1</v>
      </c>
      <c r="N393" s="666"/>
      <c r="O393" s="21">
        <f t="shared" si="69"/>
        <v>1</v>
      </c>
      <c r="P393" s="666"/>
      <c r="Q393" s="21">
        <f t="shared" si="70"/>
        <v>1</v>
      </c>
      <c r="R393" s="662">
        <f t="shared" si="71"/>
        <v>0</v>
      </c>
      <c r="S393" s="315">
        <f t="shared" si="72"/>
        <v>0</v>
      </c>
    </row>
    <row r="394" spans="1:19">
      <c r="A394" s="150"/>
      <c r="B394" s="54"/>
      <c r="C394" s="21">
        <f t="shared" si="63"/>
        <v>1</v>
      </c>
      <c r="D394" s="666"/>
      <c r="E394" s="21">
        <f t="shared" si="64"/>
        <v>0</v>
      </c>
      <c r="F394" s="666"/>
      <c r="G394" s="21">
        <f t="shared" si="65"/>
        <v>0.2</v>
      </c>
      <c r="H394" s="666"/>
      <c r="I394" s="21">
        <f t="shared" si="66"/>
        <v>1</v>
      </c>
      <c r="J394" s="666"/>
      <c r="K394" s="21">
        <f t="shared" si="67"/>
        <v>1</v>
      </c>
      <c r="L394" s="666"/>
      <c r="M394" s="21">
        <f t="shared" si="68"/>
        <v>1</v>
      </c>
      <c r="N394" s="666"/>
      <c r="O394" s="21">
        <f t="shared" si="69"/>
        <v>1</v>
      </c>
      <c r="P394" s="666"/>
      <c r="Q394" s="21">
        <f t="shared" si="70"/>
        <v>1</v>
      </c>
      <c r="R394" s="662">
        <f t="shared" si="71"/>
        <v>0</v>
      </c>
      <c r="S394" s="315">
        <f t="shared" si="72"/>
        <v>0</v>
      </c>
    </row>
    <row r="395" spans="1:19">
      <c r="A395" s="150"/>
      <c r="B395" s="54"/>
      <c r="C395" s="21">
        <f t="shared" si="63"/>
        <v>1</v>
      </c>
      <c r="D395" s="666"/>
      <c r="E395" s="21">
        <f t="shared" si="64"/>
        <v>0</v>
      </c>
      <c r="F395" s="666"/>
      <c r="G395" s="21">
        <f t="shared" si="65"/>
        <v>0.2</v>
      </c>
      <c r="H395" s="666"/>
      <c r="I395" s="21">
        <f t="shared" si="66"/>
        <v>1</v>
      </c>
      <c r="J395" s="666"/>
      <c r="K395" s="21">
        <f t="shared" si="67"/>
        <v>1</v>
      </c>
      <c r="L395" s="666"/>
      <c r="M395" s="21">
        <f t="shared" si="68"/>
        <v>1</v>
      </c>
      <c r="N395" s="666"/>
      <c r="O395" s="21">
        <f t="shared" si="69"/>
        <v>1</v>
      </c>
      <c r="P395" s="666"/>
      <c r="Q395" s="21">
        <f t="shared" si="70"/>
        <v>1</v>
      </c>
      <c r="R395" s="662">
        <f t="shared" si="71"/>
        <v>0</v>
      </c>
      <c r="S395" s="315">
        <f t="shared" si="72"/>
        <v>0</v>
      </c>
    </row>
    <row r="396" spans="1:19">
      <c r="A396" s="150"/>
      <c r="B396" s="54"/>
      <c r="C396" s="21">
        <f t="shared" si="63"/>
        <v>1</v>
      </c>
      <c r="D396" s="666"/>
      <c r="E396" s="21">
        <f t="shared" si="64"/>
        <v>0</v>
      </c>
      <c r="F396" s="666"/>
      <c r="G396" s="21">
        <f t="shared" si="65"/>
        <v>0.2</v>
      </c>
      <c r="H396" s="666"/>
      <c r="I396" s="21">
        <f t="shared" si="66"/>
        <v>1</v>
      </c>
      <c r="J396" s="666"/>
      <c r="K396" s="21">
        <f t="shared" si="67"/>
        <v>1</v>
      </c>
      <c r="L396" s="666"/>
      <c r="M396" s="21">
        <f t="shared" si="68"/>
        <v>1</v>
      </c>
      <c r="N396" s="666"/>
      <c r="O396" s="21">
        <f t="shared" si="69"/>
        <v>1</v>
      </c>
      <c r="P396" s="666"/>
      <c r="Q396" s="21">
        <f t="shared" si="70"/>
        <v>1</v>
      </c>
      <c r="R396" s="662">
        <f t="shared" si="71"/>
        <v>0</v>
      </c>
      <c r="S396" s="315">
        <f t="shared" si="72"/>
        <v>0</v>
      </c>
    </row>
    <row r="397" spans="1:19">
      <c r="A397" s="150"/>
      <c r="B397" s="54"/>
      <c r="C397" s="21">
        <f t="shared" si="63"/>
        <v>1</v>
      </c>
      <c r="D397" s="666"/>
      <c r="E397" s="21">
        <f t="shared" si="64"/>
        <v>0</v>
      </c>
      <c r="F397" s="666"/>
      <c r="G397" s="21">
        <f t="shared" si="65"/>
        <v>0.2</v>
      </c>
      <c r="H397" s="666"/>
      <c r="I397" s="21">
        <f t="shared" si="66"/>
        <v>1</v>
      </c>
      <c r="J397" s="666"/>
      <c r="K397" s="21">
        <f t="shared" si="67"/>
        <v>1</v>
      </c>
      <c r="L397" s="666"/>
      <c r="M397" s="21">
        <f t="shared" si="68"/>
        <v>1</v>
      </c>
      <c r="N397" s="666"/>
      <c r="O397" s="21">
        <f t="shared" si="69"/>
        <v>1</v>
      </c>
      <c r="P397" s="666"/>
      <c r="Q397" s="21">
        <f t="shared" si="70"/>
        <v>1</v>
      </c>
      <c r="R397" s="662">
        <f t="shared" si="71"/>
        <v>0</v>
      </c>
      <c r="S397" s="315">
        <f t="shared" si="72"/>
        <v>0</v>
      </c>
    </row>
    <row r="398" spans="1:19">
      <c r="A398" s="150"/>
      <c r="B398" s="54"/>
      <c r="C398" s="21">
        <f t="shared" si="63"/>
        <v>1</v>
      </c>
      <c r="D398" s="666"/>
      <c r="E398" s="21">
        <f t="shared" si="64"/>
        <v>0</v>
      </c>
      <c r="F398" s="666"/>
      <c r="G398" s="21">
        <f t="shared" si="65"/>
        <v>0.2</v>
      </c>
      <c r="H398" s="666"/>
      <c r="I398" s="21">
        <f t="shared" si="66"/>
        <v>1</v>
      </c>
      <c r="J398" s="666"/>
      <c r="K398" s="21">
        <f t="shared" si="67"/>
        <v>1</v>
      </c>
      <c r="L398" s="666"/>
      <c r="M398" s="21">
        <f t="shared" si="68"/>
        <v>1</v>
      </c>
      <c r="N398" s="666"/>
      <c r="O398" s="21">
        <f t="shared" si="69"/>
        <v>1</v>
      </c>
      <c r="P398" s="666"/>
      <c r="Q398" s="21">
        <f t="shared" si="70"/>
        <v>1</v>
      </c>
      <c r="R398" s="662">
        <f t="shared" si="71"/>
        <v>0</v>
      </c>
      <c r="S398" s="315">
        <f t="shared" si="72"/>
        <v>0</v>
      </c>
    </row>
    <row r="399" spans="1:19">
      <c r="A399" s="150"/>
      <c r="B399" s="54"/>
      <c r="C399" s="21">
        <f t="shared" si="63"/>
        <v>1</v>
      </c>
      <c r="D399" s="666"/>
      <c r="E399" s="21">
        <f t="shared" si="64"/>
        <v>0</v>
      </c>
      <c r="F399" s="666"/>
      <c r="G399" s="21">
        <f t="shared" si="65"/>
        <v>0.2</v>
      </c>
      <c r="H399" s="666"/>
      <c r="I399" s="21">
        <f t="shared" si="66"/>
        <v>1</v>
      </c>
      <c r="J399" s="666"/>
      <c r="K399" s="21">
        <f t="shared" si="67"/>
        <v>1</v>
      </c>
      <c r="L399" s="666"/>
      <c r="M399" s="21">
        <f t="shared" si="68"/>
        <v>1</v>
      </c>
      <c r="N399" s="666"/>
      <c r="O399" s="21">
        <f t="shared" si="69"/>
        <v>1</v>
      </c>
      <c r="P399" s="666"/>
      <c r="Q399" s="21">
        <f t="shared" si="70"/>
        <v>1</v>
      </c>
      <c r="R399" s="662">
        <f t="shared" si="71"/>
        <v>0</v>
      </c>
      <c r="S399" s="315">
        <f t="shared" si="72"/>
        <v>0</v>
      </c>
    </row>
    <row r="400" spans="1:19">
      <c r="A400" s="150"/>
      <c r="B400" s="54"/>
      <c r="C400" s="21">
        <f t="shared" si="63"/>
        <v>1</v>
      </c>
      <c r="D400" s="666"/>
      <c r="E400" s="21">
        <f t="shared" si="64"/>
        <v>0</v>
      </c>
      <c r="F400" s="666"/>
      <c r="G400" s="21">
        <f t="shared" si="65"/>
        <v>0.2</v>
      </c>
      <c r="H400" s="666"/>
      <c r="I400" s="21">
        <f t="shared" si="66"/>
        <v>1</v>
      </c>
      <c r="J400" s="666"/>
      <c r="K400" s="21">
        <f t="shared" si="67"/>
        <v>1</v>
      </c>
      <c r="L400" s="666"/>
      <c r="M400" s="21">
        <f t="shared" si="68"/>
        <v>1</v>
      </c>
      <c r="N400" s="666"/>
      <c r="O400" s="21">
        <f t="shared" si="69"/>
        <v>1</v>
      </c>
      <c r="P400" s="666"/>
      <c r="Q400" s="21">
        <f t="shared" si="70"/>
        <v>1</v>
      </c>
      <c r="R400" s="662">
        <f t="shared" si="71"/>
        <v>0</v>
      </c>
      <c r="S400" s="315">
        <f t="shared" si="72"/>
        <v>0</v>
      </c>
    </row>
    <row r="401" spans="1:19">
      <c r="A401" s="150"/>
      <c r="B401" s="54"/>
      <c r="C401" s="21">
        <f t="shared" si="63"/>
        <v>1</v>
      </c>
      <c r="D401" s="666"/>
      <c r="E401" s="21">
        <f t="shared" si="64"/>
        <v>0</v>
      </c>
      <c r="F401" s="666"/>
      <c r="G401" s="21">
        <f t="shared" si="65"/>
        <v>0.2</v>
      </c>
      <c r="H401" s="666"/>
      <c r="I401" s="21">
        <f t="shared" si="66"/>
        <v>1</v>
      </c>
      <c r="J401" s="666"/>
      <c r="K401" s="21">
        <f t="shared" si="67"/>
        <v>1</v>
      </c>
      <c r="L401" s="666"/>
      <c r="M401" s="21">
        <f t="shared" si="68"/>
        <v>1</v>
      </c>
      <c r="N401" s="666"/>
      <c r="O401" s="21">
        <f t="shared" si="69"/>
        <v>1</v>
      </c>
      <c r="P401" s="666"/>
      <c r="Q401" s="21">
        <f t="shared" si="70"/>
        <v>1</v>
      </c>
      <c r="R401" s="662">
        <f t="shared" si="71"/>
        <v>0</v>
      </c>
      <c r="S401" s="315">
        <f t="shared" si="72"/>
        <v>0</v>
      </c>
    </row>
    <row r="402" spans="1:19">
      <c r="A402" s="150"/>
      <c r="B402" s="54"/>
      <c r="C402" s="21">
        <f t="shared" si="63"/>
        <v>1</v>
      </c>
      <c r="D402" s="666"/>
      <c r="E402" s="21">
        <f t="shared" si="64"/>
        <v>0</v>
      </c>
      <c r="F402" s="666"/>
      <c r="G402" s="21">
        <f t="shared" si="65"/>
        <v>0.2</v>
      </c>
      <c r="H402" s="666"/>
      <c r="I402" s="21">
        <f t="shared" si="66"/>
        <v>1</v>
      </c>
      <c r="J402" s="666"/>
      <c r="K402" s="21">
        <f t="shared" si="67"/>
        <v>1</v>
      </c>
      <c r="L402" s="666"/>
      <c r="M402" s="21">
        <f t="shared" si="68"/>
        <v>1</v>
      </c>
      <c r="N402" s="666"/>
      <c r="O402" s="21">
        <f t="shared" si="69"/>
        <v>1</v>
      </c>
      <c r="P402" s="666"/>
      <c r="Q402" s="21">
        <f t="shared" si="70"/>
        <v>1</v>
      </c>
      <c r="R402" s="662">
        <f t="shared" si="71"/>
        <v>0</v>
      </c>
      <c r="S402" s="315">
        <f t="shared" si="72"/>
        <v>0</v>
      </c>
    </row>
    <row r="403" spans="1:19">
      <c r="A403" s="150"/>
      <c r="B403" s="54"/>
      <c r="C403" s="21">
        <f t="shared" si="63"/>
        <v>1</v>
      </c>
      <c r="D403" s="666"/>
      <c r="E403" s="21">
        <f t="shared" si="64"/>
        <v>0</v>
      </c>
      <c r="F403" s="666"/>
      <c r="G403" s="21">
        <f t="shared" si="65"/>
        <v>0.2</v>
      </c>
      <c r="H403" s="666"/>
      <c r="I403" s="21">
        <f t="shared" si="66"/>
        <v>1</v>
      </c>
      <c r="J403" s="666"/>
      <c r="K403" s="21">
        <f t="shared" si="67"/>
        <v>1</v>
      </c>
      <c r="L403" s="666"/>
      <c r="M403" s="21">
        <f t="shared" si="68"/>
        <v>1</v>
      </c>
      <c r="N403" s="666"/>
      <c r="O403" s="21">
        <f t="shared" si="69"/>
        <v>1</v>
      </c>
      <c r="P403" s="666"/>
      <c r="Q403" s="21">
        <f t="shared" si="70"/>
        <v>1</v>
      </c>
      <c r="R403" s="662">
        <f t="shared" si="71"/>
        <v>0</v>
      </c>
      <c r="S403" s="315">
        <f t="shared" si="72"/>
        <v>0</v>
      </c>
    </row>
    <row r="404" spans="1:19">
      <c r="A404" s="150"/>
      <c r="B404" s="54"/>
      <c r="C404" s="21">
        <f t="shared" si="63"/>
        <v>1</v>
      </c>
      <c r="D404" s="666"/>
      <c r="E404" s="21">
        <f t="shared" si="64"/>
        <v>0</v>
      </c>
      <c r="F404" s="666"/>
      <c r="G404" s="21">
        <f t="shared" si="65"/>
        <v>0.2</v>
      </c>
      <c r="H404" s="666"/>
      <c r="I404" s="21">
        <f t="shared" si="66"/>
        <v>1</v>
      </c>
      <c r="J404" s="666"/>
      <c r="K404" s="21">
        <f t="shared" si="67"/>
        <v>1</v>
      </c>
      <c r="L404" s="666"/>
      <c r="M404" s="21">
        <f t="shared" si="68"/>
        <v>1</v>
      </c>
      <c r="N404" s="666"/>
      <c r="O404" s="21">
        <f t="shared" si="69"/>
        <v>1</v>
      </c>
      <c r="P404" s="666"/>
      <c r="Q404" s="21">
        <f t="shared" si="70"/>
        <v>1</v>
      </c>
      <c r="R404" s="662">
        <f t="shared" si="71"/>
        <v>0</v>
      </c>
      <c r="S404" s="315">
        <f t="shared" si="72"/>
        <v>0</v>
      </c>
    </row>
    <row r="405" spans="1:19">
      <c r="A405" s="150"/>
      <c r="B405" s="54"/>
      <c r="C405" s="21">
        <f t="shared" si="63"/>
        <v>1</v>
      </c>
      <c r="D405" s="666"/>
      <c r="E405" s="21">
        <f t="shared" si="64"/>
        <v>0</v>
      </c>
      <c r="F405" s="666"/>
      <c r="G405" s="21">
        <f t="shared" si="65"/>
        <v>0.2</v>
      </c>
      <c r="H405" s="666"/>
      <c r="I405" s="21">
        <f t="shared" si="66"/>
        <v>1</v>
      </c>
      <c r="J405" s="666"/>
      <c r="K405" s="21">
        <f t="shared" si="67"/>
        <v>1</v>
      </c>
      <c r="L405" s="666"/>
      <c r="M405" s="21">
        <f t="shared" si="68"/>
        <v>1</v>
      </c>
      <c r="N405" s="666"/>
      <c r="O405" s="21">
        <f t="shared" si="69"/>
        <v>1</v>
      </c>
      <c r="P405" s="666"/>
      <c r="Q405" s="21">
        <f t="shared" si="70"/>
        <v>1</v>
      </c>
      <c r="R405" s="662">
        <f t="shared" si="71"/>
        <v>0</v>
      </c>
      <c r="S405" s="315">
        <f t="shared" si="72"/>
        <v>0</v>
      </c>
    </row>
    <row r="406" spans="1:19">
      <c r="A406" s="150"/>
      <c r="B406" s="54"/>
      <c r="C406" s="21">
        <f t="shared" si="63"/>
        <v>1</v>
      </c>
      <c r="D406" s="666"/>
      <c r="E406" s="21">
        <f t="shared" si="64"/>
        <v>0</v>
      </c>
      <c r="F406" s="666"/>
      <c r="G406" s="21">
        <f t="shared" si="65"/>
        <v>0.2</v>
      </c>
      <c r="H406" s="666"/>
      <c r="I406" s="21">
        <f t="shared" si="66"/>
        <v>1</v>
      </c>
      <c r="J406" s="666"/>
      <c r="K406" s="21">
        <f t="shared" si="67"/>
        <v>1</v>
      </c>
      <c r="L406" s="666"/>
      <c r="M406" s="21">
        <f t="shared" si="68"/>
        <v>1</v>
      </c>
      <c r="N406" s="666"/>
      <c r="O406" s="21">
        <f t="shared" si="69"/>
        <v>1</v>
      </c>
      <c r="P406" s="666"/>
      <c r="Q406" s="21">
        <f t="shared" si="70"/>
        <v>1</v>
      </c>
      <c r="R406" s="662">
        <f t="shared" si="71"/>
        <v>0</v>
      </c>
      <c r="S406" s="315">
        <f t="shared" si="72"/>
        <v>0</v>
      </c>
    </row>
    <row r="407" spans="1:19">
      <c r="A407" s="150"/>
      <c r="B407" s="54"/>
      <c r="C407" s="21">
        <f t="shared" si="63"/>
        <v>1</v>
      </c>
      <c r="D407" s="666"/>
      <c r="E407" s="21">
        <f t="shared" si="64"/>
        <v>0</v>
      </c>
      <c r="F407" s="666"/>
      <c r="G407" s="21">
        <f t="shared" si="65"/>
        <v>0.2</v>
      </c>
      <c r="H407" s="666"/>
      <c r="I407" s="21">
        <f t="shared" si="66"/>
        <v>1</v>
      </c>
      <c r="J407" s="666"/>
      <c r="K407" s="21">
        <f t="shared" si="67"/>
        <v>1</v>
      </c>
      <c r="L407" s="666"/>
      <c r="M407" s="21">
        <f t="shared" si="68"/>
        <v>1</v>
      </c>
      <c r="N407" s="666"/>
      <c r="O407" s="21">
        <f t="shared" si="69"/>
        <v>1</v>
      </c>
      <c r="P407" s="666"/>
      <c r="Q407" s="21">
        <f t="shared" si="70"/>
        <v>1</v>
      </c>
      <c r="R407" s="662">
        <f t="shared" si="71"/>
        <v>0</v>
      </c>
      <c r="S407" s="315">
        <f t="shared" si="72"/>
        <v>0</v>
      </c>
    </row>
    <row r="408" spans="1:19">
      <c r="A408" s="150"/>
      <c r="B408" s="54"/>
      <c r="C408" s="21">
        <f t="shared" si="63"/>
        <v>1</v>
      </c>
      <c r="D408" s="666"/>
      <c r="E408" s="21">
        <f t="shared" si="64"/>
        <v>0</v>
      </c>
      <c r="F408" s="666"/>
      <c r="G408" s="21">
        <f t="shared" si="65"/>
        <v>0.2</v>
      </c>
      <c r="H408" s="666"/>
      <c r="I408" s="21">
        <f t="shared" si="66"/>
        <v>1</v>
      </c>
      <c r="J408" s="666"/>
      <c r="K408" s="21">
        <f t="shared" si="67"/>
        <v>1</v>
      </c>
      <c r="L408" s="666"/>
      <c r="M408" s="21">
        <f t="shared" si="68"/>
        <v>1</v>
      </c>
      <c r="N408" s="666"/>
      <c r="O408" s="21">
        <f t="shared" si="69"/>
        <v>1</v>
      </c>
      <c r="P408" s="666"/>
      <c r="Q408" s="21">
        <f t="shared" si="70"/>
        <v>1</v>
      </c>
      <c r="R408" s="662">
        <f t="shared" si="71"/>
        <v>0</v>
      </c>
      <c r="S408" s="315">
        <f t="shared" si="72"/>
        <v>0</v>
      </c>
    </row>
    <row r="409" spans="1:19">
      <c r="A409" s="150"/>
      <c r="B409" s="54"/>
      <c r="C409" s="21">
        <f t="shared" si="63"/>
        <v>1</v>
      </c>
      <c r="D409" s="666"/>
      <c r="E409" s="21">
        <f t="shared" si="64"/>
        <v>0</v>
      </c>
      <c r="F409" s="666"/>
      <c r="G409" s="21">
        <f t="shared" si="65"/>
        <v>0.2</v>
      </c>
      <c r="H409" s="666"/>
      <c r="I409" s="21">
        <f t="shared" si="66"/>
        <v>1</v>
      </c>
      <c r="J409" s="666"/>
      <c r="K409" s="21">
        <f t="shared" si="67"/>
        <v>1</v>
      </c>
      <c r="L409" s="666"/>
      <c r="M409" s="21">
        <f t="shared" si="68"/>
        <v>1</v>
      </c>
      <c r="N409" s="666"/>
      <c r="O409" s="21">
        <f t="shared" si="69"/>
        <v>1</v>
      </c>
      <c r="P409" s="666"/>
      <c r="Q409" s="21">
        <f t="shared" si="70"/>
        <v>1</v>
      </c>
      <c r="R409" s="662">
        <f t="shared" si="71"/>
        <v>0</v>
      </c>
      <c r="S409" s="315">
        <f t="shared" si="72"/>
        <v>0</v>
      </c>
    </row>
    <row r="410" spans="1:19">
      <c r="A410" s="150"/>
      <c r="B410" s="54"/>
      <c r="C410" s="21">
        <f t="shared" ref="C410:C473" si="73">IF(B410="",1,(LOOKUP(B410,$3:$3,$4:$4)-LOOKUP($B$24,$3:$3,$4:$4)+100)/100)</f>
        <v>1</v>
      </c>
      <c r="D410" s="666"/>
      <c r="E410" s="21">
        <f t="shared" ref="E410:E473" si="74">(SUMIF($5:$5,D410,$6:$6)-SUMIF($5:$5,$D$24,$6:$6)+100)/100</f>
        <v>0</v>
      </c>
      <c r="F410" s="666"/>
      <c r="G410" s="21">
        <f t="shared" ref="G410:G473" si="75">(SUMIF($7:$7,F410,$8:$8)-SUMIF($7:$7,$F$24,$8:$8)+100)/100</f>
        <v>0.2</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666"/>
      <c r="Q410" s="21">
        <f t="shared" ref="Q410:Q473" si="80">(SUMIF($17:$17,P410,$18:$18)-SUMIF($17:$17,$P$24,$18:$18)+100)/100</f>
        <v>1</v>
      </c>
      <c r="R410" s="662">
        <f t="shared" ref="R410:R473" si="81">IF(B410="",0,ROUND($R$24*C410*E410*G410*I410*K410*M410*O410*Q410,0))</f>
        <v>0</v>
      </c>
      <c r="S410" s="315">
        <f t="shared" si="72"/>
        <v>0</v>
      </c>
    </row>
    <row r="411" spans="1:19">
      <c r="A411" s="150"/>
      <c r="B411" s="54"/>
      <c r="C411" s="21">
        <f t="shared" si="73"/>
        <v>1</v>
      </c>
      <c r="D411" s="666"/>
      <c r="E411" s="21">
        <f t="shared" si="74"/>
        <v>0</v>
      </c>
      <c r="F411" s="666"/>
      <c r="G411" s="21">
        <f t="shared" si="75"/>
        <v>0.2</v>
      </c>
      <c r="H411" s="666"/>
      <c r="I411" s="21">
        <f t="shared" si="76"/>
        <v>1</v>
      </c>
      <c r="J411" s="666"/>
      <c r="K411" s="21">
        <f t="shared" si="77"/>
        <v>1</v>
      </c>
      <c r="L411" s="666"/>
      <c r="M411" s="21">
        <f t="shared" si="78"/>
        <v>1</v>
      </c>
      <c r="N411" s="666"/>
      <c r="O411" s="21">
        <f t="shared" si="79"/>
        <v>1</v>
      </c>
      <c r="P411" s="666"/>
      <c r="Q411" s="21">
        <f t="shared" si="80"/>
        <v>1</v>
      </c>
      <c r="R411" s="662">
        <f t="shared" si="81"/>
        <v>0</v>
      </c>
      <c r="S411" s="315">
        <f t="shared" si="72"/>
        <v>0</v>
      </c>
    </row>
    <row r="412" spans="1:19">
      <c r="A412" s="150"/>
      <c r="B412" s="54"/>
      <c r="C412" s="21">
        <f t="shared" si="73"/>
        <v>1</v>
      </c>
      <c r="D412" s="666"/>
      <c r="E412" s="21">
        <f t="shared" si="74"/>
        <v>0</v>
      </c>
      <c r="F412" s="666"/>
      <c r="G412" s="21">
        <f t="shared" si="75"/>
        <v>0.2</v>
      </c>
      <c r="H412" s="666"/>
      <c r="I412" s="21">
        <f t="shared" si="76"/>
        <v>1</v>
      </c>
      <c r="J412" s="666"/>
      <c r="K412" s="21">
        <f t="shared" si="77"/>
        <v>1</v>
      </c>
      <c r="L412" s="666"/>
      <c r="M412" s="21">
        <f t="shared" si="78"/>
        <v>1</v>
      </c>
      <c r="N412" s="666"/>
      <c r="O412" s="21">
        <f t="shared" si="79"/>
        <v>1</v>
      </c>
      <c r="P412" s="666"/>
      <c r="Q412" s="21">
        <f t="shared" si="80"/>
        <v>1</v>
      </c>
      <c r="R412" s="662">
        <f t="shared" si="81"/>
        <v>0</v>
      </c>
      <c r="S412" s="315">
        <f t="shared" si="72"/>
        <v>0</v>
      </c>
    </row>
    <row r="413" spans="1:19">
      <c r="A413" s="150"/>
      <c r="B413" s="54"/>
      <c r="C413" s="21">
        <f t="shared" si="73"/>
        <v>1</v>
      </c>
      <c r="D413" s="666"/>
      <c r="E413" s="21">
        <f t="shared" si="74"/>
        <v>0</v>
      </c>
      <c r="F413" s="666"/>
      <c r="G413" s="21">
        <f t="shared" si="75"/>
        <v>0.2</v>
      </c>
      <c r="H413" s="666"/>
      <c r="I413" s="21">
        <f t="shared" si="76"/>
        <v>1</v>
      </c>
      <c r="J413" s="666"/>
      <c r="K413" s="21">
        <f t="shared" si="77"/>
        <v>1</v>
      </c>
      <c r="L413" s="666"/>
      <c r="M413" s="21">
        <f t="shared" si="78"/>
        <v>1</v>
      </c>
      <c r="N413" s="666"/>
      <c r="O413" s="21">
        <f t="shared" si="79"/>
        <v>1</v>
      </c>
      <c r="P413" s="666"/>
      <c r="Q413" s="21">
        <f t="shared" si="80"/>
        <v>1</v>
      </c>
      <c r="R413" s="662">
        <f t="shared" si="81"/>
        <v>0</v>
      </c>
      <c r="S413" s="315">
        <f t="shared" si="72"/>
        <v>0</v>
      </c>
    </row>
    <row r="414" spans="1:19">
      <c r="A414" s="150"/>
      <c r="B414" s="54"/>
      <c r="C414" s="21">
        <f t="shared" si="73"/>
        <v>1</v>
      </c>
      <c r="D414" s="666"/>
      <c r="E414" s="21">
        <f t="shared" si="74"/>
        <v>0</v>
      </c>
      <c r="F414" s="666"/>
      <c r="G414" s="21">
        <f t="shared" si="75"/>
        <v>0.2</v>
      </c>
      <c r="H414" s="666"/>
      <c r="I414" s="21">
        <f t="shared" si="76"/>
        <v>1</v>
      </c>
      <c r="J414" s="666"/>
      <c r="K414" s="21">
        <f t="shared" si="77"/>
        <v>1</v>
      </c>
      <c r="L414" s="666"/>
      <c r="M414" s="21">
        <f t="shared" si="78"/>
        <v>1</v>
      </c>
      <c r="N414" s="666"/>
      <c r="O414" s="21">
        <f t="shared" si="79"/>
        <v>1</v>
      </c>
      <c r="P414" s="666"/>
      <c r="Q414" s="21">
        <f t="shared" si="80"/>
        <v>1</v>
      </c>
      <c r="R414" s="662">
        <f t="shared" si="81"/>
        <v>0</v>
      </c>
      <c r="S414" s="315">
        <f t="shared" si="72"/>
        <v>0</v>
      </c>
    </row>
    <row r="415" spans="1:19">
      <c r="A415" s="150"/>
      <c r="B415" s="54"/>
      <c r="C415" s="21">
        <f t="shared" si="73"/>
        <v>1</v>
      </c>
      <c r="D415" s="666"/>
      <c r="E415" s="21">
        <f t="shared" si="74"/>
        <v>0</v>
      </c>
      <c r="F415" s="666"/>
      <c r="G415" s="21">
        <f t="shared" si="75"/>
        <v>0.2</v>
      </c>
      <c r="H415" s="666"/>
      <c r="I415" s="21">
        <f t="shared" si="76"/>
        <v>1</v>
      </c>
      <c r="J415" s="666"/>
      <c r="K415" s="21">
        <f t="shared" si="77"/>
        <v>1</v>
      </c>
      <c r="L415" s="666"/>
      <c r="M415" s="21">
        <f t="shared" si="78"/>
        <v>1</v>
      </c>
      <c r="N415" s="666"/>
      <c r="O415" s="21">
        <f t="shared" si="79"/>
        <v>1</v>
      </c>
      <c r="P415" s="666"/>
      <c r="Q415" s="21">
        <f t="shared" si="80"/>
        <v>1</v>
      </c>
      <c r="R415" s="662">
        <f t="shared" si="81"/>
        <v>0</v>
      </c>
      <c r="S415" s="315">
        <f t="shared" si="72"/>
        <v>0</v>
      </c>
    </row>
    <row r="416" spans="1:19">
      <c r="A416" s="150"/>
      <c r="B416" s="54"/>
      <c r="C416" s="21">
        <f t="shared" si="73"/>
        <v>1</v>
      </c>
      <c r="D416" s="666"/>
      <c r="E416" s="21">
        <f t="shared" si="74"/>
        <v>0</v>
      </c>
      <c r="F416" s="666"/>
      <c r="G416" s="21">
        <f t="shared" si="75"/>
        <v>0.2</v>
      </c>
      <c r="H416" s="666"/>
      <c r="I416" s="21">
        <f t="shared" si="76"/>
        <v>1</v>
      </c>
      <c r="J416" s="666"/>
      <c r="K416" s="21">
        <f t="shared" si="77"/>
        <v>1</v>
      </c>
      <c r="L416" s="666"/>
      <c r="M416" s="21">
        <f t="shared" si="78"/>
        <v>1</v>
      </c>
      <c r="N416" s="666"/>
      <c r="O416" s="21">
        <f t="shared" si="79"/>
        <v>1</v>
      </c>
      <c r="P416" s="666"/>
      <c r="Q416" s="21">
        <f t="shared" si="80"/>
        <v>1</v>
      </c>
      <c r="R416" s="662">
        <f t="shared" si="81"/>
        <v>0</v>
      </c>
      <c r="S416" s="315">
        <f t="shared" si="72"/>
        <v>0</v>
      </c>
    </row>
    <row r="417" spans="1:19">
      <c r="A417" s="150"/>
      <c r="B417" s="54"/>
      <c r="C417" s="21">
        <f t="shared" si="73"/>
        <v>1</v>
      </c>
      <c r="D417" s="666"/>
      <c r="E417" s="21">
        <f t="shared" si="74"/>
        <v>0</v>
      </c>
      <c r="F417" s="666"/>
      <c r="G417" s="21">
        <f t="shared" si="75"/>
        <v>0.2</v>
      </c>
      <c r="H417" s="666"/>
      <c r="I417" s="21">
        <f t="shared" si="76"/>
        <v>1</v>
      </c>
      <c r="J417" s="666"/>
      <c r="K417" s="21">
        <f t="shared" si="77"/>
        <v>1</v>
      </c>
      <c r="L417" s="666"/>
      <c r="M417" s="21">
        <f t="shared" si="78"/>
        <v>1</v>
      </c>
      <c r="N417" s="666"/>
      <c r="O417" s="21">
        <f t="shared" si="79"/>
        <v>1</v>
      </c>
      <c r="P417" s="666"/>
      <c r="Q417" s="21">
        <f t="shared" si="80"/>
        <v>1</v>
      </c>
      <c r="R417" s="662">
        <f t="shared" si="81"/>
        <v>0</v>
      </c>
      <c r="S417" s="315">
        <f t="shared" si="72"/>
        <v>0</v>
      </c>
    </row>
    <row r="418" spans="1:19">
      <c r="A418" s="150"/>
      <c r="B418" s="54"/>
      <c r="C418" s="21">
        <f t="shared" si="73"/>
        <v>1</v>
      </c>
      <c r="D418" s="666"/>
      <c r="E418" s="21">
        <f t="shared" si="74"/>
        <v>0</v>
      </c>
      <c r="F418" s="666"/>
      <c r="G418" s="21">
        <f t="shared" si="75"/>
        <v>0.2</v>
      </c>
      <c r="H418" s="666"/>
      <c r="I418" s="21">
        <f t="shared" si="76"/>
        <v>1</v>
      </c>
      <c r="J418" s="666"/>
      <c r="K418" s="21">
        <f t="shared" si="77"/>
        <v>1</v>
      </c>
      <c r="L418" s="666"/>
      <c r="M418" s="21">
        <f t="shared" si="78"/>
        <v>1</v>
      </c>
      <c r="N418" s="666"/>
      <c r="O418" s="21">
        <f t="shared" si="79"/>
        <v>1</v>
      </c>
      <c r="P418" s="666"/>
      <c r="Q418" s="21">
        <f t="shared" si="80"/>
        <v>1</v>
      </c>
      <c r="R418" s="662">
        <f t="shared" si="81"/>
        <v>0</v>
      </c>
      <c r="S418" s="315">
        <f t="shared" si="72"/>
        <v>0</v>
      </c>
    </row>
    <row r="419" spans="1:19">
      <c r="A419" s="150"/>
      <c r="B419" s="54"/>
      <c r="C419" s="21">
        <f t="shared" si="73"/>
        <v>1</v>
      </c>
      <c r="D419" s="666"/>
      <c r="E419" s="21">
        <f t="shared" si="74"/>
        <v>0</v>
      </c>
      <c r="F419" s="666"/>
      <c r="G419" s="21">
        <f t="shared" si="75"/>
        <v>0.2</v>
      </c>
      <c r="H419" s="666"/>
      <c r="I419" s="21">
        <f t="shared" si="76"/>
        <v>1</v>
      </c>
      <c r="J419" s="666"/>
      <c r="K419" s="21">
        <f t="shared" si="77"/>
        <v>1</v>
      </c>
      <c r="L419" s="666"/>
      <c r="M419" s="21">
        <f t="shared" si="78"/>
        <v>1</v>
      </c>
      <c r="N419" s="666"/>
      <c r="O419" s="21">
        <f t="shared" si="79"/>
        <v>1</v>
      </c>
      <c r="P419" s="666"/>
      <c r="Q419" s="21">
        <f t="shared" si="80"/>
        <v>1</v>
      </c>
      <c r="R419" s="662">
        <f t="shared" si="81"/>
        <v>0</v>
      </c>
      <c r="S419" s="315">
        <f t="shared" si="72"/>
        <v>0</v>
      </c>
    </row>
    <row r="420" spans="1:19">
      <c r="A420" s="150"/>
      <c r="B420" s="54"/>
      <c r="C420" s="21">
        <f t="shared" si="73"/>
        <v>1</v>
      </c>
      <c r="D420" s="666"/>
      <c r="E420" s="21">
        <f t="shared" si="74"/>
        <v>0</v>
      </c>
      <c r="F420" s="666"/>
      <c r="G420" s="21">
        <f t="shared" si="75"/>
        <v>0.2</v>
      </c>
      <c r="H420" s="666"/>
      <c r="I420" s="21">
        <f t="shared" si="76"/>
        <v>1</v>
      </c>
      <c r="J420" s="666"/>
      <c r="K420" s="21">
        <f t="shared" si="77"/>
        <v>1</v>
      </c>
      <c r="L420" s="666"/>
      <c r="M420" s="21">
        <f t="shared" si="78"/>
        <v>1</v>
      </c>
      <c r="N420" s="666"/>
      <c r="O420" s="21">
        <f t="shared" si="79"/>
        <v>1</v>
      </c>
      <c r="P420" s="666"/>
      <c r="Q420" s="21">
        <f t="shared" si="80"/>
        <v>1</v>
      </c>
      <c r="R420" s="662">
        <f t="shared" si="81"/>
        <v>0</v>
      </c>
      <c r="S420" s="315">
        <f t="shared" si="72"/>
        <v>0</v>
      </c>
    </row>
    <row r="421" spans="1:19">
      <c r="A421" s="150"/>
      <c r="B421" s="54"/>
      <c r="C421" s="21">
        <f t="shared" si="73"/>
        <v>1</v>
      </c>
      <c r="D421" s="666"/>
      <c r="E421" s="21">
        <f t="shared" si="74"/>
        <v>0</v>
      </c>
      <c r="F421" s="666"/>
      <c r="G421" s="21">
        <f t="shared" si="75"/>
        <v>0.2</v>
      </c>
      <c r="H421" s="666"/>
      <c r="I421" s="21">
        <f t="shared" si="76"/>
        <v>1</v>
      </c>
      <c r="J421" s="666"/>
      <c r="K421" s="21">
        <f t="shared" si="77"/>
        <v>1</v>
      </c>
      <c r="L421" s="666"/>
      <c r="M421" s="21">
        <f t="shared" si="78"/>
        <v>1</v>
      </c>
      <c r="N421" s="666"/>
      <c r="O421" s="21">
        <f t="shared" si="79"/>
        <v>1</v>
      </c>
      <c r="P421" s="666"/>
      <c r="Q421" s="21">
        <f t="shared" si="80"/>
        <v>1</v>
      </c>
      <c r="R421" s="662">
        <f t="shared" si="81"/>
        <v>0</v>
      </c>
      <c r="S421" s="315">
        <f t="shared" si="72"/>
        <v>0</v>
      </c>
    </row>
    <row r="422" spans="1:19">
      <c r="A422" s="150"/>
      <c r="B422" s="54"/>
      <c r="C422" s="21">
        <f t="shared" si="73"/>
        <v>1</v>
      </c>
      <c r="D422" s="666"/>
      <c r="E422" s="21">
        <f t="shared" si="74"/>
        <v>0</v>
      </c>
      <c r="F422" s="666"/>
      <c r="G422" s="21">
        <f t="shared" si="75"/>
        <v>0.2</v>
      </c>
      <c r="H422" s="666"/>
      <c r="I422" s="21">
        <f t="shared" si="76"/>
        <v>1</v>
      </c>
      <c r="J422" s="666"/>
      <c r="K422" s="21">
        <f t="shared" si="77"/>
        <v>1</v>
      </c>
      <c r="L422" s="666"/>
      <c r="M422" s="21">
        <f t="shared" si="78"/>
        <v>1</v>
      </c>
      <c r="N422" s="666"/>
      <c r="O422" s="21">
        <f t="shared" si="79"/>
        <v>1</v>
      </c>
      <c r="P422" s="666"/>
      <c r="Q422" s="21">
        <f t="shared" si="80"/>
        <v>1</v>
      </c>
      <c r="R422" s="662">
        <f t="shared" si="81"/>
        <v>0</v>
      </c>
      <c r="S422" s="315">
        <f t="shared" si="72"/>
        <v>0</v>
      </c>
    </row>
    <row r="423" spans="1:19">
      <c r="A423" s="150"/>
      <c r="B423" s="54"/>
      <c r="C423" s="21">
        <f t="shared" si="73"/>
        <v>1</v>
      </c>
      <c r="D423" s="666"/>
      <c r="E423" s="21">
        <f t="shared" si="74"/>
        <v>0</v>
      </c>
      <c r="F423" s="666"/>
      <c r="G423" s="21">
        <f t="shared" si="75"/>
        <v>0.2</v>
      </c>
      <c r="H423" s="666"/>
      <c r="I423" s="21">
        <f t="shared" si="76"/>
        <v>1</v>
      </c>
      <c r="J423" s="666"/>
      <c r="K423" s="21">
        <f t="shared" si="77"/>
        <v>1</v>
      </c>
      <c r="L423" s="666"/>
      <c r="M423" s="21">
        <f t="shared" si="78"/>
        <v>1</v>
      </c>
      <c r="N423" s="666"/>
      <c r="O423" s="21">
        <f t="shared" si="79"/>
        <v>1</v>
      </c>
      <c r="P423" s="666"/>
      <c r="Q423" s="21">
        <f t="shared" si="80"/>
        <v>1</v>
      </c>
      <c r="R423" s="662">
        <f t="shared" si="81"/>
        <v>0</v>
      </c>
      <c r="S423" s="315">
        <f t="shared" ref="S423:S467" si="82">ROUND(R423*B423/10000,0)</f>
        <v>0</v>
      </c>
    </row>
    <row r="424" spans="1:19">
      <c r="A424" s="150"/>
      <c r="B424" s="54"/>
      <c r="C424" s="21">
        <f t="shared" si="73"/>
        <v>1</v>
      </c>
      <c r="D424" s="666"/>
      <c r="E424" s="21">
        <f t="shared" si="74"/>
        <v>0</v>
      </c>
      <c r="F424" s="666"/>
      <c r="G424" s="21">
        <f t="shared" si="75"/>
        <v>0.2</v>
      </c>
      <c r="H424" s="666"/>
      <c r="I424" s="21">
        <f t="shared" si="76"/>
        <v>1</v>
      </c>
      <c r="J424" s="666"/>
      <c r="K424" s="21">
        <f t="shared" si="77"/>
        <v>1</v>
      </c>
      <c r="L424" s="666"/>
      <c r="M424" s="21">
        <f t="shared" si="78"/>
        <v>1</v>
      </c>
      <c r="N424" s="666"/>
      <c r="O424" s="21">
        <f t="shared" si="79"/>
        <v>1</v>
      </c>
      <c r="P424" s="666"/>
      <c r="Q424" s="21">
        <f t="shared" si="80"/>
        <v>1</v>
      </c>
      <c r="R424" s="662">
        <f t="shared" si="81"/>
        <v>0</v>
      </c>
      <c r="S424" s="315">
        <f t="shared" si="82"/>
        <v>0</v>
      </c>
    </row>
    <row r="425" spans="1:19">
      <c r="A425" s="150"/>
      <c r="B425" s="54"/>
      <c r="C425" s="21">
        <f t="shared" si="73"/>
        <v>1</v>
      </c>
      <c r="D425" s="666"/>
      <c r="E425" s="21">
        <f t="shared" si="74"/>
        <v>0</v>
      </c>
      <c r="F425" s="666"/>
      <c r="G425" s="21">
        <f t="shared" si="75"/>
        <v>0.2</v>
      </c>
      <c r="H425" s="666"/>
      <c r="I425" s="21">
        <f t="shared" si="76"/>
        <v>1</v>
      </c>
      <c r="J425" s="666"/>
      <c r="K425" s="21">
        <f t="shared" si="77"/>
        <v>1</v>
      </c>
      <c r="L425" s="666"/>
      <c r="M425" s="21">
        <f t="shared" si="78"/>
        <v>1</v>
      </c>
      <c r="N425" s="666"/>
      <c r="O425" s="21">
        <f t="shared" si="79"/>
        <v>1</v>
      </c>
      <c r="P425" s="666"/>
      <c r="Q425" s="21">
        <f t="shared" si="80"/>
        <v>1</v>
      </c>
      <c r="R425" s="662">
        <f t="shared" si="81"/>
        <v>0</v>
      </c>
      <c r="S425" s="315">
        <f t="shared" si="82"/>
        <v>0</v>
      </c>
    </row>
    <row r="426" spans="1:19">
      <c r="A426" s="150"/>
      <c r="B426" s="54"/>
      <c r="C426" s="21">
        <f t="shared" si="73"/>
        <v>1</v>
      </c>
      <c r="D426" s="666"/>
      <c r="E426" s="21">
        <f t="shared" si="74"/>
        <v>0</v>
      </c>
      <c r="F426" s="666"/>
      <c r="G426" s="21">
        <f t="shared" si="75"/>
        <v>0.2</v>
      </c>
      <c r="H426" s="666"/>
      <c r="I426" s="21">
        <f t="shared" si="76"/>
        <v>1</v>
      </c>
      <c r="J426" s="666"/>
      <c r="K426" s="21">
        <f t="shared" si="77"/>
        <v>1</v>
      </c>
      <c r="L426" s="666"/>
      <c r="M426" s="21">
        <f t="shared" si="78"/>
        <v>1</v>
      </c>
      <c r="N426" s="666"/>
      <c r="O426" s="21">
        <f t="shared" si="79"/>
        <v>1</v>
      </c>
      <c r="P426" s="666"/>
      <c r="Q426" s="21">
        <f t="shared" si="80"/>
        <v>1</v>
      </c>
      <c r="R426" s="662">
        <f t="shared" si="81"/>
        <v>0</v>
      </c>
      <c r="S426" s="315">
        <f t="shared" si="82"/>
        <v>0</v>
      </c>
    </row>
    <row r="427" spans="1:19">
      <c r="A427" s="150"/>
      <c r="B427" s="54"/>
      <c r="C427" s="21">
        <f t="shared" si="73"/>
        <v>1</v>
      </c>
      <c r="D427" s="666"/>
      <c r="E427" s="21">
        <f t="shared" si="74"/>
        <v>0</v>
      </c>
      <c r="F427" s="666"/>
      <c r="G427" s="21">
        <f t="shared" si="75"/>
        <v>0.2</v>
      </c>
      <c r="H427" s="666"/>
      <c r="I427" s="21">
        <f t="shared" si="76"/>
        <v>1</v>
      </c>
      <c r="J427" s="666"/>
      <c r="K427" s="21">
        <f t="shared" si="77"/>
        <v>1</v>
      </c>
      <c r="L427" s="666"/>
      <c r="M427" s="21">
        <f t="shared" si="78"/>
        <v>1</v>
      </c>
      <c r="N427" s="666"/>
      <c r="O427" s="21">
        <f t="shared" si="79"/>
        <v>1</v>
      </c>
      <c r="P427" s="666"/>
      <c r="Q427" s="21">
        <f t="shared" si="80"/>
        <v>1</v>
      </c>
      <c r="R427" s="662">
        <f t="shared" si="81"/>
        <v>0</v>
      </c>
      <c r="S427" s="315">
        <f t="shared" si="82"/>
        <v>0</v>
      </c>
    </row>
    <row r="428" spans="1:19">
      <c r="A428" s="150"/>
      <c r="B428" s="54"/>
      <c r="C428" s="21">
        <f t="shared" si="73"/>
        <v>1</v>
      </c>
      <c r="D428" s="666"/>
      <c r="E428" s="21">
        <f t="shared" si="74"/>
        <v>0</v>
      </c>
      <c r="F428" s="666"/>
      <c r="G428" s="21">
        <f t="shared" si="75"/>
        <v>0.2</v>
      </c>
      <c r="H428" s="666"/>
      <c r="I428" s="21">
        <f t="shared" si="76"/>
        <v>1</v>
      </c>
      <c r="J428" s="666"/>
      <c r="K428" s="21">
        <f t="shared" si="77"/>
        <v>1</v>
      </c>
      <c r="L428" s="666"/>
      <c r="M428" s="21">
        <f t="shared" si="78"/>
        <v>1</v>
      </c>
      <c r="N428" s="666"/>
      <c r="O428" s="21">
        <f t="shared" si="79"/>
        <v>1</v>
      </c>
      <c r="P428" s="666"/>
      <c r="Q428" s="21">
        <f t="shared" si="80"/>
        <v>1</v>
      </c>
      <c r="R428" s="662">
        <f t="shared" si="81"/>
        <v>0</v>
      </c>
      <c r="S428" s="315">
        <f t="shared" si="82"/>
        <v>0</v>
      </c>
    </row>
    <row r="429" spans="1:19">
      <c r="A429" s="150"/>
      <c r="B429" s="54"/>
      <c r="C429" s="21">
        <f t="shared" si="73"/>
        <v>1</v>
      </c>
      <c r="D429" s="666"/>
      <c r="E429" s="21">
        <f t="shared" si="74"/>
        <v>0</v>
      </c>
      <c r="F429" s="666"/>
      <c r="G429" s="21">
        <f t="shared" si="75"/>
        <v>0.2</v>
      </c>
      <c r="H429" s="666"/>
      <c r="I429" s="21">
        <f t="shared" si="76"/>
        <v>1</v>
      </c>
      <c r="J429" s="666"/>
      <c r="K429" s="21">
        <f t="shared" si="77"/>
        <v>1</v>
      </c>
      <c r="L429" s="666"/>
      <c r="M429" s="21">
        <f t="shared" si="78"/>
        <v>1</v>
      </c>
      <c r="N429" s="666"/>
      <c r="O429" s="21">
        <f t="shared" si="79"/>
        <v>1</v>
      </c>
      <c r="P429" s="666"/>
      <c r="Q429" s="21">
        <f t="shared" si="80"/>
        <v>1</v>
      </c>
      <c r="R429" s="662">
        <f t="shared" si="81"/>
        <v>0</v>
      </c>
      <c r="S429" s="315">
        <f t="shared" si="82"/>
        <v>0</v>
      </c>
    </row>
    <row r="430" spans="1:19">
      <c r="A430" s="150"/>
      <c r="B430" s="54"/>
      <c r="C430" s="21">
        <f t="shared" si="73"/>
        <v>1</v>
      </c>
      <c r="D430" s="666"/>
      <c r="E430" s="21">
        <f t="shared" si="74"/>
        <v>0</v>
      </c>
      <c r="F430" s="666"/>
      <c r="G430" s="21">
        <f t="shared" si="75"/>
        <v>0.2</v>
      </c>
      <c r="H430" s="666"/>
      <c r="I430" s="21">
        <f t="shared" si="76"/>
        <v>1</v>
      </c>
      <c r="J430" s="666"/>
      <c r="K430" s="21">
        <f t="shared" si="77"/>
        <v>1</v>
      </c>
      <c r="L430" s="666"/>
      <c r="M430" s="21">
        <f t="shared" si="78"/>
        <v>1</v>
      </c>
      <c r="N430" s="666"/>
      <c r="O430" s="21">
        <f t="shared" si="79"/>
        <v>1</v>
      </c>
      <c r="P430" s="666"/>
      <c r="Q430" s="21">
        <f t="shared" si="80"/>
        <v>1</v>
      </c>
      <c r="R430" s="662">
        <f t="shared" si="81"/>
        <v>0</v>
      </c>
      <c r="S430" s="315">
        <f t="shared" si="82"/>
        <v>0</v>
      </c>
    </row>
    <row r="431" spans="1:19">
      <c r="A431" s="150"/>
      <c r="B431" s="54"/>
      <c r="C431" s="21">
        <f t="shared" si="73"/>
        <v>1</v>
      </c>
      <c r="D431" s="666"/>
      <c r="E431" s="21">
        <f t="shared" si="74"/>
        <v>0</v>
      </c>
      <c r="F431" s="666"/>
      <c r="G431" s="21">
        <f t="shared" si="75"/>
        <v>0.2</v>
      </c>
      <c r="H431" s="666"/>
      <c r="I431" s="21">
        <f t="shared" si="76"/>
        <v>1</v>
      </c>
      <c r="J431" s="666"/>
      <c r="K431" s="21">
        <f t="shared" si="77"/>
        <v>1</v>
      </c>
      <c r="L431" s="666"/>
      <c r="M431" s="21">
        <f t="shared" si="78"/>
        <v>1</v>
      </c>
      <c r="N431" s="666"/>
      <c r="O431" s="21">
        <f t="shared" si="79"/>
        <v>1</v>
      </c>
      <c r="P431" s="666"/>
      <c r="Q431" s="21">
        <f t="shared" si="80"/>
        <v>1</v>
      </c>
      <c r="R431" s="662">
        <f t="shared" si="81"/>
        <v>0</v>
      </c>
      <c r="S431" s="315">
        <f t="shared" si="82"/>
        <v>0</v>
      </c>
    </row>
    <row r="432" spans="1:19">
      <c r="A432" s="150"/>
      <c r="B432" s="54"/>
      <c r="C432" s="21">
        <f t="shared" si="73"/>
        <v>1</v>
      </c>
      <c r="D432" s="666"/>
      <c r="E432" s="21">
        <f t="shared" si="74"/>
        <v>0</v>
      </c>
      <c r="F432" s="666"/>
      <c r="G432" s="21">
        <f t="shared" si="75"/>
        <v>0.2</v>
      </c>
      <c r="H432" s="666"/>
      <c r="I432" s="21">
        <f t="shared" si="76"/>
        <v>1</v>
      </c>
      <c r="J432" s="666"/>
      <c r="K432" s="21">
        <f t="shared" si="77"/>
        <v>1</v>
      </c>
      <c r="L432" s="666"/>
      <c r="M432" s="21">
        <f t="shared" si="78"/>
        <v>1</v>
      </c>
      <c r="N432" s="666"/>
      <c r="O432" s="21">
        <f t="shared" si="79"/>
        <v>1</v>
      </c>
      <c r="P432" s="666"/>
      <c r="Q432" s="21">
        <f t="shared" si="80"/>
        <v>1</v>
      </c>
      <c r="R432" s="662">
        <f t="shared" si="81"/>
        <v>0</v>
      </c>
      <c r="S432" s="315">
        <f t="shared" si="82"/>
        <v>0</v>
      </c>
    </row>
    <row r="433" spans="1:19">
      <c r="A433" s="150"/>
      <c r="B433" s="54"/>
      <c r="C433" s="21">
        <f t="shared" si="73"/>
        <v>1</v>
      </c>
      <c r="D433" s="666"/>
      <c r="E433" s="21">
        <f t="shared" si="74"/>
        <v>0</v>
      </c>
      <c r="F433" s="666"/>
      <c r="G433" s="21">
        <f t="shared" si="75"/>
        <v>0.2</v>
      </c>
      <c r="H433" s="666"/>
      <c r="I433" s="21">
        <f t="shared" si="76"/>
        <v>1</v>
      </c>
      <c r="J433" s="666"/>
      <c r="K433" s="21">
        <f t="shared" si="77"/>
        <v>1</v>
      </c>
      <c r="L433" s="666"/>
      <c r="M433" s="21">
        <f t="shared" si="78"/>
        <v>1</v>
      </c>
      <c r="N433" s="666"/>
      <c r="O433" s="21">
        <f t="shared" si="79"/>
        <v>1</v>
      </c>
      <c r="P433" s="666"/>
      <c r="Q433" s="21">
        <f t="shared" si="80"/>
        <v>1</v>
      </c>
      <c r="R433" s="662">
        <f t="shared" si="81"/>
        <v>0</v>
      </c>
      <c r="S433" s="315">
        <f t="shared" si="82"/>
        <v>0</v>
      </c>
    </row>
    <row r="434" spans="1:19">
      <c r="A434" s="150"/>
      <c r="B434" s="54"/>
      <c r="C434" s="21">
        <f t="shared" si="73"/>
        <v>1</v>
      </c>
      <c r="D434" s="666"/>
      <c r="E434" s="21">
        <f t="shared" si="74"/>
        <v>0</v>
      </c>
      <c r="F434" s="666"/>
      <c r="G434" s="21">
        <f t="shared" si="75"/>
        <v>0.2</v>
      </c>
      <c r="H434" s="666"/>
      <c r="I434" s="21">
        <f t="shared" si="76"/>
        <v>1</v>
      </c>
      <c r="J434" s="666"/>
      <c r="K434" s="21">
        <f t="shared" si="77"/>
        <v>1</v>
      </c>
      <c r="L434" s="666"/>
      <c r="M434" s="21">
        <f t="shared" si="78"/>
        <v>1</v>
      </c>
      <c r="N434" s="666"/>
      <c r="O434" s="21">
        <f t="shared" si="79"/>
        <v>1</v>
      </c>
      <c r="P434" s="666"/>
      <c r="Q434" s="21">
        <f t="shared" si="80"/>
        <v>1</v>
      </c>
      <c r="R434" s="662">
        <f t="shared" si="81"/>
        <v>0</v>
      </c>
      <c r="S434" s="315">
        <f t="shared" si="82"/>
        <v>0</v>
      </c>
    </row>
    <row r="435" spans="1:19">
      <c r="A435" s="150"/>
      <c r="B435" s="54"/>
      <c r="C435" s="21">
        <f t="shared" si="73"/>
        <v>1</v>
      </c>
      <c r="D435" s="666"/>
      <c r="E435" s="21">
        <f t="shared" si="74"/>
        <v>0</v>
      </c>
      <c r="F435" s="666"/>
      <c r="G435" s="21">
        <f t="shared" si="75"/>
        <v>0.2</v>
      </c>
      <c r="H435" s="666"/>
      <c r="I435" s="21">
        <f t="shared" si="76"/>
        <v>1</v>
      </c>
      <c r="J435" s="666"/>
      <c r="K435" s="21">
        <f t="shared" si="77"/>
        <v>1</v>
      </c>
      <c r="L435" s="666"/>
      <c r="M435" s="21">
        <f t="shared" si="78"/>
        <v>1</v>
      </c>
      <c r="N435" s="666"/>
      <c r="O435" s="21">
        <f t="shared" si="79"/>
        <v>1</v>
      </c>
      <c r="P435" s="666"/>
      <c r="Q435" s="21">
        <f t="shared" si="80"/>
        <v>1</v>
      </c>
      <c r="R435" s="662">
        <f t="shared" si="81"/>
        <v>0</v>
      </c>
      <c r="S435" s="315">
        <f t="shared" si="82"/>
        <v>0</v>
      </c>
    </row>
    <row r="436" spans="1:19">
      <c r="A436" s="150"/>
      <c r="B436" s="54"/>
      <c r="C436" s="21">
        <f t="shared" si="73"/>
        <v>1</v>
      </c>
      <c r="D436" s="666"/>
      <c r="E436" s="21">
        <f t="shared" si="74"/>
        <v>0</v>
      </c>
      <c r="F436" s="666"/>
      <c r="G436" s="21">
        <f t="shared" si="75"/>
        <v>0.2</v>
      </c>
      <c r="H436" s="666"/>
      <c r="I436" s="21">
        <f t="shared" si="76"/>
        <v>1</v>
      </c>
      <c r="J436" s="666"/>
      <c r="K436" s="21">
        <f t="shared" si="77"/>
        <v>1</v>
      </c>
      <c r="L436" s="666"/>
      <c r="M436" s="21">
        <f t="shared" si="78"/>
        <v>1</v>
      </c>
      <c r="N436" s="666"/>
      <c r="O436" s="21">
        <f t="shared" si="79"/>
        <v>1</v>
      </c>
      <c r="P436" s="666"/>
      <c r="Q436" s="21">
        <f t="shared" si="80"/>
        <v>1</v>
      </c>
      <c r="R436" s="662">
        <f t="shared" si="81"/>
        <v>0</v>
      </c>
      <c r="S436" s="315">
        <f t="shared" si="82"/>
        <v>0</v>
      </c>
    </row>
    <row r="437" spans="1:19">
      <c r="A437" s="150"/>
      <c r="B437" s="54"/>
      <c r="C437" s="21">
        <f t="shared" si="73"/>
        <v>1</v>
      </c>
      <c r="D437" s="666"/>
      <c r="E437" s="21">
        <f t="shared" si="74"/>
        <v>0</v>
      </c>
      <c r="F437" s="666"/>
      <c r="G437" s="21">
        <f t="shared" si="75"/>
        <v>0.2</v>
      </c>
      <c r="H437" s="666"/>
      <c r="I437" s="21">
        <f t="shared" si="76"/>
        <v>1</v>
      </c>
      <c r="J437" s="666"/>
      <c r="K437" s="21">
        <f t="shared" si="77"/>
        <v>1</v>
      </c>
      <c r="L437" s="666"/>
      <c r="M437" s="21">
        <f t="shared" si="78"/>
        <v>1</v>
      </c>
      <c r="N437" s="666"/>
      <c r="O437" s="21">
        <f t="shared" si="79"/>
        <v>1</v>
      </c>
      <c r="P437" s="666"/>
      <c r="Q437" s="21">
        <f t="shared" si="80"/>
        <v>1</v>
      </c>
      <c r="R437" s="662">
        <f t="shared" si="81"/>
        <v>0</v>
      </c>
      <c r="S437" s="315">
        <f t="shared" si="82"/>
        <v>0</v>
      </c>
    </row>
    <row r="438" spans="1:19">
      <c r="A438" s="150"/>
      <c r="B438" s="54"/>
      <c r="C438" s="21">
        <f t="shared" si="73"/>
        <v>1</v>
      </c>
      <c r="D438" s="666"/>
      <c r="E438" s="21">
        <f t="shared" si="74"/>
        <v>0</v>
      </c>
      <c r="F438" s="666"/>
      <c r="G438" s="21">
        <f t="shared" si="75"/>
        <v>0.2</v>
      </c>
      <c r="H438" s="666"/>
      <c r="I438" s="21">
        <f t="shared" si="76"/>
        <v>1</v>
      </c>
      <c r="J438" s="666"/>
      <c r="K438" s="21">
        <f t="shared" si="77"/>
        <v>1</v>
      </c>
      <c r="L438" s="666"/>
      <c r="M438" s="21">
        <f t="shared" si="78"/>
        <v>1</v>
      </c>
      <c r="N438" s="666"/>
      <c r="O438" s="21">
        <f t="shared" si="79"/>
        <v>1</v>
      </c>
      <c r="P438" s="666"/>
      <c r="Q438" s="21">
        <f t="shared" si="80"/>
        <v>1</v>
      </c>
      <c r="R438" s="662">
        <f t="shared" si="81"/>
        <v>0</v>
      </c>
      <c r="S438" s="315">
        <f t="shared" si="82"/>
        <v>0</v>
      </c>
    </row>
    <row r="439" spans="1:19">
      <c r="A439" s="150"/>
      <c r="B439" s="54"/>
      <c r="C439" s="21">
        <f t="shared" si="73"/>
        <v>1</v>
      </c>
      <c r="D439" s="666"/>
      <c r="E439" s="21">
        <f t="shared" si="74"/>
        <v>0</v>
      </c>
      <c r="F439" s="666"/>
      <c r="G439" s="21">
        <f t="shared" si="75"/>
        <v>0.2</v>
      </c>
      <c r="H439" s="666"/>
      <c r="I439" s="21">
        <f t="shared" si="76"/>
        <v>1</v>
      </c>
      <c r="J439" s="666"/>
      <c r="K439" s="21">
        <f t="shared" si="77"/>
        <v>1</v>
      </c>
      <c r="L439" s="666"/>
      <c r="M439" s="21">
        <f t="shared" si="78"/>
        <v>1</v>
      </c>
      <c r="N439" s="666"/>
      <c r="O439" s="21">
        <f t="shared" si="79"/>
        <v>1</v>
      </c>
      <c r="P439" s="666"/>
      <c r="Q439" s="21">
        <f t="shared" si="80"/>
        <v>1</v>
      </c>
      <c r="R439" s="662">
        <f t="shared" si="81"/>
        <v>0</v>
      </c>
      <c r="S439" s="315">
        <f t="shared" si="82"/>
        <v>0</v>
      </c>
    </row>
    <row r="440" spans="1:19">
      <c r="A440" s="150"/>
      <c r="B440" s="54"/>
      <c r="C440" s="21">
        <f t="shared" si="73"/>
        <v>1</v>
      </c>
      <c r="D440" s="666"/>
      <c r="E440" s="21">
        <f t="shared" si="74"/>
        <v>0</v>
      </c>
      <c r="F440" s="666"/>
      <c r="G440" s="21">
        <f t="shared" si="75"/>
        <v>0.2</v>
      </c>
      <c r="H440" s="666"/>
      <c r="I440" s="21">
        <f t="shared" si="76"/>
        <v>1</v>
      </c>
      <c r="J440" s="666"/>
      <c r="K440" s="21">
        <f t="shared" si="77"/>
        <v>1</v>
      </c>
      <c r="L440" s="666"/>
      <c r="M440" s="21">
        <f t="shared" si="78"/>
        <v>1</v>
      </c>
      <c r="N440" s="666"/>
      <c r="O440" s="21">
        <f t="shared" si="79"/>
        <v>1</v>
      </c>
      <c r="P440" s="666"/>
      <c r="Q440" s="21">
        <f t="shared" si="80"/>
        <v>1</v>
      </c>
      <c r="R440" s="662">
        <f t="shared" si="81"/>
        <v>0</v>
      </c>
      <c r="S440" s="315">
        <f t="shared" si="82"/>
        <v>0</v>
      </c>
    </row>
    <row r="441" spans="1:19">
      <c r="A441" s="150"/>
      <c r="B441" s="54"/>
      <c r="C441" s="21">
        <f t="shared" si="73"/>
        <v>1</v>
      </c>
      <c r="D441" s="666"/>
      <c r="E441" s="21">
        <f t="shared" si="74"/>
        <v>0</v>
      </c>
      <c r="F441" s="666"/>
      <c r="G441" s="21">
        <f t="shared" si="75"/>
        <v>0.2</v>
      </c>
      <c r="H441" s="666"/>
      <c r="I441" s="21">
        <f t="shared" si="76"/>
        <v>1</v>
      </c>
      <c r="J441" s="666"/>
      <c r="K441" s="21">
        <f t="shared" si="77"/>
        <v>1</v>
      </c>
      <c r="L441" s="666"/>
      <c r="M441" s="21">
        <f t="shared" si="78"/>
        <v>1</v>
      </c>
      <c r="N441" s="666"/>
      <c r="O441" s="21">
        <f t="shared" si="79"/>
        <v>1</v>
      </c>
      <c r="P441" s="666"/>
      <c r="Q441" s="21">
        <f t="shared" si="80"/>
        <v>1</v>
      </c>
      <c r="R441" s="662">
        <f t="shared" si="81"/>
        <v>0</v>
      </c>
      <c r="S441" s="315">
        <f t="shared" si="82"/>
        <v>0</v>
      </c>
    </row>
    <row r="442" spans="1:19">
      <c r="A442" s="150"/>
      <c r="B442" s="54"/>
      <c r="C442" s="21">
        <f t="shared" si="73"/>
        <v>1</v>
      </c>
      <c r="D442" s="666"/>
      <c r="E442" s="21">
        <f t="shared" si="74"/>
        <v>0</v>
      </c>
      <c r="F442" s="666"/>
      <c r="G442" s="21">
        <f t="shared" si="75"/>
        <v>0.2</v>
      </c>
      <c r="H442" s="666"/>
      <c r="I442" s="21">
        <f t="shared" si="76"/>
        <v>1</v>
      </c>
      <c r="J442" s="666"/>
      <c r="K442" s="21">
        <f t="shared" si="77"/>
        <v>1</v>
      </c>
      <c r="L442" s="666"/>
      <c r="M442" s="21">
        <f t="shared" si="78"/>
        <v>1</v>
      </c>
      <c r="N442" s="666"/>
      <c r="O442" s="21">
        <f t="shared" si="79"/>
        <v>1</v>
      </c>
      <c r="P442" s="666"/>
      <c r="Q442" s="21">
        <f t="shared" si="80"/>
        <v>1</v>
      </c>
      <c r="R442" s="662">
        <f t="shared" si="81"/>
        <v>0</v>
      </c>
      <c r="S442" s="315">
        <f t="shared" si="82"/>
        <v>0</v>
      </c>
    </row>
    <row r="443" spans="1:19">
      <c r="A443" s="150"/>
      <c r="B443" s="54"/>
      <c r="C443" s="21">
        <f t="shared" si="73"/>
        <v>1</v>
      </c>
      <c r="D443" s="666"/>
      <c r="E443" s="21">
        <f t="shared" si="74"/>
        <v>0</v>
      </c>
      <c r="F443" s="666"/>
      <c r="G443" s="21">
        <f t="shared" si="75"/>
        <v>0.2</v>
      </c>
      <c r="H443" s="666"/>
      <c r="I443" s="21">
        <f t="shared" si="76"/>
        <v>1</v>
      </c>
      <c r="J443" s="666"/>
      <c r="K443" s="21">
        <f t="shared" si="77"/>
        <v>1</v>
      </c>
      <c r="L443" s="666"/>
      <c r="M443" s="21">
        <f t="shared" si="78"/>
        <v>1</v>
      </c>
      <c r="N443" s="666"/>
      <c r="O443" s="21">
        <f t="shared" si="79"/>
        <v>1</v>
      </c>
      <c r="P443" s="666"/>
      <c r="Q443" s="21">
        <f t="shared" si="80"/>
        <v>1</v>
      </c>
      <c r="R443" s="662">
        <f t="shared" si="81"/>
        <v>0</v>
      </c>
      <c r="S443" s="315">
        <f t="shared" si="82"/>
        <v>0</v>
      </c>
    </row>
    <row r="444" spans="1:19">
      <c r="A444" s="150"/>
      <c r="B444" s="54"/>
      <c r="C444" s="21">
        <f t="shared" si="73"/>
        <v>1</v>
      </c>
      <c r="D444" s="666"/>
      <c r="E444" s="21">
        <f t="shared" si="74"/>
        <v>0</v>
      </c>
      <c r="F444" s="666"/>
      <c r="G444" s="21">
        <f t="shared" si="75"/>
        <v>0.2</v>
      </c>
      <c r="H444" s="666"/>
      <c r="I444" s="21">
        <f t="shared" si="76"/>
        <v>1</v>
      </c>
      <c r="J444" s="666"/>
      <c r="K444" s="21">
        <f t="shared" si="77"/>
        <v>1</v>
      </c>
      <c r="L444" s="666"/>
      <c r="M444" s="21">
        <f t="shared" si="78"/>
        <v>1</v>
      </c>
      <c r="N444" s="666"/>
      <c r="O444" s="21">
        <f t="shared" si="79"/>
        <v>1</v>
      </c>
      <c r="P444" s="666"/>
      <c r="Q444" s="21">
        <f t="shared" si="80"/>
        <v>1</v>
      </c>
      <c r="R444" s="662">
        <f t="shared" si="81"/>
        <v>0</v>
      </c>
      <c r="S444" s="315">
        <f t="shared" si="82"/>
        <v>0</v>
      </c>
    </row>
    <row r="445" spans="1:19">
      <c r="A445" s="150"/>
      <c r="B445" s="54"/>
      <c r="C445" s="21">
        <f t="shared" si="73"/>
        <v>1</v>
      </c>
      <c r="D445" s="666"/>
      <c r="E445" s="21">
        <f t="shared" si="74"/>
        <v>0</v>
      </c>
      <c r="F445" s="666"/>
      <c r="G445" s="21">
        <f t="shared" si="75"/>
        <v>0.2</v>
      </c>
      <c r="H445" s="666"/>
      <c r="I445" s="21">
        <f t="shared" si="76"/>
        <v>1</v>
      </c>
      <c r="J445" s="666"/>
      <c r="K445" s="21">
        <f t="shared" si="77"/>
        <v>1</v>
      </c>
      <c r="L445" s="666"/>
      <c r="M445" s="21">
        <f t="shared" si="78"/>
        <v>1</v>
      </c>
      <c r="N445" s="666"/>
      <c r="O445" s="21">
        <f t="shared" si="79"/>
        <v>1</v>
      </c>
      <c r="P445" s="666"/>
      <c r="Q445" s="21">
        <f t="shared" si="80"/>
        <v>1</v>
      </c>
      <c r="R445" s="662">
        <f t="shared" si="81"/>
        <v>0</v>
      </c>
      <c r="S445" s="315">
        <f t="shared" si="82"/>
        <v>0</v>
      </c>
    </row>
    <row r="446" spans="1:19">
      <c r="A446" s="150"/>
      <c r="B446" s="54"/>
      <c r="C446" s="21">
        <f t="shared" si="73"/>
        <v>1</v>
      </c>
      <c r="D446" s="666"/>
      <c r="E446" s="21">
        <f t="shared" si="74"/>
        <v>0</v>
      </c>
      <c r="F446" s="666"/>
      <c r="G446" s="21">
        <f t="shared" si="75"/>
        <v>0.2</v>
      </c>
      <c r="H446" s="666"/>
      <c r="I446" s="21">
        <f t="shared" si="76"/>
        <v>1</v>
      </c>
      <c r="J446" s="666"/>
      <c r="K446" s="21">
        <f t="shared" si="77"/>
        <v>1</v>
      </c>
      <c r="L446" s="666"/>
      <c r="M446" s="21">
        <f t="shared" si="78"/>
        <v>1</v>
      </c>
      <c r="N446" s="666"/>
      <c r="O446" s="21">
        <f t="shared" si="79"/>
        <v>1</v>
      </c>
      <c r="P446" s="666"/>
      <c r="Q446" s="21">
        <f t="shared" si="80"/>
        <v>1</v>
      </c>
      <c r="R446" s="662">
        <f t="shared" si="81"/>
        <v>0</v>
      </c>
      <c r="S446" s="315">
        <f t="shared" si="82"/>
        <v>0</v>
      </c>
    </row>
    <row r="447" spans="1:19">
      <c r="A447" s="150"/>
      <c r="B447" s="54"/>
      <c r="C447" s="21">
        <f t="shared" si="73"/>
        <v>1</v>
      </c>
      <c r="D447" s="666"/>
      <c r="E447" s="21">
        <f t="shared" si="74"/>
        <v>0</v>
      </c>
      <c r="F447" s="666"/>
      <c r="G447" s="21">
        <f t="shared" si="75"/>
        <v>0.2</v>
      </c>
      <c r="H447" s="666"/>
      <c r="I447" s="21">
        <f t="shared" si="76"/>
        <v>1</v>
      </c>
      <c r="J447" s="666"/>
      <c r="K447" s="21">
        <f t="shared" si="77"/>
        <v>1</v>
      </c>
      <c r="L447" s="666"/>
      <c r="M447" s="21">
        <f t="shared" si="78"/>
        <v>1</v>
      </c>
      <c r="N447" s="666"/>
      <c r="O447" s="21">
        <f t="shared" si="79"/>
        <v>1</v>
      </c>
      <c r="P447" s="666"/>
      <c r="Q447" s="21">
        <f t="shared" si="80"/>
        <v>1</v>
      </c>
      <c r="R447" s="662">
        <f t="shared" si="81"/>
        <v>0</v>
      </c>
      <c r="S447" s="315">
        <f t="shared" si="82"/>
        <v>0</v>
      </c>
    </row>
    <row r="448" spans="1:19">
      <c r="A448" s="150"/>
      <c r="B448" s="54"/>
      <c r="C448" s="21">
        <f t="shared" si="73"/>
        <v>1</v>
      </c>
      <c r="D448" s="666"/>
      <c r="E448" s="21">
        <f t="shared" si="74"/>
        <v>0</v>
      </c>
      <c r="F448" s="666"/>
      <c r="G448" s="21">
        <f t="shared" si="75"/>
        <v>0.2</v>
      </c>
      <c r="H448" s="666"/>
      <c r="I448" s="21">
        <f t="shared" si="76"/>
        <v>1</v>
      </c>
      <c r="J448" s="666"/>
      <c r="K448" s="21">
        <f t="shared" si="77"/>
        <v>1</v>
      </c>
      <c r="L448" s="666"/>
      <c r="M448" s="21">
        <f t="shared" si="78"/>
        <v>1</v>
      </c>
      <c r="N448" s="666"/>
      <c r="O448" s="21">
        <f t="shared" si="79"/>
        <v>1</v>
      </c>
      <c r="P448" s="666"/>
      <c r="Q448" s="21">
        <f t="shared" si="80"/>
        <v>1</v>
      </c>
      <c r="R448" s="662">
        <f t="shared" si="81"/>
        <v>0</v>
      </c>
      <c r="S448" s="315">
        <f t="shared" si="82"/>
        <v>0</v>
      </c>
    </row>
    <row r="449" spans="1:19">
      <c r="A449" s="150"/>
      <c r="B449" s="54"/>
      <c r="C449" s="21">
        <f t="shared" si="73"/>
        <v>1</v>
      </c>
      <c r="D449" s="666"/>
      <c r="E449" s="21">
        <f t="shared" si="74"/>
        <v>0</v>
      </c>
      <c r="F449" s="666"/>
      <c r="G449" s="21">
        <f t="shared" si="75"/>
        <v>0.2</v>
      </c>
      <c r="H449" s="666"/>
      <c r="I449" s="21">
        <f t="shared" si="76"/>
        <v>1</v>
      </c>
      <c r="J449" s="666"/>
      <c r="K449" s="21">
        <f t="shared" si="77"/>
        <v>1</v>
      </c>
      <c r="L449" s="666"/>
      <c r="M449" s="21">
        <f t="shared" si="78"/>
        <v>1</v>
      </c>
      <c r="N449" s="666"/>
      <c r="O449" s="21">
        <f t="shared" si="79"/>
        <v>1</v>
      </c>
      <c r="P449" s="666"/>
      <c r="Q449" s="21">
        <f t="shared" si="80"/>
        <v>1</v>
      </c>
      <c r="R449" s="662">
        <f t="shared" si="81"/>
        <v>0</v>
      </c>
      <c r="S449" s="315">
        <f t="shared" si="82"/>
        <v>0</v>
      </c>
    </row>
    <row r="450" spans="1:19">
      <c r="A450" s="150"/>
      <c r="B450" s="54"/>
      <c r="C450" s="21">
        <f t="shared" si="73"/>
        <v>1</v>
      </c>
      <c r="D450" s="666"/>
      <c r="E450" s="21">
        <f t="shared" si="74"/>
        <v>0</v>
      </c>
      <c r="F450" s="666"/>
      <c r="G450" s="21">
        <f t="shared" si="75"/>
        <v>0.2</v>
      </c>
      <c r="H450" s="666"/>
      <c r="I450" s="21">
        <f t="shared" si="76"/>
        <v>1</v>
      </c>
      <c r="J450" s="666"/>
      <c r="K450" s="21">
        <f t="shared" si="77"/>
        <v>1</v>
      </c>
      <c r="L450" s="666"/>
      <c r="M450" s="21">
        <f t="shared" si="78"/>
        <v>1</v>
      </c>
      <c r="N450" s="666"/>
      <c r="O450" s="21">
        <f t="shared" si="79"/>
        <v>1</v>
      </c>
      <c r="P450" s="666"/>
      <c r="Q450" s="21">
        <f t="shared" si="80"/>
        <v>1</v>
      </c>
      <c r="R450" s="662">
        <f t="shared" si="81"/>
        <v>0</v>
      </c>
      <c r="S450" s="315">
        <f t="shared" si="82"/>
        <v>0</v>
      </c>
    </row>
    <row r="451" spans="1:19">
      <c r="A451" s="150"/>
      <c r="B451" s="54"/>
      <c r="C451" s="21">
        <f t="shared" si="73"/>
        <v>1</v>
      </c>
      <c r="D451" s="666"/>
      <c r="E451" s="21">
        <f t="shared" si="74"/>
        <v>0</v>
      </c>
      <c r="F451" s="666"/>
      <c r="G451" s="21">
        <f t="shared" si="75"/>
        <v>0.2</v>
      </c>
      <c r="H451" s="666"/>
      <c r="I451" s="21">
        <f t="shared" si="76"/>
        <v>1</v>
      </c>
      <c r="J451" s="666"/>
      <c r="K451" s="21">
        <f t="shared" si="77"/>
        <v>1</v>
      </c>
      <c r="L451" s="666"/>
      <c r="M451" s="21">
        <f t="shared" si="78"/>
        <v>1</v>
      </c>
      <c r="N451" s="666"/>
      <c r="O451" s="21">
        <f t="shared" si="79"/>
        <v>1</v>
      </c>
      <c r="P451" s="666"/>
      <c r="Q451" s="21">
        <f t="shared" si="80"/>
        <v>1</v>
      </c>
      <c r="R451" s="662">
        <f t="shared" si="81"/>
        <v>0</v>
      </c>
      <c r="S451" s="315">
        <f t="shared" si="82"/>
        <v>0</v>
      </c>
    </row>
    <row r="452" spans="1:19">
      <c r="A452" s="150"/>
      <c r="B452" s="54"/>
      <c r="C452" s="21">
        <f t="shared" si="73"/>
        <v>1</v>
      </c>
      <c r="D452" s="666"/>
      <c r="E452" s="21">
        <f t="shared" si="74"/>
        <v>0</v>
      </c>
      <c r="F452" s="666"/>
      <c r="G452" s="21">
        <f t="shared" si="75"/>
        <v>0.2</v>
      </c>
      <c r="H452" s="666"/>
      <c r="I452" s="21">
        <f t="shared" si="76"/>
        <v>1</v>
      </c>
      <c r="J452" s="666"/>
      <c r="K452" s="21">
        <f t="shared" si="77"/>
        <v>1</v>
      </c>
      <c r="L452" s="666"/>
      <c r="M452" s="21">
        <f t="shared" si="78"/>
        <v>1</v>
      </c>
      <c r="N452" s="666"/>
      <c r="O452" s="21">
        <f t="shared" si="79"/>
        <v>1</v>
      </c>
      <c r="P452" s="666"/>
      <c r="Q452" s="21">
        <f t="shared" si="80"/>
        <v>1</v>
      </c>
      <c r="R452" s="662">
        <f t="shared" si="81"/>
        <v>0</v>
      </c>
      <c r="S452" s="315">
        <f t="shared" si="82"/>
        <v>0</v>
      </c>
    </row>
    <row r="453" spans="1:19">
      <c r="A453" s="150"/>
      <c r="B453" s="54"/>
      <c r="C453" s="21">
        <f t="shared" si="73"/>
        <v>1</v>
      </c>
      <c r="D453" s="666"/>
      <c r="E453" s="21">
        <f t="shared" si="74"/>
        <v>0</v>
      </c>
      <c r="F453" s="666"/>
      <c r="G453" s="21">
        <f t="shared" si="75"/>
        <v>0.2</v>
      </c>
      <c r="H453" s="666"/>
      <c r="I453" s="21">
        <f t="shared" si="76"/>
        <v>1</v>
      </c>
      <c r="J453" s="666"/>
      <c r="K453" s="21">
        <f t="shared" si="77"/>
        <v>1</v>
      </c>
      <c r="L453" s="666"/>
      <c r="M453" s="21">
        <f t="shared" si="78"/>
        <v>1</v>
      </c>
      <c r="N453" s="666"/>
      <c r="O453" s="21">
        <f t="shared" si="79"/>
        <v>1</v>
      </c>
      <c r="P453" s="666"/>
      <c r="Q453" s="21">
        <f t="shared" si="80"/>
        <v>1</v>
      </c>
      <c r="R453" s="662">
        <f t="shared" si="81"/>
        <v>0</v>
      </c>
      <c r="S453" s="315">
        <f t="shared" si="82"/>
        <v>0</v>
      </c>
    </row>
    <row r="454" spans="1:19">
      <c r="A454" s="150"/>
      <c r="B454" s="54"/>
      <c r="C454" s="21">
        <f t="shared" si="73"/>
        <v>1</v>
      </c>
      <c r="D454" s="666"/>
      <c r="E454" s="21">
        <f t="shared" si="74"/>
        <v>0</v>
      </c>
      <c r="F454" s="666"/>
      <c r="G454" s="21">
        <f t="shared" si="75"/>
        <v>0.2</v>
      </c>
      <c r="H454" s="666"/>
      <c r="I454" s="21">
        <f t="shared" si="76"/>
        <v>1</v>
      </c>
      <c r="J454" s="666"/>
      <c r="K454" s="21">
        <f t="shared" si="77"/>
        <v>1</v>
      </c>
      <c r="L454" s="666"/>
      <c r="M454" s="21">
        <f t="shared" si="78"/>
        <v>1</v>
      </c>
      <c r="N454" s="666"/>
      <c r="O454" s="21">
        <f t="shared" si="79"/>
        <v>1</v>
      </c>
      <c r="P454" s="666"/>
      <c r="Q454" s="21">
        <f t="shared" si="80"/>
        <v>1</v>
      </c>
      <c r="R454" s="662">
        <f t="shared" si="81"/>
        <v>0</v>
      </c>
      <c r="S454" s="315">
        <f t="shared" si="82"/>
        <v>0</v>
      </c>
    </row>
    <row r="455" spans="1:19">
      <c r="A455" s="150"/>
      <c r="B455" s="54"/>
      <c r="C455" s="21">
        <f t="shared" si="73"/>
        <v>1</v>
      </c>
      <c r="D455" s="666"/>
      <c r="E455" s="21">
        <f t="shared" si="74"/>
        <v>0</v>
      </c>
      <c r="F455" s="666"/>
      <c r="G455" s="21">
        <f t="shared" si="75"/>
        <v>0.2</v>
      </c>
      <c r="H455" s="666"/>
      <c r="I455" s="21">
        <f t="shared" si="76"/>
        <v>1</v>
      </c>
      <c r="J455" s="666"/>
      <c r="K455" s="21">
        <f t="shared" si="77"/>
        <v>1</v>
      </c>
      <c r="L455" s="666"/>
      <c r="M455" s="21">
        <f t="shared" si="78"/>
        <v>1</v>
      </c>
      <c r="N455" s="666"/>
      <c r="O455" s="21">
        <f t="shared" si="79"/>
        <v>1</v>
      </c>
      <c r="P455" s="666"/>
      <c r="Q455" s="21">
        <f t="shared" si="80"/>
        <v>1</v>
      </c>
      <c r="R455" s="662">
        <f t="shared" si="81"/>
        <v>0</v>
      </c>
      <c r="S455" s="315">
        <f t="shared" si="82"/>
        <v>0</v>
      </c>
    </row>
    <row r="456" spans="1:19">
      <c r="A456" s="150"/>
      <c r="B456" s="54"/>
      <c r="C456" s="21">
        <f t="shared" si="73"/>
        <v>1</v>
      </c>
      <c r="D456" s="666"/>
      <c r="E456" s="21">
        <f t="shared" si="74"/>
        <v>0</v>
      </c>
      <c r="F456" s="666"/>
      <c r="G456" s="21">
        <f t="shared" si="75"/>
        <v>0.2</v>
      </c>
      <c r="H456" s="666"/>
      <c r="I456" s="21">
        <f t="shared" si="76"/>
        <v>1</v>
      </c>
      <c r="J456" s="666"/>
      <c r="K456" s="21">
        <f t="shared" si="77"/>
        <v>1</v>
      </c>
      <c r="L456" s="666"/>
      <c r="M456" s="21">
        <f t="shared" si="78"/>
        <v>1</v>
      </c>
      <c r="N456" s="666"/>
      <c r="O456" s="21">
        <f t="shared" si="79"/>
        <v>1</v>
      </c>
      <c r="P456" s="666"/>
      <c r="Q456" s="21">
        <f t="shared" si="80"/>
        <v>1</v>
      </c>
      <c r="R456" s="662">
        <f t="shared" si="81"/>
        <v>0</v>
      </c>
      <c r="S456" s="315">
        <f t="shared" si="82"/>
        <v>0</v>
      </c>
    </row>
    <row r="457" spans="1:19">
      <c r="A457" s="150"/>
      <c r="B457" s="54"/>
      <c r="C457" s="21">
        <f t="shared" si="73"/>
        <v>1</v>
      </c>
      <c r="D457" s="666"/>
      <c r="E457" s="21">
        <f t="shared" si="74"/>
        <v>0</v>
      </c>
      <c r="F457" s="666"/>
      <c r="G457" s="21">
        <f t="shared" si="75"/>
        <v>0.2</v>
      </c>
      <c r="H457" s="666"/>
      <c r="I457" s="21">
        <f t="shared" si="76"/>
        <v>1</v>
      </c>
      <c r="J457" s="666"/>
      <c r="K457" s="21">
        <f t="shared" si="77"/>
        <v>1</v>
      </c>
      <c r="L457" s="666"/>
      <c r="M457" s="21">
        <f t="shared" si="78"/>
        <v>1</v>
      </c>
      <c r="N457" s="666"/>
      <c r="O457" s="21">
        <f t="shared" si="79"/>
        <v>1</v>
      </c>
      <c r="P457" s="666"/>
      <c r="Q457" s="21">
        <f t="shared" si="80"/>
        <v>1</v>
      </c>
      <c r="R457" s="662">
        <f t="shared" si="81"/>
        <v>0</v>
      </c>
      <c r="S457" s="315">
        <f t="shared" si="82"/>
        <v>0</v>
      </c>
    </row>
    <row r="458" spans="1:19">
      <c r="A458" s="150"/>
      <c r="B458" s="54"/>
      <c r="C458" s="21">
        <f t="shared" si="73"/>
        <v>1</v>
      </c>
      <c r="D458" s="666"/>
      <c r="E458" s="21">
        <f t="shared" si="74"/>
        <v>0</v>
      </c>
      <c r="F458" s="666"/>
      <c r="G458" s="21">
        <f t="shared" si="75"/>
        <v>0.2</v>
      </c>
      <c r="H458" s="666"/>
      <c r="I458" s="21">
        <f t="shared" si="76"/>
        <v>1</v>
      </c>
      <c r="J458" s="666"/>
      <c r="K458" s="21">
        <f t="shared" si="77"/>
        <v>1</v>
      </c>
      <c r="L458" s="666"/>
      <c r="M458" s="21">
        <f t="shared" si="78"/>
        <v>1</v>
      </c>
      <c r="N458" s="666"/>
      <c r="O458" s="21">
        <f t="shared" si="79"/>
        <v>1</v>
      </c>
      <c r="P458" s="666"/>
      <c r="Q458" s="21">
        <f t="shared" si="80"/>
        <v>1</v>
      </c>
      <c r="R458" s="662">
        <f t="shared" si="81"/>
        <v>0</v>
      </c>
      <c r="S458" s="315">
        <f t="shared" si="82"/>
        <v>0</v>
      </c>
    </row>
    <row r="459" spans="1:19">
      <c r="A459" s="150"/>
      <c r="B459" s="54"/>
      <c r="C459" s="21">
        <f t="shared" si="73"/>
        <v>1</v>
      </c>
      <c r="D459" s="666"/>
      <c r="E459" s="21">
        <f t="shared" si="74"/>
        <v>0</v>
      </c>
      <c r="F459" s="666"/>
      <c r="G459" s="21">
        <f t="shared" si="75"/>
        <v>0.2</v>
      </c>
      <c r="H459" s="666"/>
      <c r="I459" s="21">
        <f t="shared" si="76"/>
        <v>1</v>
      </c>
      <c r="J459" s="666"/>
      <c r="K459" s="21">
        <f t="shared" si="77"/>
        <v>1</v>
      </c>
      <c r="L459" s="666"/>
      <c r="M459" s="21">
        <f t="shared" si="78"/>
        <v>1</v>
      </c>
      <c r="N459" s="666"/>
      <c r="O459" s="21">
        <f t="shared" si="79"/>
        <v>1</v>
      </c>
      <c r="P459" s="666"/>
      <c r="Q459" s="21">
        <f t="shared" si="80"/>
        <v>1</v>
      </c>
      <c r="R459" s="662">
        <f t="shared" si="81"/>
        <v>0</v>
      </c>
      <c r="S459" s="315">
        <f t="shared" si="82"/>
        <v>0</v>
      </c>
    </row>
    <row r="460" spans="1:19">
      <c r="A460" s="150"/>
      <c r="B460" s="54"/>
      <c r="C460" s="21">
        <f t="shared" si="73"/>
        <v>1</v>
      </c>
      <c r="D460" s="666"/>
      <c r="E460" s="21">
        <f t="shared" si="74"/>
        <v>0</v>
      </c>
      <c r="F460" s="666"/>
      <c r="G460" s="21">
        <f t="shared" si="75"/>
        <v>0.2</v>
      </c>
      <c r="H460" s="666"/>
      <c r="I460" s="21">
        <f t="shared" si="76"/>
        <v>1</v>
      </c>
      <c r="J460" s="666"/>
      <c r="K460" s="21">
        <f t="shared" si="77"/>
        <v>1</v>
      </c>
      <c r="L460" s="666"/>
      <c r="M460" s="21">
        <f t="shared" si="78"/>
        <v>1</v>
      </c>
      <c r="N460" s="666"/>
      <c r="O460" s="21">
        <f t="shared" si="79"/>
        <v>1</v>
      </c>
      <c r="P460" s="666"/>
      <c r="Q460" s="21">
        <f t="shared" si="80"/>
        <v>1</v>
      </c>
      <c r="R460" s="662">
        <f t="shared" si="81"/>
        <v>0</v>
      </c>
      <c r="S460" s="315">
        <f t="shared" si="82"/>
        <v>0</v>
      </c>
    </row>
    <row r="461" spans="1:19">
      <c r="A461" s="150"/>
      <c r="B461" s="54"/>
      <c r="C461" s="21">
        <f t="shared" si="73"/>
        <v>1</v>
      </c>
      <c r="D461" s="666"/>
      <c r="E461" s="21">
        <f t="shared" si="74"/>
        <v>0</v>
      </c>
      <c r="F461" s="666"/>
      <c r="G461" s="21">
        <f t="shared" si="75"/>
        <v>0.2</v>
      </c>
      <c r="H461" s="666"/>
      <c r="I461" s="21">
        <f t="shared" si="76"/>
        <v>1</v>
      </c>
      <c r="J461" s="666"/>
      <c r="K461" s="21">
        <f t="shared" si="77"/>
        <v>1</v>
      </c>
      <c r="L461" s="666"/>
      <c r="M461" s="21">
        <f t="shared" si="78"/>
        <v>1</v>
      </c>
      <c r="N461" s="666"/>
      <c r="O461" s="21">
        <f t="shared" si="79"/>
        <v>1</v>
      </c>
      <c r="P461" s="666"/>
      <c r="Q461" s="21">
        <f t="shared" si="80"/>
        <v>1</v>
      </c>
      <c r="R461" s="662">
        <f t="shared" si="81"/>
        <v>0</v>
      </c>
      <c r="S461" s="315">
        <f t="shared" si="82"/>
        <v>0</v>
      </c>
    </row>
    <row r="462" spans="1:19">
      <c r="A462" s="150"/>
      <c r="B462" s="54"/>
      <c r="C462" s="21">
        <f t="shared" si="73"/>
        <v>1</v>
      </c>
      <c r="D462" s="666"/>
      <c r="E462" s="21">
        <f t="shared" si="74"/>
        <v>0</v>
      </c>
      <c r="F462" s="666"/>
      <c r="G462" s="21">
        <f t="shared" si="75"/>
        <v>0.2</v>
      </c>
      <c r="H462" s="666"/>
      <c r="I462" s="21">
        <f t="shared" si="76"/>
        <v>1</v>
      </c>
      <c r="J462" s="666"/>
      <c r="K462" s="21">
        <f t="shared" si="77"/>
        <v>1</v>
      </c>
      <c r="L462" s="666"/>
      <c r="M462" s="21">
        <f t="shared" si="78"/>
        <v>1</v>
      </c>
      <c r="N462" s="666"/>
      <c r="O462" s="21">
        <f t="shared" si="79"/>
        <v>1</v>
      </c>
      <c r="P462" s="666"/>
      <c r="Q462" s="21">
        <f t="shared" si="80"/>
        <v>1</v>
      </c>
      <c r="R462" s="662">
        <f t="shared" si="81"/>
        <v>0</v>
      </c>
      <c r="S462" s="315">
        <f t="shared" si="82"/>
        <v>0</v>
      </c>
    </row>
    <row r="463" spans="1:19">
      <c r="A463" s="150"/>
      <c r="B463" s="54"/>
      <c r="C463" s="21">
        <f t="shared" si="73"/>
        <v>1</v>
      </c>
      <c r="D463" s="666"/>
      <c r="E463" s="21">
        <f t="shared" si="74"/>
        <v>0</v>
      </c>
      <c r="F463" s="666"/>
      <c r="G463" s="21">
        <f t="shared" si="75"/>
        <v>0.2</v>
      </c>
      <c r="H463" s="666"/>
      <c r="I463" s="21">
        <f t="shared" si="76"/>
        <v>1</v>
      </c>
      <c r="J463" s="666"/>
      <c r="K463" s="21">
        <f t="shared" si="77"/>
        <v>1</v>
      </c>
      <c r="L463" s="666"/>
      <c r="M463" s="21">
        <f t="shared" si="78"/>
        <v>1</v>
      </c>
      <c r="N463" s="666"/>
      <c r="O463" s="21">
        <f t="shared" si="79"/>
        <v>1</v>
      </c>
      <c r="P463" s="666"/>
      <c r="Q463" s="21">
        <f t="shared" si="80"/>
        <v>1</v>
      </c>
      <c r="R463" s="662">
        <f t="shared" si="81"/>
        <v>0</v>
      </c>
      <c r="S463" s="315">
        <f t="shared" si="82"/>
        <v>0</v>
      </c>
    </row>
    <row r="464" spans="1:19">
      <c r="A464" s="150"/>
      <c r="B464" s="54"/>
      <c r="C464" s="21">
        <f t="shared" si="73"/>
        <v>1</v>
      </c>
      <c r="D464" s="666"/>
      <c r="E464" s="21">
        <f t="shared" si="74"/>
        <v>0</v>
      </c>
      <c r="F464" s="666"/>
      <c r="G464" s="21">
        <f t="shared" si="75"/>
        <v>0.2</v>
      </c>
      <c r="H464" s="666"/>
      <c r="I464" s="21">
        <f t="shared" si="76"/>
        <v>1</v>
      </c>
      <c r="J464" s="666"/>
      <c r="K464" s="21">
        <f t="shared" si="77"/>
        <v>1</v>
      </c>
      <c r="L464" s="666"/>
      <c r="M464" s="21">
        <f t="shared" si="78"/>
        <v>1</v>
      </c>
      <c r="N464" s="666"/>
      <c r="O464" s="21">
        <f t="shared" si="79"/>
        <v>1</v>
      </c>
      <c r="P464" s="666"/>
      <c r="Q464" s="21">
        <f t="shared" si="80"/>
        <v>1</v>
      </c>
      <c r="R464" s="662">
        <f t="shared" si="81"/>
        <v>0</v>
      </c>
      <c r="S464" s="315">
        <f t="shared" si="82"/>
        <v>0</v>
      </c>
    </row>
    <row r="465" spans="1:19">
      <c r="A465" s="150"/>
      <c r="B465" s="54"/>
      <c r="C465" s="21">
        <f t="shared" si="73"/>
        <v>1</v>
      </c>
      <c r="D465" s="666"/>
      <c r="E465" s="21">
        <f t="shared" si="74"/>
        <v>0</v>
      </c>
      <c r="F465" s="666"/>
      <c r="G465" s="21">
        <f t="shared" si="75"/>
        <v>0.2</v>
      </c>
      <c r="H465" s="666"/>
      <c r="I465" s="21">
        <f t="shared" si="76"/>
        <v>1</v>
      </c>
      <c r="J465" s="666"/>
      <c r="K465" s="21">
        <f t="shared" si="77"/>
        <v>1</v>
      </c>
      <c r="L465" s="666"/>
      <c r="M465" s="21">
        <f t="shared" si="78"/>
        <v>1</v>
      </c>
      <c r="N465" s="666"/>
      <c r="O465" s="21">
        <f t="shared" si="79"/>
        <v>1</v>
      </c>
      <c r="P465" s="666"/>
      <c r="Q465" s="21">
        <f t="shared" si="80"/>
        <v>1</v>
      </c>
      <c r="R465" s="662">
        <f t="shared" si="81"/>
        <v>0</v>
      </c>
      <c r="S465" s="315">
        <f t="shared" si="82"/>
        <v>0</v>
      </c>
    </row>
    <row r="466" spans="1:19">
      <c r="A466" s="150"/>
      <c r="B466" s="54"/>
      <c r="C466" s="21">
        <f t="shared" si="73"/>
        <v>1</v>
      </c>
      <c r="D466" s="666"/>
      <c r="E466" s="21">
        <f t="shared" si="74"/>
        <v>0</v>
      </c>
      <c r="F466" s="666"/>
      <c r="G466" s="21">
        <f t="shared" si="75"/>
        <v>0.2</v>
      </c>
      <c r="H466" s="666"/>
      <c r="I466" s="21">
        <f t="shared" si="76"/>
        <v>1</v>
      </c>
      <c r="J466" s="666"/>
      <c r="K466" s="21">
        <f t="shared" si="77"/>
        <v>1</v>
      </c>
      <c r="L466" s="666"/>
      <c r="M466" s="21">
        <f t="shared" si="78"/>
        <v>1</v>
      </c>
      <c r="N466" s="666"/>
      <c r="O466" s="21">
        <f t="shared" si="79"/>
        <v>1</v>
      </c>
      <c r="P466" s="666"/>
      <c r="Q466" s="21">
        <f t="shared" si="80"/>
        <v>1</v>
      </c>
      <c r="R466" s="662">
        <f t="shared" si="81"/>
        <v>0</v>
      </c>
      <c r="S466" s="315">
        <f t="shared" si="82"/>
        <v>0</v>
      </c>
    </row>
    <row r="467" spans="1:19">
      <c r="A467" s="150"/>
      <c r="B467" s="54"/>
      <c r="C467" s="21">
        <f t="shared" si="73"/>
        <v>1</v>
      </c>
      <c r="D467" s="666"/>
      <c r="E467" s="21">
        <f t="shared" si="74"/>
        <v>0</v>
      </c>
      <c r="F467" s="666"/>
      <c r="G467" s="21">
        <f t="shared" si="75"/>
        <v>0.2</v>
      </c>
      <c r="H467" s="666"/>
      <c r="I467" s="21">
        <f t="shared" si="76"/>
        <v>1</v>
      </c>
      <c r="J467" s="666"/>
      <c r="K467" s="21">
        <f t="shared" si="77"/>
        <v>1</v>
      </c>
      <c r="L467" s="666"/>
      <c r="M467" s="21">
        <f t="shared" si="78"/>
        <v>1</v>
      </c>
      <c r="N467" s="666"/>
      <c r="O467" s="21">
        <f t="shared" si="79"/>
        <v>1</v>
      </c>
      <c r="P467" s="666"/>
      <c r="Q467" s="21">
        <f t="shared" si="80"/>
        <v>1</v>
      </c>
      <c r="R467" s="662">
        <f t="shared" si="81"/>
        <v>0</v>
      </c>
      <c r="S467" s="315">
        <f t="shared" si="82"/>
        <v>0</v>
      </c>
    </row>
    <row r="468" spans="1:19">
      <c r="A468" s="150"/>
      <c r="B468" s="54"/>
      <c r="C468" s="21">
        <f t="shared" si="73"/>
        <v>1</v>
      </c>
      <c r="D468" s="666"/>
      <c r="E468" s="21">
        <f t="shared" si="74"/>
        <v>0</v>
      </c>
      <c r="F468" s="666"/>
      <c r="G468" s="21">
        <f t="shared" si="75"/>
        <v>0.2</v>
      </c>
      <c r="H468" s="666"/>
      <c r="I468" s="21">
        <f t="shared" si="76"/>
        <v>1</v>
      </c>
      <c r="J468" s="666"/>
      <c r="K468" s="21">
        <f t="shared" si="77"/>
        <v>1</v>
      </c>
      <c r="L468" s="666"/>
      <c r="M468" s="21">
        <f t="shared" si="78"/>
        <v>1</v>
      </c>
      <c r="N468" s="666"/>
      <c r="O468" s="21">
        <f t="shared" si="79"/>
        <v>1</v>
      </c>
      <c r="P468" s="666"/>
      <c r="Q468" s="21">
        <f t="shared" si="80"/>
        <v>1</v>
      </c>
      <c r="R468" s="662">
        <f t="shared" si="81"/>
        <v>0</v>
      </c>
      <c r="S468" s="315">
        <f t="shared" ref="S468:S497" si="83">ROUND(R468*B468/10000,0)</f>
        <v>0</v>
      </c>
    </row>
    <row r="469" spans="1:19">
      <c r="A469" s="150"/>
      <c r="B469" s="54"/>
      <c r="C469" s="21">
        <f t="shared" si="73"/>
        <v>1</v>
      </c>
      <c r="D469" s="666"/>
      <c r="E469" s="21">
        <f t="shared" si="74"/>
        <v>0</v>
      </c>
      <c r="F469" s="666"/>
      <c r="G469" s="21">
        <f t="shared" si="75"/>
        <v>0.2</v>
      </c>
      <c r="H469" s="666"/>
      <c r="I469" s="21">
        <f t="shared" si="76"/>
        <v>1</v>
      </c>
      <c r="J469" s="666"/>
      <c r="K469" s="21">
        <f t="shared" si="77"/>
        <v>1</v>
      </c>
      <c r="L469" s="666"/>
      <c r="M469" s="21">
        <f t="shared" si="78"/>
        <v>1</v>
      </c>
      <c r="N469" s="666"/>
      <c r="O469" s="21">
        <f t="shared" si="79"/>
        <v>1</v>
      </c>
      <c r="P469" s="666"/>
      <c r="Q469" s="21">
        <f t="shared" si="80"/>
        <v>1</v>
      </c>
      <c r="R469" s="662">
        <f t="shared" si="81"/>
        <v>0</v>
      </c>
      <c r="S469" s="315">
        <f t="shared" si="83"/>
        <v>0</v>
      </c>
    </row>
    <row r="470" spans="1:19">
      <c r="A470" s="150"/>
      <c r="B470" s="54"/>
      <c r="C470" s="21">
        <f t="shared" si="73"/>
        <v>1</v>
      </c>
      <c r="D470" s="666"/>
      <c r="E470" s="21">
        <f t="shared" si="74"/>
        <v>0</v>
      </c>
      <c r="F470" s="666"/>
      <c r="G470" s="21">
        <f t="shared" si="75"/>
        <v>0.2</v>
      </c>
      <c r="H470" s="666"/>
      <c r="I470" s="21">
        <f t="shared" si="76"/>
        <v>1</v>
      </c>
      <c r="J470" s="666"/>
      <c r="K470" s="21">
        <f t="shared" si="77"/>
        <v>1</v>
      </c>
      <c r="L470" s="666"/>
      <c r="M470" s="21">
        <f t="shared" si="78"/>
        <v>1</v>
      </c>
      <c r="N470" s="666"/>
      <c r="O470" s="21">
        <f t="shared" si="79"/>
        <v>1</v>
      </c>
      <c r="P470" s="666"/>
      <c r="Q470" s="21">
        <f t="shared" si="80"/>
        <v>1</v>
      </c>
      <c r="R470" s="662">
        <f t="shared" si="81"/>
        <v>0</v>
      </c>
      <c r="S470" s="315">
        <f t="shared" si="83"/>
        <v>0</v>
      </c>
    </row>
    <row r="471" spans="1:19">
      <c r="A471" s="150"/>
      <c r="B471" s="54"/>
      <c r="C471" s="21">
        <f t="shared" si="73"/>
        <v>1</v>
      </c>
      <c r="D471" s="666"/>
      <c r="E471" s="21">
        <f t="shared" si="74"/>
        <v>0</v>
      </c>
      <c r="F471" s="666"/>
      <c r="G471" s="21">
        <f t="shared" si="75"/>
        <v>0.2</v>
      </c>
      <c r="H471" s="666"/>
      <c r="I471" s="21">
        <f t="shared" si="76"/>
        <v>1</v>
      </c>
      <c r="J471" s="666"/>
      <c r="K471" s="21">
        <f t="shared" si="77"/>
        <v>1</v>
      </c>
      <c r="L471" s="666"/>
      <c r="M471" s="21">
        <f t="shared" si="78"/>
        <v>1</v>
      </c>
      <c r="N471" s="666"/>
      <c r="O471" s="21">
        <f t="shared" si="79"/>
        <v>1</v>
      </c>
      <c r="P471" s="666"/>
      <c r="Q471" s="21">
        <f t="shared" si="80"/>
        <v>1</v>
      </c>
      <c r="R471" s="662">
        <f t="shared" si="81"/>
        <v>0</v>
      </c>
      <c r="S471" s="315">
        <f t="shared" si="83"/>
        <v>0</v>
      </c>
    </row>
    <row r="472" spans="1:19">
      <c r="A472" s="150"/>
      <c r="B472" s="54"/>
      <c r="C472" s="21">
        <f t="shared" si="73"/>
        <v>1</v>
      </c>
      <c r="D472" s="666"/>
      <c r="E472" s="21">
        <f t="shared" si="74"/>
        <v>0</v>
      </c>
      <c r="F472" s="666"/>
      <c r="G472" s="21">
        <f t="shared" si="75"/>
        <v>0.2</v>
      </c>
      <c r="H472" s="666"/>
      <c r="I472" s="21">
        <f t="shared" si="76"/>
        <v>1</v>
      </c>
      <c r="J472" s="666"/>
      <c r="K472" s="21">
        <f t="shared" si="77"/>
        <v>1</v>
      </c>
      <c r="L472" s="666"/>
      <c r="M472" s="21">
        <f t="shared" si="78"/>
        <v>1</v>
      </c>
      <c r="N472" s="666"/>
      <c r="O472" s="21">
        <f t="shared" si="79"/>
        <v>1</v>
      </c>
      <c r="P472" s="666"/>
      <c r="Q472" s="21">
        <f t="shared" si="80"/>
        <v>1</v>
      </c>
      <c r="R472" s="662">
        <f t="shared" si="81"/>
        <v>0</v>
      </c>
      <c r="S472" s="315">
        <f t="shared" si="83"/>
        <v>0</v>
      </c>
    </row>
    <row r="473" spans="1:19">
      <c r="A473" s="150"/>
      <c r="B473" s="54"/>
      <c r="C473" s="21">
        <f t="shared" si="73"/>
        <v>1</v>
      </c>
      <c r="D473" s="666"/>
      <c r="E473" s="21">
        <f t="shared" si="74"/>
        <v>0</v>
      </c>
      <c r="F473" s="666"/>
      <c r="G473" s="21">
        <f t="shared" si="75"/>
        <v>0.2</v>
      </c>
      <c r="H473" s="666"/>
      <c r="I473" s="21">
        <f t="shared" si="76"/>
        <v>1</v>
      </c>
      <c r="J473" s="666"/>
      <c r="K473" s="21">
        <f t="shared" si="77"/>
        <v>1</v>
      </c>
      <c r="L473" s="666"/>
      <c r="M473" s="21">
        <f t="shared" si="78"/>
        <v>1</v>
      </c>
      <c r="N473" s="666"/>
      <c r="O473" s="21">
        <f t="shared" si="79"/>
        <v>1</v>
      </c>
      <c r="P473" s="666"/>
      <c r="Q473" s="21">
        <f t="shared" si="80"/>
        <v>1</v>
      </c>
      <c r="R473" s="662">
        <f t="shared" si="81"/>
        <v>0</v>
      </c>
      <c r="S473" s="315">
        <f t="shared" si="83"/>
        <v>0</v>
      </c>
    </row>
    <row r="474" spans="1:19">
      <c r="A474" s="150"/>
      <c r="B474" s="54"/>
      <c r="C474" s="21">
        <f t="shared" ref="C474:C524" si="84">IF(B474="",1,(LOOKUP(B474,$3:$3,$4:$4)-LOOKUP($B$24,$3:$3,$4:$4)+100)/100)</f>
        <v>1</v>
      </c>
      <c r="D474" s="666"/>
      <c r="E474" s="21">
        <f t="shared" ref="E474:E524" si="85">(SUMIF($5:$5,D474,$6:$6)-SUMIF($5:$5,$D$24,$6:$6)+100)/100</f>
        <v>0</v>
      </c>
      <c r="F474" s="666"/>
      <c r="G474" s="21">
        <f t="shared" ref="G474:G524" si="86">(SUMIF($7:$7,F474,$8:$8)-SUMIF($7:$7,$F$24,$8:$8)+100)/100</f>
        <v>0.2</v>
      </c>
      <c r="H474" s="666"/>
      <c r="I474" s="21">
        <f t="shared" ref="I474:I524" si="87">(SUMIF($9:$9,H474,$10:$10)-SUMIF($9:$9,$H$24,$10:$10)+100)/100</f>
        <v>1</v>
      </c>
      <c r="J474" s="666"/>
      <c r="K474" s="21">
        <f t="shared" ref="K474:K524" si="88">(SUMIF($11:$11,J474,$12:$12)-SUMIF($11:$11,$J$24,$12:$12)+100)/100</f>
        <v>1</v>
      </c>
      <c r="L474" s="666"/>
      <c r="M474" s="21">
        <f t="shared" ref="M474:M524" si="89">(SUMIF($13:$13,L474,$14:$14)-SUMIF($13:$13,$L$24,$14:$14)+100)/100</f>
        <v>1</v>
      </c>
      <c r="N474" s="666"/>
      <c r="O474" s="21">
        <f t="shared" ref="O474:O524" si="90">(SUMIF($15:$15,N474,$16:$16)-SUMIF($15:$15,$N$24,$16:$16)+100)/100</f>
        <v>1</v>
      </c>
      <c r="P474" s="666"/>
      <c r="Q474" s="21">
        <f t="shared" ref="Q474:Q524" si="91">(SUMIF($17:$17,P474,$18:$18)-SUMIF($17:$17,$P$24,$18:$18)+100)/100</f>
        <v>1</v>
      </c>
      <c r="R474" s="662">
        <f t="shared" ref="R474:R524" si="92">IF(B474="",0,ROUND($R$24*C474*E474*G474*I474*K474*M474*O474*Q474,0))</f>
        <v>0</v>
      </c>
      <c r="S474" s="315">
        <f t="shared" si="83"/>
        <v>0</v>
      </c>
    </row>
    <row r="475" spans="1:19">
      <c r="A475" s="150"/>
      <c r="B475" s="54"/>
      <c r="C475" s="21">
        <f t="shared" si="84"/>
        <v>1</v>
      </c>
      <c r="D475" s="666"/>
      <c r="E475" s="21">
        <f t="shared" si="85"/>
        <v>0</v>
      </c>
      <c r="F475" s="666"/>
      <c r="G475" s="21">
        <f t="shared" si="86"/>
        <v>0.2</v>
      </c>
      <c r="H475" s="666"/>
      <c r="I475" s="21">
        <f t="shared" si="87"/>
        <v>1</v>
      </c>
      <c r="J475" s="666"/>
      <c r="K475" s="21">
        <f t="shared" si="88"/>
        <v>1</v>
      </c>
      <c r="L475" s="666"/>
      <c r="M475" s="21">
        <f t="shared" si="89"/>
        <v>1</v>
      </c>
      <c r="N475" s="666"/>
      <c r="O475" s="21">
        <f t="shared" si="90"/>
        <v>1</v>
      </c>
      <c r="P475" s="666"/>
      <c r="Q475" s="21">
        <f t="shared" si="91"/>
        <v>1</v>
      </c>
      <c r="R475" s="662">
        <f t="shared" si="92"/>
        <v>0</v>
      </c>
      <c r="S475" s="315">
        <f t="shared" si="83"/>
        <v>0</v>
      </c>
    </row>
    <row r="476" spans="1:19">
      <c r="A476" s="150"/>
      <c r="B476" s="54"/>
      <c r="C476" s="21">
        <f t="shared" si="84"/>
        <v>1</v>
      </c>
      <c r="D476" s="666"/>
      <c r="E476" s="21">
        <f t="shared" si="85"/>
        <v>0</v>
      </c>
      <c r="F476" s="666"/>
      <c r="G476" s="21">
        <f t="shared" si="86"/>
        <v>0.2</v>
      </c>
      <c r="H476" s="666"/>
      <c r="I476" s="21">
        <f t="shared" si="87"/>
        <v>1</v>
      </c>
      <c r="J476" s="666"/>
      <c r="K476" s="21">
        <f t="shared" si="88"/>
        <v>1</v>
      </c>
      <c r="L476" s="666"/>
      <c r="M476" s="21">
        <f t="shared" si="89"/>
        <v>1</v>
      </c>
      <c r="N476" s="666"/>
      <c r="O476" s="21">
        <f t="shared" si="90"/>
        <v>1</v>
      </c>
      <c r="P476" s="666"/>
      <c r="Q476" s="21">
        <f t="shared" si="91"/>
        <v>1</v>
      </c>
      <c r="R476" s="662">
        <f t="shared" si="92"/>
        <v>0</v>
      </c>
      <c r="S476" s="315">
        <f t="shared" si="83"/>
        <v>0</v>
      </c>
    </row>
    <row r="477" spans="1:19">
      <c r="A477" s="150"/>
      <c r="B477" s="54"/>
      <c r="C477" s="21">
        <f t="shared" si="84"/>
        <v>1</v>
      </c>
      <c r="D477" s="666"/>
      <c r="E477" s="21">
        <f t="shared" si="85"/>
        <v>0</v>
      </c>
      <c r="F477" s="666"/>
      <c r="G477" s="21">
        <f t="shared" si="86"/>
        <v>0.2</v>
      </c>
      <c r="H477" s="666"/>
      <c r="I477" s="21">
        <f t="shared" si="87"/>
        <v>1</v>
      </c>
      <c r="J477" s="666"/>
      <c r="K477" s="21">
        <f t="shared" si="88"/>
        <v>1</v>
      </c>
      <c r="L477" s="666"/>
      <c r="M477" s="21">
        <f t="shared" si="89"/>
        <v>1</v>
      </c>
      <c r="N477" s="666"/>
      <c r="O477" s="21">
        <f t="shared" si="90"/>
        <v>1</v>
      </c>
      <c r="P477" s="666"/>
      <c r="Q477" s="21">
        <f t="shared" si="91"/>
        <v>1</v>
      </c>
      <c r="R477" s="662">
        <f t="shared" si="92"/>
        <v>0</v>
      </c>
      <c r="S477" s="315">
        <f t="shared" si="83"/>
        <v>0</v>
      </c>
    </row>
    <row r="478" spans="1:19">
      <c r="A478" s="150"/>
      <c r="B478" s="54"/>
      <c r="C478" s="21">
        <f t="shared" si="84"/>
        <v>1</v>
      </c>
      <c r="D478" s="666"/>
      <c r="E478" s="21">
        <f t="shared" si="85"/>
        <v>0</v>
      </c>
      <c r="F478" s="666"/>
      <c r="G478" s="21">
        <f t="shared" si="86"/>
        <v>0.2</v>
      </c>
      <c r="H478" s="666"/>
      <c r="I478" s="21">
        <f t="shared" si="87"/>
        <v>1</v>
      </c>
      <c r="J478" s="666"/>
      <c r="K478" s="21">
        <f t="shared" si="88"/>
        <v>1</v>
      </c>
      <c r="L478" s="666"/>
      <c r="M478" s="21">
        <f t="shared" si="89"/>
        <v>1</v>
      </c>
      <c r="N478" s="666"/>
      <c r="O478" s="21">
        <f t="shared" si="90"/>
        <v>1</v>
      </c>
      <c r="P478" s="666"/>
      <c r="Q478" s="21">
        <f t="shared" si="91"/>
        <v>1</v>
      </c>
      <c r="R478" s="662">
        <f t="shared" si="92"/>
        <v>0</v>
      </c>
      <c r="S478" s="315">
        <f t="shared" si="83"/>
        <v>0</v>
      </c>
    </row>
    <row r="479" spans="1:19">
      <c r="A479" s="150"/>
      <c r="B479" s="54"/>
      <c r="C479" s="21">
        <f t="shared" si="84"/>
        <v>1</v>
      </c>
      <c r="D479" s="666"/>
      <c r="E479" s="21">
        <f t="shared" si="85"/>
        <v>0</v>
      </c>
      <c r="F479" s="666"/>
      <c r="G479" s="21">
        <f t="shared" si="86"/>
        <v>0.2</v>
      </c>
      <c r="H479" s="666"/>
      <c r="I479" s="21">
        <f t="shared" si="87"/>
        <v>1</v>
      </c>
      <c r="J479" s="666"/>
      <c r="K479" s="21">
        <f t="shared" si="88"/>
        <v>1</v>
      </c>
      <c r="L479" s="666"/>
      <c r="M479" s="21">
        <f t="shared" si="89"/>
        <v>1</v>
      </c>
      <c r="N479" s="666"/>
      <c r="O479" s="21">
        <f t="shared" si="90"/>
        <v>1</v>
      </c>
      <c r="P479" s="666"/>
      <c r="Q479" s="21">
        <f t="shared" si="91"/>
        <v>1</v>
      </c>
      <c r="R479" s="662">
        <f t="shared" si="92"/>
        <v>0</v>
      </c>
      <c r="S479" s="315">
        <f t="shared" si="83"/>
        <v>0</v>
      </c>
    </row>
    <row r="480" spans="1:19">
      <c r="A480" s="150"/>
      <c r="B480" s="54"/>
      <c r="C480" s="21">
        <f t="shared" si="84"/>
        <v>1</v>
      </c>
      <c r="D480" s="666"/>
      <c r="E480" s="21">
        <f t="shared" si="85"/>
        <v>0</v>
      </c>
      <c r="F480" s="666"/>
      <c r="G480" s="21">
        <f t="shared" si="86"/>
        <v>0.2</v>
      </c>
      <c r="H480" s="666"/>
      <c r="I480" s="21">
        <f t="shared" si="87"/>
        <v>1</v>
      </c>
      <c r="J480" s="666"/>
      <c r="K480" s="21">
        <f t="shared" si="88"/>
        <v>1</v>
      </c>
      <c r="L480" s="666"/>
      <c r="M480" s="21">
        <f t="shared" si="89"/>
        <v>1</v>
      </c>
      <c r="N480" s="666"/>
      <c r="O480" s="21">
        <f t="shared" si="90"/>
        <v>1</v>
      </c>
      <c r="P480" s="666"/>
      <c r="Q480" s="21">
        <f t="shared" si="91"/>
        <v>1</v>
      </c>
      <c r="R480" s="662">
        <f t="shared" si="92"/>
        <v>0</v>
      </c>
      <c r="S480" s="315">
        <f t="shared" si="83"/>
        <v>0</v>
      </c>
    </row>
    <row r="481" spans="1:19">
      <c r="A481" s="150"/>
      <c r="B481" s="54"/>
      <c r="C481" s="21">
        <f t="shared" si="84"/>
        <v>1</v>
      </c>
      <c r="D481" s="666"/>
      <c r="E481" s="21">
        <f t="shared" si="85"/>
        <v>0</v>
      </c>
      <c r="F481" s="666"/>
      <c r="G481" s="21">
        <f t="shared" si="86"/>
        <v>0.2</v>
      </c>
      <c r="H481" s="666"/>
      <c r="I481" s="21">
        <f t="shared" si="87"/>
        <v>1</v>
      </c>
      <c r="J481" s="666"/>
      <c r="K481" s="21">
        <f t="shared" si="88"/>
        <v>1</v>
      </c>
      <c r="L481" s="666"/>
      <c r="M481" s="21">
        <f t="shared" si="89"/>
        <v>1</v>
      </c>
      <c r="N481" s="666"/>
      <c r="O481" s="21">
        <f t="shared" si="90"/>
        <v>1</v>
      </c>
      <c r="P481" s="666"/>
      <c r="Q481" s="21">
        <f t="shared" si="91"/>
        <v>1</v>
      </c>
      <c r="R481" s="662">
        <f t="shared" si="92"/>
        <v>0</v>
      </c>
      <c r="S481" s="315">
        <f t="shared" si="83"/>
        <v>0</v>
      </c>
    </row>
    <row r="482" spans="1:19">
      <c r="A482" s="150"/>
      <c r="B482" s="54"/>
      <c r="C482" s="21">
        <f t="shared" si="84"/>
        <v>1</v>
      </c>
      <c r="D482" s="666"/>
      <c r="E482" s="21">
        <f t="shared" si="85"/>
        <v>0</v>
      </c>
      <c r="F482" s="666"/>
      <c r="G482" s="21">
        <f t="shared" si="86"/>
        <v>0.2</v>
      </c>
      <c r="H482" s="666"/>
      <c r="I482" s="21">
        <f t="shared" si="87"/>
        <v>1</v>
      </c>
      <c r="J482" s="666"/>
      <c r="K482" s="21">
        <f t="shared" si="88"/>
        <v>1</v>
      </c>
      <c r="L482" s="666"/>
      <c r="M482" s="21">
        <f t="shared" si="89"/>
        <v>1</v>
      </c>
      <c r="N482" s="666"/>
      <c r="O482" s="21">
        <f t="shared" si="90"/>
        <v>1</v>
      </c>
      <c r="P482" s="666"/>
      <c r="Q482" s="21">
        <f t="shared" si="91"/>
        <v>1</v>
      </c>
      <c r="R482" s="662">
        <f t="shared" si="92"/>
        <v>0</v>
      </c>
      <c r="S482" s="315">
        <f t="shared" si="83"/>
        <v>0</v>
      </c>
    </row>
    <row r="483" spans="1:19">
      <c r="A483" s="150"/>
      <c r="B483" s="54"/>
      <c r="C483" s="21">
        <f t="shared" si="84"/>
        <v>1</v>
      </c>
      <c r="D483" s="666"/>
      <c r="E483" s="21">
        <f t="shared" si="85"/>
        <v>0</v>
      </c>
      <c r="F483" s="666"/>
      <c r="G483" s="21">
        <f t="shared" si="86"/>
        <v>0.2</v>
      </c>
      <c r="H483" s="666"/>
      <c r="I483" s="21">
        <f t="shared" si="87"/>
        <v>1</v>
      </c>
      <c r="J483" s="666"/>
      <c r="K483" s="21">
        <f t="shared" si="88"/>
        <v>1</v>
      </c>
      <c r="L483" s="666"/>
      <c r="M483" s="21">
        <f t="shared" si="89"/>
        <v>1</v>
      </c>
      <c r="N483" s="666"/>
      <c r="O483" s="21">
        <f t="shared" si="90"/>
        <v>1</v>
      </c>
      <c r="P483" s="666"/>
      <c r="Q483" s="21">
        <f t="shared" si="91"/>
        <v>1</v>
      </c>
      <c r="R483" s="662">
        <f t="shared" si="92"/>
        <v>0</v>
      </c>
      <c r="S483" s="315">
        <f t="shared" si="83"/>
        <v>0</v>
      </c>
    </row>
    <row r="484" spans="1:19">
      <c r="A484" s="150"/>
      <c r="B484" s="54"/>
      <c r="C484" s="21">
        <f t="shared" si="84"/>
        <v>1</v>
      </c>
      <c r="D484" s="666"/>
      <c r="E484" s="21">
        <f t="shared" si="85"/>
        <v>0</v>
      </c>
      <c r="F484" s="666"/>
      <c r="G484" s="21">
        <f t="shared" si="86"/>
        <v>0.2</v>
      </c>
      <c r="H484" s="666"/>
      <c r="I484" s="21">
        <f t="shared" si="87"/>
        <v>1</v>
      </c>
      <c r="J484" s="666"/>
      <c r="K484" s="21">
        <f t="shared" si="88"/>
        <v>1</v>
      </c>
      <c r="L484" s="666"/>
      <c r="M484" s="21">
        <f t="shared" si="89"/>
        <v>1</v>
      </c>
      <c r="N484" s="666"/>
      <c r="O484" s="21">
        <f t="shared" si="90"/>
        <v>1</v>
      </c>
      <c r="P484" s="666"/>
      <c r="Q484" s="21">
        <f t="shared" si="91"/>
        <v>1</v>
      </c>
      <c r="R484" s="662">
        <f t="shared" si="92"/>
        <v>0</v>
      </c>
      <c r="S484" s="315">
        <f t="shared" si="83"/>
        <v>0</v>
      </c>
    </row>
    <row r="485" spans="1:19">
      <c r="A485" s="150"/>
      <c r="B485" s="54"/>
      <c r="C485" s="21">
        <f t="shared" si="84"/>
        <v>1</v>
      </c>
      <c r="D485" s="666"/>
      <c r="E485" s="21">
        <f t="shared" si="85"/>
        <v>0</v>
      </c>
      <c r="F485" s="666"/>
      <c r="G485" s="21">
        <f t="shared" si="86"/>
        <v>0.2</v>
      </c>
      <c r="H485" s="666"/>
      <c r="I485" s="21">
        <f t="shared" si="87"/>
        <v>1</v>
      </c>
      <c r="J485" s="666"/>
      <c r="K485" s="21">
        <f t="shared" si="88"/>
        <v>1</v>
      </c>
      <c r="L485" s="666"/>
      <c r="M485" s="21">
        <f t="shared" si="89"/>
        <v>1</v>
      </c>
      <c r="N485" s="666"/>
      <c r="O485" s="21">
        <f t="shared" si="90"/>
        <v>1</v>
      </c>
      <c r="P485" s="666"/>
      <c r="Q485" s="21">
        <f t="shared" si="91"/>
        <v>1</v>
      </c>
      <c r="R485" s="662">
        <f t="shared" si="92"/>
        <v>0</v>
      </c>
      <c r="S485" s="315">
        <f t="shared" si="83"/>
        <v>0</v>
      </c>
    </row>
    <row r="486" spans="1:19">
      <c r="A486" s="150"/>
      <c r="B486" s="54"/>
      <c r="C486" s="21">
        <f t="shared" si="84"/>
        <v>1</v>
      </c>
      <c r="D486" s="666"/>
      <c r="E486" s="21">
        <f t="shared" si="85"/>
        <v>0</v>
      </c>
      <c r="F486" s="666"/>
      <c r="G486" s="21">
        <f t="shared" si="86"/>
        <v>0.2</v>
      </c>
      <c r="H486" s="666"/>
      <c r="I486" s="21">
        <f t="shared" si="87"/>
        <v>1</v>
      </c>
      <c r="J486" s="666"/>
      <c r="K486" s="21">
        <f t="shared" si="88"/>
        <v>1</v>
      </c>
      <c r="L486" s="666"/>
      <c r="M486" s="21">
        <f t="shared" si="89"/>
        <v>1</v>
      </c>
      <c r="N486" s="666"/>
      <c r="O486" s="21">
        <f t="shared" si="90"/>
        <v>1</v>
      </c>
      <c r="P486" s="666"/>
      <c r="Q486" s="21">
        <f t="shared" si="91"/>
        <v>1</v>
      </c>
      <c r="R486" s="662">
        <f t="shared" si="92"/>
        <v>0</v>
      </c>
      <c r="S486" s="315">
        <f t="shared" si="83"/>
        <v>0</v>
      </c>
    </row>
    <row r="487" spans="1:19">
      <c r="A487" s="150"/>
      <c r="B487" s="54"/>
      <c r="C487" s="21">
        <f t="shared" si="84"/>
        <v>1</v>
      </c>
      <c r="D487" s="666"/>
      <c r="E487" s="21">
        <f t="shared" si="85"/>
        <v>0</v>
      </c>
      <c r="F487" s="666"/>
      <c r="G487" s="21">
        <f t="shared" si="86"/>
        <v>0.2</v>
      </c>
      <c r="H487" s="666"/>
      <c r="I487" s="21">
        <f t="shared" si="87"/>
        <v>1</v>
      </c>
      <c r="J487" s="666"/>
      <c r="K487" s="21">
        <f t="shared" si="88"/>
        <v>1</v>
      </c>
      <c r="L487" s="666"/>
      <c r="M487" s="21">
        <f t="shared" si="89"/>
        <v>1</v>
      </c>
      <c r="N487" s="666"/>
      <c r="O487" s="21">
        <f t="shared" si="90"/>
        <v>1</v>
      </c>
      <c r="P487" s="666"/>
      <c r="Q487" s="21">
        <f t="shared" si="91"/>
        <v>1</v>
      </c>
      <c r="R487" s="662">
        <f t="shared" si="92"/>
        <v>0</v>
      </c>
      <c r="S487" s="315">
        <f t="shared" si="83"/>
        <v>0</v>
      </c>
    </row>
    <row r="488" spans="1:19">
      <c r="A488" s="150"/>
      <c r="B488" s="54"/>
      <c r="C488" s="21">
        <f t="shared" si="84"/>
        <v>1</v>
      </c>
      <c r="D488" s="666"/>
      <c r="E488" s="21">
        <f t="shared" si="85"/>
        <v>0</v>
      </c>
      <c r="F488" s="666"/>
      <c r="G488" s="21">
        <f t="shared" si="86"/>
        <v>0.2</v>
      </c>
      <c r="H488" s="666"/>
      <c r="I488" s="21">
        <f t="shared" si="87"/>
        <v>1</v>
      </c>
      <c r="J488" s="666"/>
      <c r="K488" s="21">
        <f t="shared" si="88"/>
        <v>1</v>
      </c>
      <c r="L488" s="666"/>
      <c r="M488" s="21">
        <f t="shared" si="89"/>
        <v>1</v>
      </c>
      <c r="N488" s="666"/>
      <c r="O488" s="21">
        <f t="shared" si="90"/>
        <v>1</v>
      </c>
      <c r="P488" s="666"/>
      <c r="Q488" s="21">
        <f t="shared" si="91"/>
        <v>1</v>
      </c>
      <c r="R488" s="662">
        <f t="shared" si="92"/>
        <v>0</v>
      </c>
      <c r="S488" s="315">
        <f t="shared" si="83"/>
        <v>0</v>
      </c>
    </row>
    <row r="489" spans="1:19">
      <c r="A489" s="150"/>
      <c r="B489" s="54"/>
      <c r="C489" s="21">
        <f t="shared" si="84"/>
        <v>1</v>
      </c>
      <c r="D489" s="666"/>
      <c r="E489" s="21">
        <f t="shared" si="85"/>
        <v>0</v>
      </c>
      <c r="F489" s="666"/>
      <c r="G489" s="21">
        <f t="shared" si="86"/>
        <v>0.2</v>
      </c>
      <c r="H489" s="666"/>
      <c r="I489" s="21">
        <f t="shared" si="87"/>
        <v>1</v>
      </c>
      <c r="J489" s="666"/>
      <c r="K489" s="21">
        <f t="shared" si="88"/>
        <v>1</v>
      </c>
      <c r="L489" s="666"/>
      <c r="M489" s="21">
        <f t="shared" si="89"/>
        <v>1</v>
      </c>
      <c r="N489" s="666"/>
      <c r="O489" s="21">
        <f t="shared" si="90"/>
        <v>1</v>
      </c>
      <c r="P489" s="666"/>
      <c r="Q489" s="21">
        <f t="shared" si="91"/>
        <v>1</v>
      </c>
      <c r="R489" s="662">
        <f t="shared" si="92"/>
        <v>0</v>
      </c>
      <c r="S489" s="315">
        <f t="shared" si="83"/>
        <v>0</v>
      </c>
    </row>
    <row r="490" spans="1:19">
      <c r="A490" s="150"/>
      <c r="B490" s="54"/>
      <c r="C490" s="21">
        <f t="shared" si="84"/>
        <v>1</v>
      </c>
      <c r="D490" s="666"/>
      <c r="E490" s="21">
        <f t="shared" si="85"/>
        <v>0</v>
      </c>
      <c r="F490" s="666"/>
      <c r="G490" s="21">
        <f t="shared" si="86"/>
        <v>0.2</v>
      </c>
      <c r="H490" s="666"/>
      <c r="I490" s="21">
        <f t="shared" si="87"/>
        <v>1</v>
      </c>
      <c r="J490" s="666"/>
      <c r="K490" s="21">
        <f t="shared" si="88"/>
        <v>1</v>
      </c>
      <c r="L490" s="666"/>
      <c r="M490" s="21">
        <f t="shared" si="89"/>
        <v>1</v>
      </c>
      <c r="N490" s="666"/>
      <c r="O490" s="21">
        <f t="shared" si="90"/>
        <v>1</v>
      </c>
      <c r="P490" s="666"/>
      <c r="Q490" s="21">
        <f t="shared" si="91"/>
        <v>1</v>
      </c>
      <c r="R490" s="662">
        <f t="shared" si="92"/>
        <v>0</v>
      </c>
      <c r="S490" s="315">
        <f t="shared" si="83"/>
        <v>0</v>
      </c>
    </row>
    <row r="491" spans="1:19">
      <c r="A491" s="150"/>
      <c r="B491" s="54"/>
      <c r="C491" s="21">
        <f t="shared" si="84"/>
        <v>1</v>
      </c>
      <c r="D491" s="666"/>
      <c r="E491" s="21">
        <f t="shared" si="85"/>
        <v>0</v>
      </c>
      <c r="F491" s="666"/>
      <c r="G491" s="21">
        <f t="shared" si="86"/>
        <v>0.2</v>
      </c>
      <c r="H491" s="666"/>
      <c r="I491" s="21">
        <f t="shared" si="87"/>
        <v>1</v>
      </c>
      <c r="J491" s="666"/>
      <c r="K491" s="21">
        <f t="shared" si="88"/>
        <v>1</v>
      </c>
      <c r="L491" s="666"/>
      <c r="M491" s="21">
        <f t="shared" si="89"/>
        <v>1</v>
      </c>
      <c r="N491" s="666"/>
      <c r="O491" s="21">
        <f t="shared" si="90"/>
        <v>1</v>
      </c>
      <c r="P491" s="666"/>
      <c r="Q491" s="21">
        <f t="shared" si="91"/>
        <v>1</v>
      </c>
      <c r="R491" s="662">
        <f t="shared" si="92"/>
        <v>0</v>
      </c>
      <c r="S491" s="315">
        <f t="shared" si="83"/>
        <v>0</v>
      </c>
    </row>
    <row r="492" spans="1:19">
      <c r="A492" s="150"/>
      <c r="B492" s="54"/>
      <c r="C492" s="21">
        <f t="shared" si="84"/>
        <v>1</v>
      </c>
      <c r="D492" s="666"/>
      <c r="E492" s="21">
        <f t="shared" si="85"/>
        <v>0</v>
      </c>
      <c r="F492" s="666"/>
      <c r="G492" s="21">
        <f t="shared" si="86"/>
        <v>0.2</v>
      </c>
      <c r="H492" s="666"/>
      <c r="I492" s="21">
        <f t="shared" si="87"/>
        <v>1</v>
      </c>
      <c r="J492" s="666"/>
      <c r="K492" s="21">
        <f t="shared" si="88"/>
        <v>1</v>
      </c>
      <c r="L492" s="666"/>
      <c r="M492" s="21">
        <f t="shared" si="89"/>
        <v>1</v>
      </c>
      <c r="N492" s="666"/>
      <c r="O492" s="21">
        <f t="shared" si="90"/>
        <v>1</v>
      </c>
      <c r="P492" s="666"/>
      <c r="Q492" s="21">
        <f t="shared" si="91"/>
        <v>1</v>
      </c>
      <c r="R492" s="662">
        <f t="shared" si="92"/>
        <v>0</v>
      </c>
      <c r="S492" s="315">
        <f t="shared" si="83"/>
        <v>0</v>
      </c>
    </row>
    <row r="493" spans="1:19">
      <c r="A493" s="150"/>
      <c r="B493" s="54"/>
      <c r="C493" s="21">
        <f t="shared" si="84"/>
        <v>1</v>
      </c>
      <c r="D493" s="666"/>
      <c r="E493" s="21">
        <f t="shared" si="85"/>
        <v>0</v>
      </c>
      <c r="F493" s="666"/>
      <c r="G493" s="21">
        <f t="shared" si="86"/>
        <v>0.2</v>
      </c>
      <c r="H493" s="666"/>
      <c r="I493" s="21">
        <f t="shared" si="87"/>
        <v>1</v>
      </c>
      <c r="J493" s="666"/>
      <c r="K493" s="21">
        <f t="shared" si="88"/>
        <v>1</v>
      </c>
      <c r="L493" s="666"/>
      <c r="M493" s="21">
        <f t="shared" si="89"/>
        <v>1</v>
      </c>
      <c r="N493" s="666"/>
      <c r="O493" s="21">
        <f t="shared" si="90"/>
        <v>1</v>
      </c>
      <c r="P493" s="666"/>
      <c r="Q493" s="21">
        <f t="shared" si="91"/>
        <v>1</v>
      </c>
      <c r="R493" s="662">
        <f t="shared" si="92"/>
        <v>0</v>
      </c>
      <c r="S493" s="315">
        <f t="shared" si="83"/>
        <v>0</v>
      </c>
    </row>
    <row r="494" spans="1:19">
      <c r="A494" s="150"/>
      <c r="B494" s="54"/>
      <c r="C494" s="21">
        <f t="shared" si="84"/>
        <v>1</v>
      </c>
      <c r="D494" s="666"/>
      <c r="E494" s="21">
        <f t="shared" si="85"/>
        <v>0</v>
      </c>
      <c r="F494" s="666"/>
      <c r="G494" s="21">
        <f t="shared" si="86"/>
        <v>0.2</v>
      </c>
      <c r="H494" s="666"/>
      <c r="I494" s="21">
        <f t="shared" si="87"/>
        <v>1</v>
      </c>
      <c r="J494" s="666"/>
      <c r="K494" s="21">
        <f t="shared" si="88"/>
        <v>1</v>
      </c>
      <c r="L494" s="666"/>
      <c r="M494" s="21">
        <f t="shared" si="89"/>
        <v>1</v>
      </c>
      <c r="N494" s="666"/>
      <c r="O494" s="21">
        <f t="shared" si="90"/>
        <v>1</v>
      </c>
      <c r="P494" s="666"/>
      <c r="Q494" s="21">
        <f t="shared" si="91"/>
        <v>1</v>
      </c>
      <c r="R494" s="662">
        <f t="shared" si="92"/>
        <v>0</v>
      </c>
      <c r="S494" s="315">
        <f t="shared" si="83"/>
        <v>0</v>
      </c>
    </row>
    <row r="495" spans="1:19">
      <c r="A495" s="150"/>
      <c r="B495" s="54"/>
      <c r="C495" s="21">
        <f t="shared" si="84"/>
        <v>1</v>
      </c>
      <c r="D495" s="666"/>
      <c r="E495" s="21">
        <f t="shared" si="85"/>
        <v>0</v>
      </c>
      <c r="F495" s="666"/>
      <c r="G495" s="21">
        <f t="shared" si="86"/>
        <v>0.2</v>
      </c>
      <c r="H495" s="666"/>
      <c r="I495" s="21">
        <f t="shared" si="87"/>
        <v>1</v>
      </c>
      <c r="J495" s="666"/>
      <c r="K495" s="21">
        <f t="shared" si="88"/>
        <v>1</v>
      </c>
      <c r="L495" s="666"/>
      <c r="M495" s="21">
        <f t="shared" si="89"/>
        <v>1</v>
      </c>
      <c r="N495" s="666"/>
      <c r="O495" s="21">
        <f t="shared" si="90"/>
        <v>1</v>
      </c>
      <c r="P495" s="666"/>
      <c r="Q495" s="21">
        <f t="shared" si="91"/>
        <v>1</v>
      </c>
      <c r="R495" s="662">
        <f t="shared" si="92"/>
        <v>0</v>
      </c>
      <c r="S495" s="315">
        <f t="shared" si="83"/>
        <v>0</v>
      </c>
    </row>
    <row r="496" spans="1:19">
      <c r="A496" s="150"/>
      <c r="B496" s="54"/>
      <c r="C496" s="21">
        <f t="shared" si="84"/>
        <v>1</v>
      </c>
      <c r="D496" s="666"/>
      <c r="E496" s="21">
        <f t="shared" si="85"/>
        <v>0</v>
      </c>
      <c r="F496" s="666"/>
      <c r="G496" s="21">
        <f t="shared" si="86"/>
        <v>0.2</v>
      </c>
      <c r="H496" s="666"/>
      <c r="I496" s="21">
        <f t="shared" si="87"/>
        <v>1</v>
      </c>
      <c r="J496" s="666"/>
      <c r="K496" s="21">
        <f t="shared" si="88"/>
        <v>1</v>
      </c>
      <c r="L496" s="666"/>
      <c r="M496" s="21">
        <f t="shared" si="89"/>
        <v>1</v>
      </c>
      <c r="N496" s="666"/>
      <c r="O496" s="21">
        <f t="shared" si="90"/>
        <v>1</v>
      </c>
      <c r="P496" s="666"/>
      <c r="Q496" s="21">
        <f t="shared" si="91"/>
        <v>1</v>
      </c>
      <c r="R496" s="662">
        <f t="shared" si="92"/>
        <v>0</v>
      </c>
      <c r="S496" s="315">
        <f t="shared" si="83"/>
        <v>0</v>
      </c>
    </row>
    <row r="497" spans="1:19">
      <c r="A497" s="150"/>
      <c r="B497" s="54"/>
      <c r="C497" s="21">
        <f t="shared" si="84"/>
        <v>1</v>
      </c>
      <c r="D497" s="666"/>
      <c r="E497" s="21">
        <f t="shared" si="85"/>
        <v>0</v>
      </c>
      <c r="F497" s="666"/>
      <c r="G497" s="21">
        <f t="shared" si="86"/>
        <v>0.2</v>
      </c>
      <c r="H497" s="666"/>
      <c r="I497" s="21">
        <f t="shared" si="87"/>
        <v>1</v>
      </c>
      <c r="J497" s="666"/>
      <c r="K497" s="21">
        <f t="shared" si="88"/>
        <v>1</v>
      </c>
      <c r="L497" s="666"/>
      <c r="M497" s="21">
        <f t="shared" si="89"/>
        <v>1</v>
      </c>
      <c r="N497" s="666"/>
      <c r="O497" s="21">
        <f t="shared" si="90"/>
        <v>1</v>
      </c>
      <c r="P497" s="666"/>
      <c r="Q497" s="21">
        <f t="shared" si="91"/>
        <v>1</v>
      </c>
      <c r="R497" s="662">
        <f t="shared" si="92"/>
        <v>0</v>
      </c>
      <c r="S497" s="315">
        <f t="shared" si="83"/>
        <v>0</v>
      </c>
    </row>
    <row r="498" spans="1:19">
      <c r="A498" s="150"/>
      <c r="B498" s="54"/>
      <c r="C498" s="21">
        <f t="shared" si="84"/>
        <v>1</v>
      </c>
      <c r="D498" s="666"/>
      <c r="E498" s="21">
        <f t="shared" si="85"/>
        <v>0</v>
      </c>
      <c r="F498" s="666"/>
      <c r="G498" s="21">
        <f t="shared" si="86"/>
        <v>0.2</v>
      </c>
      <c r="H498" s="666"/>
      <c r="I498" s="21">
        <f t="shared" si="87"/>
        <v>1</v>
      </c>
      <c r="J498" s="666"/>
      <c r="K498" s="21">
        <f t="shared" si="88"/>
        <v>1</v>
      </c>
      <c r="L498" s="666"/>
      <c r="M498" s="21">
        <f t="shared" si="89"/>
        <v>1</v>
      </c>
      <c r="N498" s="666"/>
      <c r="O498" s="21">
        <f t="shared" si="90"/>
        <v>1</v>
      </c>
      <c r="P498" s="666"/>
      <c r="Q498" s="21">
        <f t="shared" si="91"/>
        <v>1</v>
      </c>
      <c r="R498" s="662">
        <f t="shared" si="92"/>
        <v>0</v>
      </c>
      <c r="S498" s="315">
        <f t="shared" ref="S498:S524" si="93">ROUND(R498*B498/10000,0)</f>
        <v>0</v>
      </c>
    </row>
    <row r="499" spans="1:19">
      <c r="A499" s="150"/>
      <c r="B499" s="54"/>
      <c r="C499" s="21">
        <f t="shared" si="84"/>
        <v>1</v>
      </c>
      <c r="D499" s="666"/>
      <c r="E499" s="21">
        <f t="shared" si="85"/>
        <v>0</v>
      </c>
      <c r="F499" s="666"/>
      <c r="G499" s="21">
        <f t="shared" si="86"/>
        <v>0.2</v>
      </c>
      <c r="H499" s="666"/>
      <c r="I499" s="21">
        <f t="shared" si="87"/>
        <v>1</v>
      </c>
      <c r="J499" s="666"/>
      <c r="K499" s="21">
        <f t="shared" si="88"/>
        <v>1</v>
      </c>
      <c r="L499" s="666"/>
      <c r="M499" s="21">
        <f t="shared" si="89"/>
        <v>1</v>
      </c>
      <c r="N499" s="666"/>
      <c r="O499" s="21">
        <f t="shared" si="90"/>
        <v>1</v>
      </c>
      <c r="P499" s="666"/>
      <c r="Q499" s="21">
        <f t="shared" si="91"/>
        <v>1</v>
      </c>
      <c r="R499" s="662">
        <f t="shared" si="92"/>
        <v>0</v>
      </c>
      <c r="S499" s="315">
        <f t="shared" si="93"/>
        <v>0</v>
      </c>
    </row>
    <row r="500" spans="1:19">
      <c r="A500" s="150"/>
      <c r="B500" s="54"/>
      <c r="C500" s="21">
        <f t="shared" si="84"/>
        <v>1</v>
      </c>
      <c r="D500" s="666"/>
      <c r="E500" s="21">
        <f t="shared" si="85"/>
        <v>0</v>
      </c>
      <c r="F500" s="666"/>
      <c r="G500" s="21">
        <f t="shared" si="86"/>
        <v>0.2</v>
      </c>
      <c r="H500" s="666"/>
      <c r="I500" s="21">
        <f t="shared" si="87"/>
        <v>1</v>
      </c>
      <c r="J500" s="666"/>
      <c r="K500" s="21">
        <f t="shared" si="88"/>
        <v>1</v>
      </c>
      <c r="L500" s="666"/>
      <c r="M500" s="21">
        <f t="shared" si="89"/>
        <v>1</v>
      </c>
      <c r="N500" s="666"/>
      <c r="O500" s="21">
        <f t="shared" si="90"/>
        <v>1</v>
      </c>
      <c r="P500" s="666"/>
      <c r="Q500" s="21">
        <f t="shared" si="91"/>
        <v>1</v>
      </c>
      <c r="R500" s="662">
        <f t="shared" si="92"/>
        <v>0</v>
      </c>
      <c r="S500" s="315">
        <f t="shared" si="93"/>
        <v>0</v>
      </c>
    </row>
    <row r="501" spans="1:19">
      <c r="A501" s="150"/>
      <c r="B501" s="54"/>
      <c r="C501" s="21">
        <f t="shared" si="84"/>
        <v>1</v>
      </c>
      <c r="D501" s="666"/>
      <c r="E501" s="21">
        <f t="shared" si="85"/>
        <v>0</v>
      </c>
      <c r="F501" s="666"/>
      <c r="G501" s="21">
        <f t="shared" si="86"/>
        <v>0.2</v>
      </c>
      <c r="H501" s="666"/>
      <c r="I501" s="21">
        <f t="shared" si="87"/>
        <v>1</v>
      </c>
      <c r="J501" s="666"/>
      <c r="K501" s="21">
        <f t="shared" si="88"/>
        <v>1</v>
      </c>
      <c r="L501" s="666"/>
      <c r="M501" s="21">
        <f t="shared" si="89"/>
        <v>1</v>
      </c>
      <c r="N501" s="666"/>
      <c r="O501" s="21">
        <f t="shared" si="90"/>
        <v>1</v>
      </c>
      <c r="P501" s="666"/>
      <c r="Q501" s="21">
        <f t="shared" si="91"/>
        <v>1</v>
      </c>
      <c r="R501" s="662">
        <f t="shared" si="92"/>
        <v>0</v>
      </c>
      <c r="S501" s="315">
        <f t="shared" si="93"/>
        <v>0</v>
      </c>
    </row>
    <row r="502" spans="1:19">
      <c r="A502" s="150"/>
      <c r="B502" s="54"/>
      <c r="C502" s="21">
        <f t="shared" si="84"/>
        <v>1</v>
      </c>
      <c r="D502" s="666"/>
      <c r="E502" s="21">
        <f t="shared" si="85"/>
        <v>0</v>
      </c>
      <c r="F502" s="666"/>
      <c r="G502" s="21">
        <f t="shared" si="86"/>
        <v>0.2</v>
      </c>
      <c r="H502" s="666"/>
      <c r="I502" s="21">
        <f t="shared" si="87"/>
        <v>1</v>
      </c>
      <c r="J502" s="666"/>
      <c r="K502" s="21">
        <f t="shared" si="88"/>
        <v>1</v>
      </c>
      <c r="L502" s="666"/>
      <c r="M502" s="21">
        <f t="shared" si="89"/>
        <v>1</v>
      </c>
      <c r="N502" s="666"/>
      <c r="O502" s="21">
        <f t="shared" si="90"/>
        <v>1</v>
      </c>
      <c r="P502" s="666"/>
      <c r="Q502" s="21">
        <f t="shared" si="91"/>
        <v>1</v>
      </c>
      <c r="R502" s="662">
        <f t="shared" si="92"/>
        <v>0</v>
      </c>
      <c r="S502" s="315">
        <f t="shared" si="93"/>
        <v>0</v>
      </c>
    </row>
    <row r="503" spans="1:19">
      <c r="A503" s="150"/>
      <c r="B503" s="54"/>
      <c r="C503" s="21">
        <f t="shared" si="84"/>
        <v>1</v>
      </c>
      <c r="D503" s="666"/>
      <c r="E503" s="21">
        <f t="shared" si="85"/>
        <v>0</v>
      </c>
      <c r="F503" s="666"/>
      <c r="G503" s="21">
        <f t="shared" si="86"/>
        <v>0.2</v>
      </c>
      <c r="H503" s="666"/>
      <c r="I503" s="21">
        <f t="shared" si="87"/>
        <v>1</v>
      </c>
      <c r="J503" s="666"/>
      <c r="K503" s="21">
        <f t="shared" si="88"/>
        <v>1</v>
      </c>
      <c r="L503" s="666"/>
      <c r="M503" s="21">
        <f t="shared" si="89"/>
        <v>1</v>
      </c>
      <c r="N503" s="666"/>
      <c r="O503" s="21">
        <f t="shared" si="90"/>
        <v>1</v>
      </c>
      <c r="P503" s="666"/>
      <c r="Q503" s="21">
        <f t="shared" si="91"/>
        <v>1</v>
      </c>
      <c r="R503" s="662">
        <f t="shared" si="92"/>
        <v>0</v>
      </c>
      <c r="S503" s="315">
        <f t="shared" si="93"/>
        <v>0</v>
      </c>
    </row>
    <row r="504" spans="1:19">
      <c r="A504" s="150"/>
      <c r="B504" s="54"/>
      <c r="C504" s="21">
        <f t="shared" si="84"/>
        <v>1</v>
      </c>
      <c r="D504" s="666"/>
      <c r="E504" s="21">
        <f t="shared" si="85"/>
        <v>0</v>
      </c>
      <c r="F504" s="666"/>
      <c r="G504" s="21">
        <f t="shared" si="86"/>
        <v>0.2</v>
      </c>
      <c r="H504" s="666"/>
      <c r="I504" s="21">
        <f t="shared" si="87"/>
        <v>1</v>
      </c>
      <c r="J504" s="666"/>
      <c r="K504" s="21">
        <f t="shared" si="88"/>
        <v>1</v>
      </c>
      <c r="L504" s="666"/>
      <c r="M504" s="21">
        <f t="shared" si="89"/>
        <v>1</v>
      </c>
      <c r="N504" s="666"/>
      <c r="O504" s="21">
        <f t="shared" si="90"/>
        <v>1</v>
      </c>
      <c r="P504" s="666"/>
      <c r="Q504" s="21">
        <f t="shared" si="91"/>
        <v>1</v>
      </c>
      <c r="R504" s="662">
        <f t="shared" si="92"/>
        <v>0</v>
      </c>
      <c r="S504" s="315">
        <f t="shared" si="93"/>
        <v>0</v>
      </c>
    </row>
    <row r="505" spans="1:19">
      <c r="A505" s="150"/>
      <c r="B505" s="54"/>
      <c r="C505" s="21">
        <f t="shared" si="84"/>
        <v>1</v>
      </c>
      <c r="D505" s="666"/>
      <c r="E505" s="21">
        <f t="shared" si="85"/>
        <v>0</v>
      </c>
      <c r="F505" s="666"/>
      <c r="G505" s="21">
        <f t="shared" si="86"/>
        <v>0.2</v>
      </c>
      <c r="H505" s="666"/>
      <c r="I505" s="21">
        <f t="shared" si="87"/>
        <v>1</v>
      </c>
      <c r="J505" s="666"/>
      <c r="K505" s="21">
        <f t="shared" si="88"/>
        <v>1</v>
      </c>
      <c r="L505" s="666"/>
      <c r="M505" s="21">
        <f t="shared" si="89"/>
        <v>1</v>
      </c>
      <c r="N505" s="666"/>
      <c r="O505" s="21">
        <f t="shared" si="90"/>
        <v>1</v>
      </c>
      <c r="P505" s="666"/>
      <c r="Q505" s="21">
        <f t="shared" si="91"/>
        <v>1</v>
      </c>
      <c r="R505" s="662">
        <f t="shared" si="92"/>
        <v>0</v>
      </c>
      <c r="S505" s="315">
        <f t="shared" si="93"/>
        <v>0</v>
      </c>
    </row>
    <row r="506" spans="1:19">
      <c r="A506" s="150"/>
      <c r="B506" s="54"/>
      <c r="C506" s="21">
        <f t="shared" si="84"/>
        <v>1</v>
      </c>
      <c r="D506" s="666"/>
      <c r="E506" s="21">
        <f t="shared" si="85"/>
        <v>0</v>
      </c>
      <c r="F506" s="666"/>
      <c r="G506" s="21">
        <f t="shared" si="86"/>
        <v>0.2</v>
      </c>
      <c r="H506" s="666"/>
      <c r="I506" s="21">
        <f t="shared" si="87"/>
        <v>1</v>
      </c>
      <c r="J506" s="666"/>
      <c r="K506" s="21">
        <f t="shared" si="88"/>
        <v>1</v>
      </c>
      <c r="L506" s="666"/>
      <c r="M506" s="21">
        <f t="shared" si="89"/>
        <v>1</v>
      </c>
      <c r="N506" s="666"/>
      <c r="O506" s="21">
        <f t="shared" si="90"/>
        <v>1</v>
      </c>
      <c r="P506" s="666"/>
      <c r="Q506" s="21">
        <f t="shared" si="91"/>
        <v>1</v>
      </c>
      <c r="R506" s="662">
        <f t="shared" si="92"/>
        <v>0</v>
      </c>
      <c r="S506" s="315">
        <f t="shared" si="93"/>
        <v>0</v>
      </c>
    </row>
    <row r="507" spans="1:19">
      <c r="A507" s="150"/>
      <c r="B507" s="54"/>
      <c r="C507" s="21">
        <f t="shared" si="84"/>
        <v>1</v>
      </c>
      <c r="D507" s="666"/>
      <c r="E507" s="21">
        <f t="shared" si="85"/>
        <v>0</v>
      </c>
      <c r="F507" s="666"/>
      <c r="G507" s="21">
        <f t="shared" si="86"/>
        <v>0.2</v>
      </c>
      <c r="H507" s="666"/>
      <c r="I507" s="21">
        <f t="shared" si="87"/>
        <v>1</v>
      </c>
      <c r="J507" s="666"/>
      <c r="K507" s="21">
        <f t="shared" si="88"/>
        <v>1</v>
      </c>
      <c r="L507" s="666"/>
      <c r="M507" s="21">
        <f t="shared" si="89"/>
        <v>1</v>
      </c>
      <c r="N507" s="666"/>
      <c r="O507" s="21">
        <f t="shared" si="90"/>
        <v>1</v>
      </c>
      <c r="P507" s="666"/>
      <c r="Q507" s="21">
        <f t="shared" si="91"/>
        <v>1</v>
      </c>
      <c r="R507" s="662">
        <f t="shared" si="92"/>
        <v>0</v>
      </c>
      <c r="S507" s="315">
        <f t="shared" si="93"/>
        <v>0</v>
      </c>
    </row>
    <row r="508" spans="1:19">
      <c r="A508" s="150"/>
      <c r="B508" s="54"/>
      <c r="C508" s="21">
        <f t="shared" si="84"/>
        <v>1</v>
      </c>
      <c r="D508" s="666"/>
      <c r="E508" s="21">
        <f t="shared" si="85"/>
        <v>0</v>
      </c>
      <c r="F508" s="666"/>
      <c r="G508" s="21">
        <f t="shared" si="86"/>
        <v>0.2</v>
      </c>
      <c r="H508" s="666"/>
      <c r="I508" s="21">
        <f t="shared" si="87"/>
        <v>1</v>
      </c>
      <c r="J508" s="666"/>
      <c r="K508" s="21">
        <f t="shared" si="88"/>
        <v>1</v>
      </c>
      <c r="L508" s="666"/>
      <c r="M508" s="21">
        <f t="shared" si="89"/>
        <v>1</v>
      </c>
      <c r="N508" s="666"/>
      <c r="O508" s="21">
        <f t="shared" si="90"/>
        <v>1</v>
      </c>
      <c r="P508" s="666"/>
      <c r="Q508" s="21">
        <f t="shared" si="91"/>
        <v>1</v>
      </c>
      <c r="R508" s="662">
        <f t="shared" si="92"/>
        <v>0</v>
      </c>
      <c r="S508" s="315">
        <f t="shared" si="93"/>
        <v>0</v>
      </c>
    </row>
    <row r="509" spans="1:19">
      <c r="A509" s="150"/>
      <c r="B509" s="54"/>
      <c r="C509" s="21">
        <f t="shared" si="84"/>
        <v>1</v>
      </c>
      <c r="D509" s="666"/>
      <c r="E509" s="21">
        <f t="shared" si="85"/>
        <v>0</v>
      </c>
      <c r="F509" s="666"/>
      <c r="G509" s="21">
        <f t="shared" si="86"/>
        <v>0.2</v>
      </c>
      <c r="H509" s="666"/>
      <c r="I509" s="21">
        <f t="shared" si="87"/>
        <v>1</v>
      </c>
      <c r="J509" s="666"/>
      <c r="K509" s="21">
        <f t="shared" si="88"/>
        <v>1</v>
      </c>
      <c r="L509" s="666"/>
      <c r="M509" s="21">
        <f t="shared" si="89"/>
        <v>1</v>
      </c>
      <c r="N509" s="666"/>
      <c r="O509" s="21">
        <f t="shared" si="90"/>
        <v>1</v>
      </c>
      <c r="P509" s="666"/>
      <c r="Q509" s="21">
        <f t="shared" si="91"/>
        <v>1</v>
      </c>
      <c r="R509" s="662">
        <f t="shared" si="92"/>
        <v>0</v>
      </c>
      <c r="S509" s="315">
        <f t="shared" si="93"/>
        <v>0</v>
      </c>
    </row>
    <row r="510" spans="1:19">
      <c r="A510" s="150"/>
      <c r="B510" s="54"/>
      <c r="C510" s="21">
        <f t="shared" si="84"/>
        <v>1</v>
      </c>
      <c r="D510" s="666"/>
      <c r="E510" s="21">
        <f t="shared" si="85"/>
        <v>0</v>
      </c>
      <c r="F510" s="666"/>
      <c r="G510" s="21">
        <f t="shared" si="86"/>
        <v>0.2</v>
      </c>
      <c r="H510" s="666"/>
      <c r="I510" s="21">
        <f t="shared" si="87"/>
        <v>1</v>
      </c>
      <c r="J510" s="666"/>
      <c r="K510" s="21">
        <f t="shared" si="88"/>
        <v>1</v>
      </c>
      <c r="L510" s="666"/>
      <c r="M510" s="21">
        <f t="shared" si="89"/>
        <v>1</v>
      </c>
      <c r="N510" s="666"/>
      <c r="O510" s="21">
        <f t="shared" si="90"/>
        <v>1</v>
      </c>
      <c r="P510" s="666"/>
      <c r="Q510" s="21">
        <f t="shared" si="91"/>
        <v>1</v>
      </c>
      <c r="R510" s="662">
        <f t="shared" si="92"/>
        <v>0</v>
      </c>
      <c r="S510" s="315">
        <f t="shared" si="93"/>
        <v>0</v>
      </c>
    </row>
    <row r="511" spans="1:19">
      <c r="A511" s="150"/>
      <c r="B511" s="54"/>
      <c r="C511" s="21">
        <f t="shared" si="84"/>
        <v>1</v>
      </c>
      <c r="D511" s="666"/>
      <c r="E511" s="21">
        <f t="shared" si="85"/>
        <v>0</v>
      </c>
      <c r="F511" s="666"/>
      <c r="G511" s="21">
        <f t="shared" si="86"/>
        <v>0.2</v>
      </c>
      <c r="H511" s="666"/>
      <c r="I511" s="21">
        <f t="shared" si="87"/>
        <v>1</v>
      </c>
      <c r="J511" s="666"/>
      <c r="K511" s="21">
        <f t="shared" si="88"/>
        <v>1</v>
      </c>
      <c r="L511" s="666"/>
      <c r="M511" s="21">
        <f t="shared" si="89"/>
        <v>1</v>
      </c>
      <c r="N511" s="666"/>
      <c r="O511" s="21">
        <f t="shared" si="90"/>
        <v>1</v>
      </c>
      <c r="P511" s="666"/>
      <c r="Q511" s="21">
        <f t="shared" si="91"/>
        <v>1</v>
      </c>
      <c r="R511" s="662">
        <f t="shared" si="92"/>
        <v>0</v>
      </c>
      <c r="S511" s="315">
        <f t="shared" si="93"/>
        <v>0</v>
      </c>
    </row>
    <row r="512" spans="1:19">
      <c r="A512" s="150"/>
      <c r="B512" s="54"/>
      <c r="C512" s="21">
        <f t="shared" si="84"/>
        <v>1</v>
      </c>
      <c r="D512" s="666"/>
      <c r="E512" s="21">
        <f t="shared" si="85"/>
        <v>0</v>
      </c>
      <c r="F512" s="666"/>
      <c r="G512" s="21">
        <f t="shared" si="86"/>
        <v>0.2</v>
      </c>
      <c r="H512" s="666"/>
      <c r="I512" s="21">
        <f t="shared" si="87"/>
        <v>1</v>
      </c>
      <c r="J512" s="666"/>
      <c r="K512" s="21">
        <f t="shared" si="88"/>
        <v>1</v>
      </c>
      <c r="L512" s="666"/>
      <c r="M512" s="21">
        <f t="shared" si="89"/>
        <v>1</v>
      </c>
      <c r="N512" s="666"/>
      <c r="O512" s="21">
        <f t="shared" si="90"/>
        <v>1</v>
      </c>
      <c r="P512" s="666"/>
      <c r="Q512" s="21">
        <f t="shared" si="91"/>
        <v>1</v>
      </c>
      <c r="R512" s="662">
        <f t="shared" si="92"/>
        <v>0</v>
      </c>
      <c r="S512" s="315">
        <f t="shared" si="93"/>
        <v>0</v>
      </c>
    </row>
    <row r="513" spans="1:19">
      <c r="A513" s="150"/>
      <c r="B513" s="54"/>
      <c r="C513" s="21">
        <f t="shared" si="84"/>
        <v>1</v>
      </c>
      <c r="D513" s="666"/>
      <c r="E513" s="21">
        <f t="shared" si="85"/>
        <v>0</v>
      </c>
      <c r="F513" s="666"/>
      <c r="G513" s="21">
        <f t="shared" si="86"/>
        <v>0.2</v>
      </c>
      <c r="H513" s="666"/>
      <c r="I513" s="21">
        <f t="shared" si="87"/>
        <v>1</v>
      </c>
      <c r="J513" s="666"/>
      <c r="K513" s="21">
        <f t="shared" si="88"/>
        <v>1</v>
      </c>
      <c r="L513" s="666"/>
      <c r="M513" s="21">
        <f t="shared" si="89"/>
        <v>1</v>
      </c>
      <c r="N513" s="666"/>
      <c r="O513" s="21">
        <f t="shared" si="90"/>
        <v>1</v>
      </c>
      <c r="P513" s="666"/>
      <c r="Q513" s="21">
        <f t="shared" si="91"/>
        <v>1</v>
      </c>
      <c r="R513" s="662">
        <f t="shared" si="92"/>
        <v>0</v>
      </c>
      <c r="S513" s="315">
        <f t="shared" si="93"/>
        <v>0</v>
      </c>
    </row>
    <row r="514" spans="1:19">
      <c r="A514" s="150"/>
      <c r="B514" s="54"/>
      <c r="C514" s="21">
        <f t="shared" si="84"/>
        <v>1</v>
      </c>
      <c r="D514" s="666"/>
      <c r="E514" s="21">
        <f t="shared" si="85"/>
        <v>0</v>
      </c>
      <c r="F514" s="666"/>
      <c r="G514" s="21">
        <f t="shared" si="86"/>
        <v>0.2</v>
      </c>
      <c r="H514" s="666"/>
      <c r="I514" s="21">
        <f t="shared" si="87"/>
        <v>1</v>
      </c>
      <c r="J514" s="666"/>
      <c r="K514" s="21">
        <f t="shared" si="88"/>
        <v>1</v>
      </c>
      <c r="L514" s="666"/>
      <c r="M514" s="21">
        <f t="shared" si="89"/>
        <v>1</v>
      </c>
      <c r="N514" s="666"/>
      <c r="O514" s="21">
        <f t="shared" si="90"/>
        <v>1</v>
      </c>
      <c r="P514" s="666"/>
      <c r="Q514" s="21">
        <f t="shared" si="91"/>
        <v>1</v>
      </c>
      <c r="R514" s="662">
        <f t="shared" si="92"/>
        <v>0</v>
      </c>
      <c r="S514" s="315">
        <f t="shared" si="93"/>
        <v>0</v>
      </c>
    </row>
    <row r="515" spans="1:19">
      <c r="A515" s="150"/>
      <c r="B515" s="54"/>
      <c r="C515" s="21">
        <f t="shared" si="84"/>
        <v>1</v>
      </c>
      <c r="D515" s="666"/>
      <c r="E515" s="21">
        <f t="shared" si="85"/>
        <v>0</v>
      </c>
      <c r="F515" s="666"/>
      <c r="G515" s="21">
        <f t="shared" si="86"/>
        <v>0.2</v>
      </c>
      <c r="H515" s="666"/>
      <c r="I515" s="21">
        <f t="shared" si="87"/>
        <v>1</v>
      </c>
      <c r="J515" s="666"/>
      <c r="K515" s="21">
        <f t="shared" si="88"/>
        <v>1</v>
      </c>
      <c r="L515" s="666"/>
      <c r="M515" s="21">
        <f t="shared" si="89"/>
        <v>1</v>
      </c>
      <c r="N515" s="666"/>
      <c r="O515" s="21">
        <f t="shared" si="90"/>
        <v>1</v>
      </c>
      <c r="P515" s="666"/>
      <c r="Q515" s="21">
        <f t="shared" si="91"/>
        <v>1</v>
      </c>
      <c r="R515" s="662">
        <f t="shared" si="92"/>
        <v>0</v>
      </c>
      <c r="S515" s="315">
        <f t="shared" si="93"/>
        <v>0</v>
      </c>
    </row>
    <row r="516" spans="1:19">
      <c r="A516" s="150"/>
      <c r="B516" s="54"/>
      <c r="C516" s="21">
        <f t="shared" si="84"/>
        <v>1</v>
      </c>
      <c r="D516" s="666"/>
      <c r="E516" s="21">
        <f t="shared" si="85"/>
        <v>0</v>
      </c>
      <c r="F516" s="666"/>
      <c r="G516" s="21">
        <f t="shared" si="86"/>
        <v>0.2</v>
      </c>
      <c r="H516" s="666"/>
      <c r="I516" s="21">
        <f t="shared" si="87"/>
        <v>1</v>
      </c>
      <c r="J516" s="666"/>
      <c r="K516" s="21">
        <f t="shared" si="88"/>
        <v>1</v>
      </c>
      <c r="L516" s="666"/>
      <c r="M516" s="21">
        <f t="shared" si="89"/>
        <v>1</v>
      </c>
      <c r="N516" s="666"/>
      <c r="O516" s="21">
        <f t="shared" si="90"/>
        <v>1</v>
      </c>
      <c r="P516" s="666"/>
      <c r="Q516" s="21">
        <f t="shared" si="91"/>
        <v>1</v>
      </c>
      <c r="R516" s="662">
        <f t="shared" si="92"/>
        <v>0</v>
      </c>
      <c r="S516" s="315">
        <f t="shared" si="93"/>
        <v>0</v>
      </c>
    </row>
    <row r="517" spans="1:19">
      <c r="A517" s="150"/>
      <c r="B517" s="54"/>
      <c r="C517" s="21">
        <f t="shared" si="84"/>
        <v>1</v>
      </c>
      <c r="D517" s="666"/>
      <c r="E517" s="21">
        <f t="shared" si="85"/>
        <v>0</v>
      </c>
      <c r="F517" s="666"/>
      <c r="G517" s="21">
        <f t="shared" si="86"/>
        <v>0.2</v>
      </c>
      <c r="H517" s="666"/>
      <c r="I517" s="21">
        <f t="shared" si="87"/>
        <v>1</v>
      </c>
      <c r="J517" s="666"/>
      <c r="K517" s="21">
        <f t="shared" si="88"/>
        <v>1</v>
      </c>
      <c r="L517" s="666"/>
      <c r="M517" s="21">
        <f t="shared" si="89"/>
        <v>1</v>
      </c>
      <c r="N517" s="666"/>
      <c r="O517" s="21">
        <f t="shared" si="90"/>
        <v>1</v>
      </c>
      <c r="P517" s="666"/>
      <c r="Q517" s="21">
        <f t="shared" si="91"/>
        <v>1</v>
      </c>
      <c r="R517" s="662">
        <f t="shared" si="92"/>
        <v>0</v>
      </c>
      <c r="S517" s="315">
        <f t="shared" si="93"/>
        <v>0</v>
      </c>
    </row>
    <row r="518" spans="1:19">
      <c r="A518" s="150"/>
      <c r="B518" s="54"/>
      <c r="C518" s="21">
        <f t="shared" si="84"/>
        <v>1</v>
      </c>
      <c r="D518" s="666"/>
      <c r="E518" s="21">
        <f t="shared" si="85"/>
        <v>0</v>
      </c>
      <c r="F518" s="666"/>
      <c r="G518" s="21">
        <f t="shared" si="86"/>
        <v>0.2</v>
      </c>
      <c r="H518" s="666"/>
      <c r="I518" s="21">
        <f t="shared" si="87"/>
        <v>1</v>
      </c>
      <c r="J518" s="666"/>
      <c r="K518" s="21">
        <f t="shared" si="88"/>
        <v>1</v>
      </c>
      <c r="L518" s="666"/>
      <c r="M518" s="21">
        <f t="shared" si="89"/>
        <v>1</v>
      </c>
      <c r="N518" s="666"/>
      <c r="O518" s="21">
        <f t="shared" si="90"/>
        <v>1</v>
      </c>
      <c r="P518" s="666"/>
      <c r="Q518" s="21">
        <f t="shared" si="91"/>
        <v>1</v>
      </c>
      <c r="R518" s="662">
        <f t="shared" si="92"/>
        <v>0</v>
      </c>
      <c r="S518" s="315">
        <f t="shared" si="93"/>
        <v>0</v>
      </c>
    </row>
    <row r="519" spans="1:19">
      <c r="A519" s="150"/>
      <c r="B519" s="54"/>
      <c r="C519" s="21">
        <f t="shared" si="84"/>
        <v>1</v>
      </c>
      <c r="D519" s="666"/>
      <c r="E519" s="21">
        <f t="shared" si="85"/>
        <v>0</v>
      </c>
      <c r="F519" s="666"/>
      <c r="G519" s="21">
        <f t="shared" si="86"/>
        <v>0.2</v>
      </c>
      <c r="H519" s="666"/>
      <c r="I519" s="21">
        <f t="shared" si="87"/>
        <v>1</v>
      </c>
      <c r="J519" s="666"/>
      <c r="K519" s="21">
        <f t="shared" si="88"/>
        <v>1</v>
      </c>
      <c r="L519" s="666"/>
      <c r="M519" s="21">
        <f t="shared" si="89"/>
        <v>1</v>
      </c>
      <c r="N519" s="666"/>
      <c r="O519" s="21">
        <f t="shared" si="90"/>
        <v>1</v>
      </c>
      <c r="P519" s="666"/>
      <c r="Q519" s="21">
        <f t="shared" si="91"/>
        <v>1</v>
      </c>
      <c r="R519" s="662">
        <f t="shared" si="92"/>
        <v>0</v>
      </c>
      <c r="S519" s="315">
        <f t="shared" si="93"/>
        <v>0</v>
      </c>
    </row>
    <row r="520" spans="1:19">
      <c r="A520" s="150"/>
      <c r="B520" s="54"/>
      <c r="C520" s="21">
        <f t="shared" si="84"/>
        <v>1</v>
      </c>
      <c r="D520" s="666"/>
      <c r="E520" s="21">
        <f t="shared" si="85"/>
        <v>0</v>
      </c>
      <c r="F520" s="666"/>
      <c r="G520" s="21">
        <f t="shared" si="86"/>
        <v>0.2</v>
      </c>
      <c r="H520" s="666"/>
      <c r="I520" s="21">
        <f t="shared" si="87"/>
        <v>1</v>
      </c>
      <c r="J520" s="666"/>
      <c r="K520" s="21">
        <f t="shared" si="88"/>
        <v>1</v>
      </c>
      <c r="L520" s="666"/>
      <c r="M520" s="21">
        <f t="shared" si="89"/>
        <v>1</v>
      </c>
      <c r="N520" s="666"/>
      <c r="O520" s="21">
        <f t="shared" si="90"/>
        <v>1</v>
      </c>
      <c r="P520" s="666"/>
      <c r="Q520" s="21">
        <f t="shared" si="91"/>
        <v>1</v>
      </c>
      <c r="R520" s="662">
        <f t="shared" si="92"/>
        <v>0</v>
      </c>
      <c r="S520" s="315">
        <f t="shared" si="93"/>
        <v>0</v>
      </c>
    </row>
    <row r="521" spans="1:19">
      <c r="A521" s="150"/>
      <c r="B521" s="54"/>
      <c r="C521" s="21">
        <f t="shared" si="84"/>
        <v>1</v>
      </c>
      <c r="D521" s="666"/>
      <c r="E521" s="21">
        <f t="shared" si="85"/>
        <v>0</v>
      </c>
      <c r="F521" s="666"/>
      <c r="G521" s="21">
        <f t="shared" si="86"/>
        <v>0.2</v>
      </c>
      <c r="H521" s="666"/>
      <c r="I521" s="21">
        <f t="shared" si="87"/>
        <v>1</v>
      </c>
      <c r="J521" s="666"/>
      <c r="K521" s="21">
        <f t="shared" si="88"/>
        <v>1</v>
      </c>
      <c r="L521" s="666"/>
      <c r="M521" s="21">
        <f t="shared" si="89"/>
        <v>1</v>
      </c>
      <c r="N521" s="666"/>
      <c r="O521" s="21">
        <f t="shared" si="90"/>
        <v>1</v>
      </c>
      <c r="P521" s="666"/>
      <c r="Q521" s="21">
        <f t="shared" si="91"/>
        <v>1</v>
      </c>
      <c r="R521" s="662">
        <f t="shared" si="92"/>
        <v>0</v>
      </c>
      <c r="S521" s="315">
        <f t="shared" si="93"/>
        <v>0</v>
      </c>
    </row>
    <row r="522" spans="1:19">
      <c r="A522" s="150"/>
      <c r="B522" s="54"/>
      <c r="C522" s="21">
        <f t="shared" si="84"/>
        <v>1</v>
      </c>
      <c r="D522" s="666"/>
      <c r="E522" s="21">
        <f t="shared" si="85"/>
        <v>0</v>
      </c>
      <c r="F522" s="666"/>
      <c r="G522" s="21">
        <f t="shared" si="86"/>
        <v>0.2</v>
      </c>
      <c r="H522" s="666"/>
      <c r="I522" s="21">
        <f t="shared" si="87"/>
        <v>1</v>
      </c>
      <c r="J522" s="666"/>
      <c r="K522" s="21">
        <f t="shared" si="88"/>
        <v>1</v>
      </c>
      <c r="L522" s="666"/>
      <c r="M522" s="21">
        <f t="shared" si="89"/>
        <v>1</v>
      </c>
      <c r="N522" s="666"/>
      <c r="O522" s="21">
        <f t="shared" si="90"/>
        <v>1</v>
      </c>
      <c r="P522" s="666"/>
      <c r="Q522" s="21">
        <f t="shared" si="91"/>
        <v>1</v>
      </c>
      <c r="R522" s="662">
        <f t="shared" si="92"/>
        <v>0</v>
      </c>
      <c r="S522" s="315">
        <f t="shared" si="93"/>
        <v>0</v>
      </c>
    </row>
    <row r="523" spans="1:19">
      <c r="A523" s="150"/>
      <c r="B523" s="54"/>
      <c r="C523" s="21">
        <f t="shared" si="84"/>
        <v>1</v>
      </c>
      <c r="D523" s="666"/>
      <c r="E523" s="21">
        <f t="shared" si="85"/>
        <v>0</v>
      </c>
      <c r="F523" s="666"/>
      <c r="G523" s="21">
        <f t="shared" si="86"/>
        <v>0.2</v>
      </c>
      <c r="H523" s="666"/>
      <c r="I523" s="21">
        <f t="shared" si="87"/>
        <v>1</v>
      </c>
      <c r="J523" s="666"/>
      <c r="K523" s="21">
        <f t="shared" si="88"/>
        <v>1</v>
      </c>
      <c r="L523" s="666"/>
      <c r="M523" s="21">
        <f t="shared" si="89"/>
        <v>1</v>
      </c>
      <c r="N523" s="666"/>
      <c r="O523" s="21">
        <f t="shared" si="90"/>
        <v>1</v>
      </c>
      <c r="P523" s="666"/>
      <c r="Q523" s="21">
        <f t="shared" si="91"/>
        <v>1</v>
      </c>
      <c r="R523" s="662">
        <f t="shared" si="92"/>
        <v>0</v>
      </c>
      <c r="S523" s="315">
        <f t="shared" si="93"/>
        <v>0</v>
      </c>
    </row>
    <row r="524" spans="1:19">
      <c r="A524" s="150"/>
      <c r="B524" s="54"/>
      <c r="C524" s="21">
        <f t="shared" si="84"/>
        <v>1</v>
      </c>
      <c r="D524" s="666"/>
      <c r="E524" s="21">
        <f t="shared" si="85"/>
        <v>0</v>
      </c>
      <c r="F524" s="666"/>
      <c r="G524" s="21">
        <f t="shared" si="86"/>
        <v>0.2</v>
      </c>
      <c r="H524" s="666"/>
      <c r="I524" s="21">
        <f t="shared" si="87"/>
        <v>1</v>
      </c>
      <c r="J524" s="666"/>
      <c r="K524" s="21">
        <f t="shared" si="88"/>
        <v>1</v>
      </c>
      <c r="L524" s="666"/>
      <c r="M524" s="21">
        <f t="shared" si="89"/>
        <v>1</v>
      </c>
      <c r="N524" s="666"/>
      <c r="O524" s="21">
        <f t="shared" si="90"/>
        <v>1</v>
      </c>
      <c r="P524" s="666"/>
      <c r="Q524" s="21">
        <f t="shared" si="91"/>
        <v>1</v>
      </c>
      <c r="R524" s="662">
        <f t="shared" si="92"/>
        <v>0</v>
      </c>
      <c r="S524" s="315">
        <f t="shared" si="93"/>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0"/>
      <c r="G1" s="2790"/>
      <c r="H1" s="2790"/>
      <c r="I1" s="2790"/>
      <c r="J1" s="2790"/>
      <c r="K1" s="2790"/>
      <c r="L1" s="2790"/>
      <c r="M1" s="2790"/>
      <c r="N1" s="2790"/>
      <c r="O1" s="2790"/>
      <c r="P1" s="2790"/>
    </row>
    <row r="2" spans="1:16" ht="15.6">
      <c r="A2" s="2143" t="s">
        <v>2073</v>
      </c>
      <c r="B2" s="2599">
        <f ca="1">SUMIF(B6:B13,"&lt;&gt;#ref!",B6:B13)</f>
        <v>1</v>
      </c>
      <c r="C2" s="2143" t="s">
        <v>2074</v>
      </c>
      <c r="D2" s="2143" t="s">
        <v>2075</v>
      </c>
      <c r="E2" s="2609">
        <f ca="1">SUMIF(E6:E13,"&lt;&gt;#ref!",E6:E13)</f>
        <v>0</v>
      </c>
      <c r="F2" s="2790"/>
      <c r="G2" s="2790"/>
      <c r="H2" s="2790"/>
      <c r="I2" s="2790"/>
      <c r="J2" s="2790"/>
      <c r="K2" s="2790"/>
      <c r="L2" s="2790"/>
      <c r="M2" s="2790"/>
      <c r="N2" s="2790"/>
      <c r="O2" s="2790"/>
      <c r="P2" s="2790"/>
    </row>
    <row r="3" spans="1:16" ht="15.6">
      <c r="A3" s="2143" t="s">
        <v>2076</v>
      </c>
      <c r="B3" s="2599" t="e">
        <f ca="1">ROUND(B2*10000/E2,0)</f>
        <v>#DIV/0!</v>
      </c>
      <c r="C3" s="2143"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4"/>
      <c r="D5" s="2790"/>
      <c r="E5" s="2608" t="s">
        <v>2079</v>
      </c>
      <c r="F5" s="2790"/>
      <c r="G5" s="2790"/>
      <c r="H5" s="2790"/>
      <c r="I5" s="2790"/>
      <c r="J5" s="2790"/>
      <c r="K5" s="2790"/>
      <c r="L5" s="2790"/>
      <c r="M5" s="2790"/>
      <c r="N5" s="2790"/>
      <c r="O5" s="2790"/>
      <c r="P5" s="2790"/>
    </row>
    <row r="6" spans="1:16" ht="15.6">
      <c r="A6" s="2606" t="s">
        <v>2080</v>
      </c>
      <c r="B6" s="2599">
        <f ca="1">SUMIF(INDIRECT("'"&amp;A6&amp;"'"&amp;"!A:A"),"总价",INDIRECT("'"&amp;A6&amp;"'"&amp;"!B:B"))</f>
        <v>1</v>
      </c>
      <c r="C6" s="2143"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3"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3"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3"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3"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3"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3"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3"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5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7"/>
      <c r="C2" s="3517"/>
      <c r="D2" s="3517"/>
      <c r="E2" s="3517"/>
    </row>
    <row r="3" spans="1:5" ht="17.399999999999999">
      <c r="A3" s="3518" t="str">
        <f>IF(项目基本情况!B9="房地产市场价值","估价结果一览表（市场价值不需“结果表-1”）","估价结果一览表")</f>
        <v>估价结果一览表（市场价值不需“结果表-1”）</v>
      </c>
      <c r="B3" s="3518"/>
      <c r="C3" s="3518"/>
      <c r="D3" s="3518"/>
      <c r="E3" s="3518"/>
    </row>
    <row r="4" spans="1:5" ht="18" thickBot="1">
      <c r="A4" s="1491"/>
      <c r="B4" s="3516" t="s">
        <v>917</v>
      </c>
      <c r="C4" s="3516"/>
      <c r="D4" s="3516"/>
      <c r="E4" s="1491"/>
    </row>
    <row r="5" spans="1:5" ht="16.2" thickTop="1">
      <c r="A5" s="1489"/>
      <c r="B5" s="3514" t="s">
        <v>909</v>
      </c>
      <c r="C5" s="1492" t="s">
        <v>910</v>
      </c>
      <c r="D5" s="848" t="e">
        <f ca="1">结果表!H101</f>
        <v>#REF!</v>
      </c>
      <c r="E5" s="1489"/>
    </row>
    <row r="6" spans="1:5" ht="15.6">
      <c r="A6" s="1489"/>
      <c r="B6" s="3514"/>
      <c r="C6" s="1492" t="s">
        <v>911</v>
      </c>
      <c r="D6" s="848" t="e">
        <f ca="1">NUMBERSTRING(INT(D5*10000),2)&amp;"元整"</f>
        <v>#REF!</v>
      </c>
      <c r="E6" s="1489"/>
    </row>
    <row r="7" spans="1:5" ht="15.6">
      <c r="A7" s="1489"/>
      <c r="B7" s="3519"/>
      <c r="C7" s="1493" t="s">
        <v>912</v>
      </c>
      <c r="D7" s="849" t="e">
        <f ca="1">结果表!H102</f>
        <v>#REF!</v>
      </c>
      <c r="E7" s="1489"/>
    </row>
    <row r="8" spans="1:5" ht="15.6">
      <c r="A8" s="1489"/>
      <c r="B8" s="3520" t="str">
        <f>结果表!E103</f>
        <v>2.估价师知悉的法定优先受偿款</v>
      </c>
      <c r="C8" s="1494" t="s">
        <v>913</v>
      </c>
      <c r="D8" s="849">
        <f>结果表!H103</f>
        <v>0</v>
      </c>
      <c r="E8" s="1489"/>
    </row>
    <row r="9" spans="1:5" ht="15.6">
      <c r="A9" s="1489"/>
      <c r="B9" s="3522"/>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513" t="str">
        <f>结果表!E107</f>
        <v>3.房地产抵押价值</v>
      </c>
      <c r="C13" s="1497" t="s">
        <v>910</v>
      </c>
      <c r="D13" s="851" t="e">
        <f ca="1">结果表!H107</f>
        <v>#REF!</v>
      </c>
      <c r="E13" s="1489"/>
    </row>
    <row r="14" spans="1:5" ht="15.6">
      <c r="A14" s="1489"/>
      <c r="B14" s="3514"/>
      <c r="C14" s="1492" t="s">
        <v>911</v>
      </c>
      <c r="D14" s="848" t="e">
        <f ca="1">NUMBERSTRING(INT(D13*10000),2)&amp;"元整"</f>
        <v>#REF!</v>
      </c>
      <c r="E14" s="1489"/>
    </row>
    <row r="15" spans="1:5" ht="15.6">
      <c r="A15" s="1489"/>
      <c r="B15" s="3519"/>
      <c r="C15" s="1493" t="s">
        <v>921</v>
      </c>
      <c r="D15" s="857" t="e">
        <f ca="1">结果表!H108</f>
        <v>#REF!</v>
      </c>
      <c r="E15" s="1489"/>
    </row>
    <row r="16" spans="1:5" ht="15.6">
      <c r="A16" s="1489"/>
      <c r="B16" s="3520" t="str">
        <f>结果表!E109</f>
        <v>——</v>
      </c>
      <c r="C16" s="1497" t="s">
        <v>922</v>
      </c>
      <c r="D16" s="1498" t="str">
        <f>结果表!H109</f>
        <v>——</v>
      </c>
      <c r="E16" s="1489"/>
    </row>
    <row r="17" spans="1:5" ht="15.6">
      <c r="A17" s="1489"/>
      <c r="B17" s="3521"/>
      <c r="C17" s="1492" t="s">
        <v>923</v>
      </c>
      <c r="D17" s="848" t="e">
        <f>NUMBERSTRING(INT(D16*10000),2)&amp;"元整"</f>
        <v>#VALUE!</v>
      </c>
      <c r="E17" s="1489"/>
    </row>
    <row r="18" spans="1:5" ht="15.6">
      <c r="A18" s="1489"/>
      <c r="B18" s="3522"/>
      <c r="C18" s="1493" t="s">
        <v>912</v>
      </c>
      <c r="D18" s="857" t="str">
        <f>结果表!H110</f>
        <v>——</v>
      </c>
      <c r="E18" s="1489"/>
    </row>
    <row r="19" spans="1:5" ht="15.6">
      <c r="A19" s="1489"/>
      <c r="B19" s="3513" t="str">
        <f>结果表!E111</f>
        <v>——</v>
      </c>
      <c r="C19" s="1497" t="s">
        <v>910</v>
      </c>
      <c r="D19" s="849" t="str">
        <f>结果表!H111</f>
        <v>——</v>
      </c>
      <c r="E19" s="1489"/>
    </row>
    <row r="20" spans="1:5" ht="15.6">
      <c r="A20" s="1489"/>
      <c r="B20" s="3514"/>
      <c r="C20" s="1492" t="s">
        <v>923</v>
      </c>
      <c r="D20" s="848" t="e">
        <f>NUMBERSTRING(INT(D19*10000),2)&amp;"元整"</f>
        <v>#VALUE!</v>
      </c>
      <c r="E20" s="1489"/>
    </row>
    <row r="21" spans="1:5" ht="16.2" thickBot="1">
      <c r="A21" s="1489"/>
      <c r="B21" s="3515"/>
      <c r="C21" s="1499" t="s">
        <v>921</v>
      </c>
      <c r="D21" s="858"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830" t="s">
        <v>2604</v>
      </c>
      <c r="B20" s="3825" t="s">
        <v>2625</v>
      </c>
      <c r="C20" s="3100" t="s">
        <v>2436</v>
      </c>
      <c r="D20" s="3101"/>
      <c r="E20" s="3102">
        <v>1</v>
      </c>
      <c r="F20" s="3103" t="s">
        <v>2437</v>
      </c>
      <c r="G20" s="3103"/>
    </row>
    <row r="21" spans="1:13" ht="19.5" customHeight="1">
      <c r="A21" s="3831"/>
      <c r="B21" s="3824"/>
      <c r="C21" s="3104" t="s">
        <v>2438</v>
      </c>
      <c r="D21" s="3105"/>
      <c r="E21" s="3106">
        <v>1</v>
      </c>
      <c r="F21" s="3103" t="s">
        <v>2439</v>
      </c>
      <c r="G21" s="3103"/>
    </row>
    <row r="22" spans="1:13" ht="19.5" customHeight="1">
      <c r="A22" s="3831"/>
      <c r="B22" s="3824"/>
      <c r="C22" s="3104" t="s">
        <v>2440</v>
      </c>
      <c r="D22" s="3105"/>
      <c r="E22" s="3106">
        <v>0.9</v>
      </c>
      <c r="F22" s="3103" t="s">
        <v>2441</v>
      </c>
      <c r="G22" s="3103"/>
    </row>
    <row r="23" spans="1:13" ht="19.5" customHeight="1">
      <c r="A23" s="3831"/>
      <c r="B23" s="3824"/>
      <c r="C23" s="3104" t="s">
        <v>2442</v>
      </c>
      <c r="D23" s="3105"/>
      <c r="E23" s="3106">
        <v>0.9</v>
      </c>
      <c r="F23" s="3103" t="s">
        <v>2443</v>
      </c>
      <c r="G23" s="3103"/>
    </row>
    <row r="24" spans="1:13" ht="19.5" customHeight="1">
      <c r="A24" s="3831"/>
      <c r="B24" s="3824"/>
      <c r="C24" s="3104" t="s">
        <v>2444</v>
      </c>
      <c r="D24" s="3105"/>
      <c r="E24" s="3106">
        <v>0.8</v>
      </c>
      <c r="F24" s="3103" t="s">
        <v>2445</v>
      </c>
      <c r="G24" s="3103"/>
    </row>
    <row r="25" spans="1:13" ht="19.5" customHeight="1" thickBot="1">
      <c r="A25" s="3832"/>
      <c r="B25" s="3826"/>
      <c r="C25" s="3107" t="s">
        <v>2446</v>
      </c>
      <c r="D25" s="3108"/>
      <c r="E25" s="3109">
        <v>0.8</v>
      </c>
      <c r="F25" s="3103" t="s">
        <v>2447</v>
      </c>
      <c r="G25" s="3103"/>
    </row>
    <row r="26" spans="1:13" ht="19.5" customHeight="1" thickBot="1">
      <c r="A26" s="3110" t="s">
        <v>2626</v>
      </c>
      <c r="B26" s="3111" t="s">
        <v>2625</v>
      </c>
      <c r="C26" s="3112" t="s">
        <v>2627</v>
      </c>
      <c r="D26" s="3113"/>
      <c r="E26" s="3114">
        <v>1</v>
      </c>
      <c r="F26" s="3103" t="s">
        <v>2448</v>
      </c>
      <c r="G26" s="3103"/>
    </row>
    <row r="27" spans="1:13" ht="19.5" customHeight="1">
      <c r="A27" s="3827" t="s">
        <v>2628</v>
      </c>
      <c r="B27" s="3825" t="s">
        <v>2609</v>
      </c>
      <c r="C27" s="3100" t="s">
        <v>2449</v>
      </c>
      <c r="D27" s="3101"/>
      <c r="E27" s="3102">
        <v>1</v>
      </c>
      <c r="F27" s="3103" t="s">
        <v>2450</v>
      </c>
      <c r="G27" s="3103"/>
    </row>
    <row r="28" spans="1:13" ht="19.5" customHeight="1">
      <c r="A28" s="3828"/>
      <c r="B28" s="3824"/>
      <c r="C28" s="3104" t="s">
        <v>2451</v>
      </c>
      <c r="D28" s="3105"/>
      <c r="E28" s="3106">
        <v>1</v>
      </c>
      <c r="F28" s="3103" t="s">
        <v>2452</v>
      </c>
      <c r="G28" s="3103"/>
    </row>
    <row r="29" spans="1:13" ht="19.5" customHeight="1">
      <c r="A29" s="3828"/>
      <c r="B29" s="3824"/>
      <c r="C29" s="3104" t="s">
        <v>2453</v>
      </c>
      <c r="D29" s="3105"/>
      <c r="E29" s="3106">
        <v>0.8</v>
      </c>
      <c r="F29" s="3103" t="s">
        <v>2454</v>
      </c>
      <c r="G29" s="3103"/>
    </row>
    <row r="30" spans="1:13" ht="19.5" customHeight="1">
      <c r="A30" s="3828"/>
      <c r="B30" s="3824"/>
      <c r="C30" s="3104" t="s">
        <v>2455</v>
      </c>
      <c r="D30" s="3105"/>
      <c r="E30" s="3106">
        <v>0.8</v>
      </c>
      <c r="F30" s="3103" t="s">
        <v>2456</v>
      </c>
      <c r="G30" s="3103"/>
    </row>
    <row r="31" spans="1:13" ht="19.5" customHeight="1">
      <c r="A31" s="3828"/>
      <c r="B31" s="3824"/>
      <c r="C31" s="3104" t="s">
        <v>2457</v>
      </c>
      <c r="D31" s="3105"/>
      <c r="E31" s="3106">
        <v>0.8</v>
      </c>
      <c r="F31" s="3103" t="s">
        <v>2458</v>
      </c>
      <c r="G31" s="3103"/>
    </row>
    <row r="32" spans="1:13" ht="19.5" customHeight="1">
      <c r="A32" s="3828"/>
      <c r="B32" s="3824"/>
      <c r="C32" s="3104" t="s">
        <v>2459</v>
      </c>
      <c r="D32" s="3105"/>
      <c r="E32" s="3106">
        <v>0.7</v>
      </c>
      <c r="F32" s="3103" t="s">
        <v>2460</v>
      </c>
      <c r="G32" s="3103"/>
    </row>
    <row r="33" spans="1:7" ht="19.5" customHeight="1">
      <c r="A33" s="3828"/>
      <c r="B33" s="3824"/>
      <c r="C33" s="3104" t="s">
        <v>2461</v>
      </c>
      <c r="D33" s="3105"/>
      <c r="E33" s="3106">
        <v>0.8</v>
      </c>
      <c r="F33" s="3103" t="s">
        <v>2462</v>
      </c>
      <c r="G33" s="3103"/>
    </row>
    <row r="34" spans="1:7" ht="19.5" customHeight="1">
      <c r="A34" s="3828"/>
      <c r="B34" s="3824"/>
      <c r="C34" s="3104" t="s">
        <v>2463</v>
      </c>
      <c r="D34" s="3105"/>
      <c r="E34" s="3106">
        <v>0.6</v>
      </c>
      <c r="F34" s="3103" t="s">
        <v>2464</v>
      </c>
      <c r="G34" s="3103"/>
    </row>
    <row r="35" spans="1:7" ht="19.5" customHeight="1">
      <c r="A35" s="3828"/>
      <c r="B35" s="3824"/>
      <c r="C35" s="3104" t="s">
        <v>2465</v>
      </c>
      <c r="D35" s="3105"/>
      <c r="E35" s="3106">
        <v>0.2</v>
      </c>
      <c r="F35" s="3103" t="s">
        <v>2466</v>
      </c>
      <c r="G35" s="3103"/>
    </row>
    <row r="36" spans="1:7" ht="19.5" customHeight="1">
      <c r="A36" s="3828"/>
      <c r="B36" s="3824"/>
      <c r="C36" s="3104" t="s">
        <v>2467</v>
      </c>
      <c r="D36" s="3105"/>
      <c r="E36" s="3106">
        <v>0.2</v>
      </c>
      <c r="F36" s="3103" t="s">
        <v>2468</v>
      </c>
      <c r="G36" s="3103"/>
    </row>
    <row r="37" spans="1:7" ht="19.5" customHeight="1">
      <c r="A37" s="3828"/>
      <c r="B37" s="3822" t="s">
        <v>2629</v>
      </c>
      <c r="C37" s="3104" t="s">
        <v>2469</v>
      </c>
      <c r="D37" s="3105"/>
      <c r="E37" s="3106">
        <v>0.6</v>
      </c>
      <c r="F37" s="3103" t="s">
        <v>2470</v>
      </c>
      <c r="G37" s="3103"/>
    </row>
    <row r="38" spans="1:7" ht="19.5" customHeight="1">
      <c r="A38" s="3828"/>
      <c r="B38" s="3824"/>
      <c r="C38" s="3104" t="s">
        <v>2471</v>
      </c>
      <c r="D38" s="3105"/>
      <c r="E38" s="3106">
        <v>0.6</v>
      </c>
      <c r="F38" s="3103" t="s">
        <v>2472</v>
      </c>
      <c r="G38" s="3103"/>
    </row>
    <row r="39" spans="1:7" ht="19.5" customHeight="1" thickBot="1">
      <c r="A39" s="3829"/>
      <c r="B39" s="3826"/>
      <c r="C39" s="3107" t="s">
        <v>2473</v>
      </c>
      <c r="D39" s="3108"/>
      <c r="E39" s="3109">
        <v>0.6</v>
      </c>
      <c r="F39" s="3103" t="s">
        <v>2474</v>
      </c>
      <c r="G39" s="3103"/>
    </row>
    <row r="40" spans="1:7" ht="19.5" customHeight="1" thickBot="1">
      <c r="A40" s="3110" t="s">
        <v>2606</v>
      </c>
      <c r="B40" s="3111" t="s">
        <v>2606</v>
      </c>
      <c r="C40" s="3112" t="s">
        <v>2630</v>
      </c>
      <c r="D40" s="3113"/>
      <c r="E40" s="3114">
        <v>1</v>
      </c>
      <c r="F40" s="3103" t="s">
        <v>2475</v>
      </c>
      <c r="G40" s="3103"/>
    </row>
    <row r="41" spans="1:7" ht="19.5" customHeight="1">
      <c r="A41" s="3830" t="s">
        <v>2607</v>
      </c>
      <c r="B41" s="3825" t="s">
        <v>2631</v>
      </c>
      <c r="C41" s="3100" t="s">
        <v>2476</v>
      </c>
      <c r="D41" s="3101"/>
      <c r="E41" s="3102">
        <v>1</v>
      </c>
      <c r="F41" s="3103" t="s">
        <v>2477</v>
      </c>
      <c r="G41" s="3103"/>
    </row>
    <row r="42" spans="1:7" ht="19.5" customHeight="1">
      <c r="A42" s="3831"/>
      <c r="B42" s="3824"/>
      <c r="C42" s="3104" t="s">
        <v>2478</v>
      </c>
      <c r="D42" s="3105"/>
      <c r="E42" s="3106">
        <v>1</v>
      </c>
      <c r="F42" s="3103" t="s">
        <v>2479</v>
      </c>
      <c r="G42" s="3103"/>
    </row>
    <row r="43" spans="1:7" ht="19.5" customHeight="1">
      <c r="A43" s="3831"/>
      <c r="B43" s="3823"/>
      <c r="C43" s="3104" t="s">
        <v>2480</v>
      </c>
      <c r="D43" s="3105"/>
      <c r="E43" s="3106">
        <v>1.5</v>
      </c>
      <c r="F43" s="3103" t="s">
        <v>2481</v>
      </c>
      <c r="G43" s="3103"/>
    </row>
    <row r="44" spans="1:7" ht="19.5" customHeight="1">
      <c r="A44" s="3831"/>
      <c r="B44" s="3115" t="s">
        <v>2632</v>
      </c>
      <c r="C44" s="3104" t="s">
        <v>2633</v>
      </c>
      <c r="D44" s="3105"/>
      <c r="E44" s="3106">
        <v>2</v>
      </c>
      <c r="F44" s="3103" t="s">
        <v>2482</v>
      </c>
      <c r="G44" s="3103"/>
    </row>
    <row r="45" spans="1:7" ht="19.5" customHeight="1">
      <c r="A45" s="3831"/>
      <c r="B45" s="3822" t="s">
        <v>2634</v>
      </c>
      <c r="C45" s="3104" t="s">
        <v>2483</v>
      </c>
      <c r="D45" s="3105"/>
      <c r="E45" s="3106">
        <v>1</v>
      </c>
      <c r="F45" s="3103" t="s">
        <v>2484</v>
      </c>
      <c r="G45" s="3103"/>
    </row>
    <row r="46" spans="1:7" ht="19.5" customHeight="1">
      <c r="A46" s="3831"/>
      <c r="B46" s="3824"/>
      <c r="C46" s="3104" t="s">
        <v>2485</v>
      </c>
      <c r="D46" s="3105"/>
      <c r="E46" s="3106">
        <v>1</v>
      </c>
      <c r="F46" s="3103" t="s">
        <v>2486</v>
      </c>
      <c r="G46" s="3103"/>
    </row>
    <row r="47" spans="1:7" ht="19.5" customHeight="1">
      <c r="A47" s="3831"/>
      <c r="B47" s="3824"/>
      <c r="C47" s="3104" t="s">
        <v>2487</v>
      </c>
      <c r="D47" s="3105"/>
      <c r="E47" s="3106">
        <v>1</v>
      </c>
      <c r="F47" s="3103" t="s">
        <v>2488</v>
      </c>
      <c r="G47" s="3103"/>
    </row>
    <row r="48" spans="1:7" ht="19.5" customHeight="1">
      <c r="A48" s="3831"/>
      <c r="B48" s="3824"/>
      <c r="C48" s="3104" t="s">
        <v>2489</v>
      </c>
      <c r="D48" s="3105"/>
      <c r="E48" s="3106">
        <v>1</v>
      </c>
      <c r="F48" s="3103" t="s">
        <v>2490</v>
      </c>
      <c r="G48" s="3103"/>
    </row>
    <row r="49" spans="1:7" ht="19.5" customHeight="1">
      <c r="A49" s="3831"/>
      <c r="B49" s="3824"/>
      <c r="C49" s="3104" t="s">
        <v>2491</v>
      </c>
      <c r="D49" s="3105"/>
      <c r="E49" s="3106">
        <v>1</v>
      </c>
      <c r="F49" s="3103" t="s">
        <v>2492</v>
      </c>
      <c r="G49" s="3103"/>
    </row>
    <row r="50" spans="1:7" ht="19.5" customHeight="1">
      <c r="A50" s="3831"/>
      <c r="B50" s="3824"/>
      <c r="C50" s="3104" t="s">
        <v>2493</v>
      </c>
      <c r="D50" s="3105"/>
      <c r="E50" s="3106">
        <v>1</v>
      </c>
      <c r="F50" s="3103" t="s">
        <v>2494</v>
      </c>
      <c r="G50" s="3103"/>
    </row>
    <row r="51" spans="1:7" ht="19.5" customHeight="1" thickBot="1">
      <c r="A51" s="3832"/>
      <c r="B51" s="3826"/>
      <c r="C51" s="3107" t="s">
        <v>2495</v>
      </c>
      <c r="D51" s="3108"/>
      <c r="E51" s="3109">
        <v>1</v>
      </c>
      <c r="F51" s="3103" t="s">
        <v>2496</v>
      </c>
      <c r="G51" s="3103"/>
    </row>
    <row r="52" spans="1:7" ht="19.5" customHeight="1">
      <c r="A52" s="3116"/>
      <c r="B52" s="3116"/>
      <c r="C52" s="3116"/>
      <c r="D52" s="3116"/>
      <c r="E52" s="3116"/>
      <c r="F52" s="3116"/>
      <c r="G52" s="3116"/>
    </row>
    <row r="54" spans="1:7" ht="19.5" customHeight="1">
      <c r="A54" s="3117"/>
      <c r="B54" s="3089" t="s">
        <v>2635</v>
      </c>
      <c r="C54" s="3089" t="s">
        <v>2635</v>
      </c>
      <c r="D54" s="3089" t="s">
        <v>2635</v>
      </c>
      <c r="E54" s="3092" t="s">
        <v>2635</v>
      </c>
      <c r="F54" s="3092" t="s">
        <v>2636</v>
      </c>
      <c r="G54" s="3092" t="s">
        <v>2637</v>
      </c>
    </row>
    <row r="55" spans="1:7" ht="19.5" customHeight="1">
      <c r="A55" s="3118"/>
      <c r="B55" s="3092" t="s">
        <v>2604</v>
      </c>
      <c r="C55" s="3092" t="s">
        <v>2604</v>
      </c>
      <c r="D55" s="3092" t="s">
        <v>2604</v>
      </c>
      <c r="E55" s="3089" t="s">
        <v>2605</v>
      </c>
      <c r="F55" s="3089" t="s">
        <v>2607</v>
      </c>
      <c r="G55" s="3089" t="s">
        <v>2638</v>
      </c>
    </row>
    <row r="56" spans="1:7" ht="19.5" customHeight="1">
      <c r="A56" s="3119"/>
      <c r="B56" s="3089">
        <v>1</v>
      </c>
      <c r="C56" s="3089">
        <v>2</v>
      </c>
      <c r="D56" s="3089">
        <v>3</v>
      </c>
      <c r="E56" s="3120" t="s">
        <v>2639</v>
      </c>
      <c r="F56" s="3120" t="s">
        <v>2639</v>
      </c>
      <c r="G56" s="3120" t="s">
        <v>2639</v>
      </c>
    </row>
    <row r="57" spans="1:7" ht="19.5" customHeight="1">
      <c r="A57" s="3121" t="s">
        <v>2592</v>
      </c>
      <c r="B57" s="3089">
        <v>0.7</v>
      </c>
      <c r="C57" s="3089">
        <v>0.4</v>
      </c>
      <c r="D57" s="3089">
        <v>0.3</v>
      </c>
      <c r="E57" s="3120">
        <v>0.3</v>
      </c>
      <c r="F57" s="3089">
        <v>0.3</v>
      </c>
      <c r="G57" s="3089">
        <v>0.2</v>
      </c>
    </row>
    <row r="58" spans="1:7" ht="19.5" customHeight="1">
      <c r="A58" s="3121" t="s">
        <v>2593</v>
      </c>
      <c r="B58" s="3089">
        <v>0.7</v>
      </c>
      <c r="C58" s="3089">
        <v>0.4</v>
      </c>
      <c r="D58" s="3089">
        <v>0.3</v>
      </c>
      <c r="E58" s="3089">
        <v>0.3</v>
      </c>
      <c r="F58" s="3089">
        <v>0.3</v>
      </c>
      <c r="G58" s="3089">
        <v>0.2</v>
      </c>
    </row>
    <row r="59" spans="1:7" ht="19.5" customHeight="1">
      <c r="A59" s="3121" t="s">
        <v>2594</v>
      </c>
      <c r="B59" s="3089">
        <v>0.6</v>
      </c>
      <c r="C59" s="3089">
        <v>0.3</v>
      </c>
      <c r="D59" s="3089">
        <v>0.25</v>
      </c>
      <c r="E59" s="3089">
        <v>0.25</v>
      </c>
      <c r="F59" s="3089">
        <v>0.25</v>
      </c>
      <c r="G59" s="3089">
        <v>0.15</v>
      </c>
    </row>
    <row r="60" spans="1:7" ht="19.5" customHeight="1">
      <c r="A60" s="3121" t="s">
        <v>2595</v>
      </c>
      <c r="B60" s="3089">
        <v>0.6</v>
      </c>
      <c r="C60" s="3089">
        <v>0.3</v>
      </c>
      <c r="D60" s="3089">
        <v>0.25</v>
      </c>
      <c r="E60" s="3089">
        <v>0.25</v>
      </c>
      <c r="F60" s="3089">
        <v>0.25</v>
      </c>
      <c r="G60" s="3089">
        <v>0.15</v>
      </c>
    </row>
    <row r="61" spans="1:7" ht="19.5" customHeight="1">
      <c r="A61" s="3121" t="s">
        <v>2596</v>
      </c>
      <c r="B61" s="3089">
        <v>0.6</v>
      </c>
      <c r="C61" s="3089">
        <v>0.3</v>
      </c>
      <c r="D61" s="3089">
        <v>0.25</v>
      </c>
      <c r="E61" s="3089">
        <v>0.25</v>
      </c>
      <c r="F61" s="3089">
        <v>0.25</v>
      </c>
      <c r="G61" s="3089">
        <v>0.15</v>
      </c>
    </row>
    <row r="62" spans="1:7" ht="19.5" customHeight="1">
      <c r="A62" s="3121" t="s">
        <v>2597</v>
      </c>
      <c r="B62" s="3089">
        <v>0.6</v>
      </c>
      <c r="C62" s="3089">
        <v>0.3</v>
      </c>
      <c r="D62" s="3089">
        <v>0.25</v>
      </c>
      <c r="E62" s="3089">
        <v>0.25</v>
      </c>
      <c r="F62" s="3089">
        <v>0.25</v>
      </c>
      <c r="G62" s="3089">
        <v>0.15</v>
      </c>
    </row>
    <row r="63" spans="1:7" ht="19.5" customHeight="1">
      <c r="A63" s="3121" t="s">
        <v>2598</v>
      </c>
      <c r="B63" s="3089">
        <v>0.6</v>
      </c>
      <c r="C63" s="3089">
        <v>0.3</v>
      </c>
      <c r="D63" s="3089">
        <v>0.25</v>
      </c>
      <c r="E63" s="3089">
        <v>0.25</v>
      </c>
      <c r="F63" s="3089">
        <v>0.25</v>
      </c>
      <c r="G63" s="3089">
        <v>0.15</v>
      </c>
    </row>
    <row r="64" spans="1:7" ht="19.5" customHeight="1">
      <c r="A64" s="3121" t="s">
        <v>2599</v>
      </c>
      <c r="B64" s="3089">
        <v>0.5</v>
      </c>
      <c r="C64" s="3089">
        <v>0.2</v>
      </c>
      <c r="D64" s="3089">
        <v>0.2</v>
      </c>
      <c r="E64" s="3089">
        <v>0.2</v>
      </c>
      <c r="F64" s="3089">
        <v>0.2</v>
      </c>
      <c r="G64" s="3089">
        <v>0.1</v>
      </c>
    </row>
    <row r="65" spans="1:7" ht="19.5" customHeight="1">
      <c r="A65" s="3121" t="s">
        <v>2600</v>
      </c>
      <c r="B65" s="3089">
        <v>0.5</v>
      </c>
      <c r="C65" s="3089">
        <v>0.2</v>
      </c>
      <c r="D65" s="3089">
        <v>0.2</v>
      </c>
      <c r="E65" s="3089">
        <v>0.2</v>
      </c>
      <c r="F65" s="3089">
        <v>0.2</v>
      </c>
      <c r="G65" s="3089">
        <v>0.1</v>
      </c>
    </row>
    <row r="66" spans="1:7" ht="19.5" customHeight="1">
      <c r="A66" s="3121" t="s">
        <v>2601</v>
      </c>
      <c r="B66" s="3089">
        <v>0.5</v>
      </c>
      <c r="C66" s="3089">
        <v>0.2</v>
      </c>
      <c r="D66" s="3089">
        <v>0.2</v>
      </c>
      <c r="E66" s="3089">
        <v>0.2</v>
      </c>
      <c r="F66" s="3089">
        <v>0.2</v>
      </c>
      <c r="G66" s="3089">
        <v>0.1</v>
      </c>
    </row>
    <row r="67" spans="1:7" ht="19.5" customHeight="1">
      <c r="A67" s="3121" t="s">
        <v>2602</v>
      </c>
      <c r="B67" s="3089">
        <v>0.5</v>
      </c>
      <c r="C67" s="3089">
        <v>0.2</v>
      </c>
      <c r="D67" s="3089">
        <v>0.2</v>
      </c>
      <c r="E67" s="3089">
        <v>0.2</v>
      </c>
      <c r="F67" s="3089">
        <v>0.2</v>
      </c>
      <c r="G67" s="3089">
        <v>0.1</v>
      </c>
    </row>
    <row r="68" spans="1:7" ht="19.5" customHeight="1">
      <c r="A68" s="3121" t="s">
        <v>2603</v>
      </c>
      <c r="B68" s="3089">
        <v>0.5</v>
      </c>
      <c r="C68" s="3089">
        <v>0.2</v>
      </c>
      <c r="D68" s="3089">
        <v>0.2</v>
      </c>
      <c r="E68" s="3089">
        <v>0.2</v>
      </c>
      <c r="F68" s="3089">
        <v>0.2</v>
      </c>
      <c r="G68" s="3089">
        <v>0.1</v>
      </c>
    </row>
    <row r="70" spans="1:7" ht="19.5" customHeight="1">
      <c r="A70" s="3122"/>
      <c r="B70" s="3123"/>
      <c r="C70" s="3123"/>
      <c r="D70" s="3123" t="s">
        <v>2640</v>
      </c>
      <c r="E70" s="3123"/>
      <c r="F70" s="3123"/>
    </row>
    <row r="71" spans="1:7" ht="19.5" customHeight="1">
      <c r="A71" s="3115" t="s">
        <v>2641</v>
      </c>
      <c r="B71" s="3115" t="s">
        <v>2642</v>
      </c>
      <c r="C71" s="3115" t="s">
        <v>2643</v>
      </c>
      <c r="D71" s="3115" t="s">
        <v>2644</v>
      </c>
      <c r="E71" s="3115" t="s">
        <v>2645</v>
      </c>
      <c r="F71" s="3115" t="s">
        <v>2646</v>
      </c>
    </row>
    <row r="72" spans="1:7" ht="14.4">
      <c r="A72" s="3115"/>
      <c r="B72" s="3115"/>
      <c r="C72" s="3115" t="s">
        <v>2647</v>
      </c>
      <c r="D72" s="3115"/>
      <c r="E72" s="3115" t="s">
        <v>2618</v>
      </c>
      <c r="F72" s="3115" t="s">
        <v>2618</v>
      </c>
    </row>
    <row r="73" spans="1:7" ht="14.4">
      <c r="A73" s="3115">
        <v>1</v>
      </c>
      <c r="B73" s="3822" t="s">
        <v>2648</v>
      </c>
      <c r="C73" s="3089" t="s">
        <v>2649</v>
      </c>
      <c r="D73" s="3089" t="s">
        <v>2650</v>
      </c>
      <c r="E73" s="3115">
        <v>0.2</v>
      </c>
      <c r="F73" s="3115">
        <v>25</v>
      </c>
    </row>
    <row r="74" spans="1:7" ht="24">
      <c r="A74" s="3115">
        <v>2</v>
      </c>
      <c r="B74" s="3824"/>
      <c r="C74" s="3089" t="s">
        <v>2651</v>
      </c>
      <c r="D74" s="3089" t="s">
        <v>2652</v>
      </c>
      <c r="E74" s="3115">
        <v>0.2</v>
      </c>
      <c r="F74" s="3115">
        <v>25</v>
      </c>
    </row>
    <row r="75" spans="1:7" ht="24">
      <c r="A75" s="3115">
        <v>3</v>
      </c>
      <c r="B75" s="3824"/>
      <c r="C75" s="3089" t="s">
        <v>2653</v>
      </c>
      <c r="D75" s="3089" t="s">
        <v>2654</v>
      </c>
      <c r="E75" s="3115">
        <v>0.2</v>
      </c>
      <c r="F75" s="3115">
        <v>25</v>
      </c>
    </row>
    <row r="76" spans="1:7" ht="14.4">
      <c r="A76" s="3115">
        <v>4</v>
      </c>
      <c r="B76" s="3824"/>
      <c r="C76" s="3089" t="s">
        <v>2655</v>
      </c>
      <c r="D76" s="3089" t="s">
        <v>2656</v>
      </c>
      <c r="E76" s="3115">
        <v>0.15</v>
      </c>
      <c r="F76" s="3115">
        <v>20</v>
      </c>
    </row>
    <row r="77" spans="1:7" ht="24">
      <c r="A77" s="3115">
        <v>5</v>
      </c>
      <c r="B77" s="3824"/>
      <c r="C77" s="3089" t="s">
        <v>2657</v>
      </c>
      <c r="D77" s="3089" t="s">
        <v>2658</v>
      </c>
      <c r="E77" s="3115">
        <v>0.15</v>
      </c>
      <c r="F77" s="3115">
        <v>20</v>
      </c>
    </row>
    <row r="78" spans="1:7" ht="24">
      <c r="A78" s="3115">
        <v>6</v>
      </c>
      <c r="B78" s="3824"/>
      <c r="C78" s="3089" t="s">
        <v>2659</v>
      </c>
      <c r="D78" s="3089" t="s">
        <v>2660</v>
      </c>
      <c r="E78" s="3115">
        <v>0.15</v>
      </c>
      <c r="F78" s="3115">
        <v>20</v>
      </c>
    </row>
    <row r="79" spans="1:7" ht="24">
      <c r="A79" s="3115">
        <v>7</v>
      </c>
      <c r="B79" s="3824"/>
      <c r="C79" s="3089" t="s">
        <v>2661</v>
      </c>
      <c r="D79" s="3089" t="s">
        <v>2662</v>
      </c>
      <c r="E79" s="3115">
        <v>0.15</v>
      </c>
      <c r="F79" s="3115">
        <v>20</v>
      </c>
    </row>
    <row r="80" spans="1:7" ht="24">
      <c r="A80" s="3115">
        <v>8</v>
      </c>
      <c r="B80" s="3824"/>
      <c r="C80" s="3089" t="s">
        <v>2663</v>
      </c>
      <c r="D80" s="3089" t="s">
        <v>2664</v>
      </c>
      <c r="E80" s="3115">
        <v>0.1</v>
      </c>
      <c r="F80" s="3115">
        <v>15</v>
      </c>
    </row>
    <row r="81" spans="1:6" ht="24">
      <c r="A81" s="3115">
        <v>9</v>
      </c>
      <c r="B81" s="3824"/>
      <c r="C81" s="3089" t="s">
        <v>2665</v>
      </c>
      <c r="D81" s="3089" t="s">
        <v>2666</v>
      </c>
      <c r="E81" s="3115">
        <v>0.1</v>
      </c>
      <c r="F81" s="3115">
        <v>15</v>
      </c>
    </row>
    <row r="82" spans="1:6" ht="24">
      <c r="A82" s="3115">
        <v>10</v>
      </c>
      <c r="B82" s="3824"/>
      <c r="C82" s="3089" t="s">
        <v>2667</v>
      </c>
      <c r="D82" s="3089" t="s">
        <v>2668</v>
      </c>
      <c r="E82" s="3115">
        <v>0.1</v>
      </c>
      <c r="F82" s="3115">
        <v>15</v>
      </c>
    </row>
    <row r="83" spans="1:6" ht="24">
      <c r="A83" s="3115">
        <v>11</v>
      </c>
      <c r="B83" s="3824"/>
      <c r="C83" s="3089" t="s">
        <v>2669</v>
      </c>
      <c r="D83" s="3089" t="s">
        <v>2670</v>
      </c>
      <c r="E83" s="3115">
        <v>0.1</v>
      </c>
      <c r="F83" s="3115">
        <v>15</v>
      </c>
    </row>
    <row r="84" spans="1:6" ht="24">
      <c r="A84" s="3115">
        <v>12</v>
      </c>
      <c r="B84" s="3824"/>
      <c r="C84" s="3089" t="s">
        <v>2671</v>
      </c>
      <c r="D84" s="3089" t="s">
        <v>2672</v>
      </c>
      <c r="E84" s="3115">
        <v>0.1</v>
      </c>
      <c r="F84" s="3115">
        <v>15</v>
      </c>
    </row>
    <row r="85" spans="1:6" ht="24">
      <c r="A85" s="3115">
        <v>13</v>
      </c>
      <c r="B85" s="3824"/>
      <c r="C85" s="3089" t="s">
        <v>2673</v>
      </c>
      <c r="D85" s="3089" t="s">
        <v>2674</v>
      </c>
      <c r="E85" s="3115">
        <v>0.1</v>
      </c>
      <c r="F85" s="3115">
        <v>15</v>
      </c>
    </row>
    <row r="86" spans="1:6" ht="24">
      <c r="A86" s="3115">
        <v>14</v>
      </c>
      <c r="B86" s="3824"/>
      <c r="C86" s="3089" t="s">
        <v>2675</v>
      </c>
      <c r="D86" s="3089" t="s">
        <v>2676</v>
      </c>
      <c r="E86" s="3115">
        <v>0.1</v>
      </c>
      <c r="F86" s="3115">
        <v>15</v>
      </c>
    </row>
    <row r="87" spans="1:6" ht="24">
      <c r="A87" s="3115">
        <v>15</v>
      </c>
      <c r="B87" s="3824"/>
      <c r="C87" s="3089" t="s">
        <v>2677</v>
      </c>
      <c r="D87" s="3089" t="s">
        <v>2678</v>
      </c>
      <c r="E87" s="3115">
        <v>0.1</v>
      </c>
      <c r="F87" s="3115">
        <v>15</v>
      </c>
    </row>
    <row r="88" spans="1:6" ht="24">
      <c r="A88" s="3115">
        <v>16</v>
      </c>
      <c r="B88" s="3824"/>
      <c r="C88" s="3089" t="s">
        <v>2679</v>
      </c>
      <c r="D88" s="3089" t="s">
        <v>2680</v>
      </c>
      <c r="E88" s="3115">
        <v>0.1</v>
      </c>
      <c r="F88" s="3115">
        <v>15</v>
      </c>
    </row>
    <row r="89" spans="1:6" ht="24">
      <c r="A89" s="3115">
        <v>17</v>
      </c>
      <c r="B89" s="3823"/>
      <c r="C89" s="3089" t="s">
        <v>2681</v>
      </c>
      <c r="D89" s="3089" t="s">
        <v>2682</v>
      </c>
      <c r="E89" s="3115">
        <v>0.1</v>
      </c>
      <c r="F89" s="3115">
        <v>15</v>
      </c>
    </row>
    <row r="90" spans="1:6" ht="14.4">
      <c r="A90" s="3115">
        <v>18</v>
      </c>
      <c r="B90" s="3822" t="s">
        <v>2683</v>
      </c>
      <c r="C90" s="3089" t="s">
        <v>2684</v>
      </c>
      <c r="D90" s="3089" t="s">
        <v>2685</v>
      </c>
      <c r="E90" s="3115">
        <v>0.2</v>
      </c>
      <c r="F90" s="3115">
        <v>25</v>
      </c>
    </row>
    <row r="91" spans="1:6" ht="24">
      <c r="A91" s="3115">
        <v>19</v>
      </c>
      <c r="B91" s="3824"/>
      <c r="C91" s="3089" t="s">
        <v>2686</v>
      </c>
      <c r="D91" s="3089" t="s">
        <v>2687</v>
      </c>
      <c r="E91" s="3115">
        <v>0.2</v>
      </c>
      <c r="F91" s="3115">
        <v>25</v>
      </c>
    </row>
    <row r="92" spans="1:6" ht="14.4">
      <c r="A92" s="3115">
        <v>20</v>
      </c>
      <c r="B92" s="3824"/>
      <c r="C92" s="3089" t="s">
        <v>2688</v>
      </c>
      <c r="D92" s="3089" t="s">
        <v>2689</v>
      </c>
      <c r="E92" s="3115">
        <v>0.15</v>
      </c>
      <c r="F92" s="3115">
        <v>20</v>
      </c>
    </row>
    <row r="93" spans="1:6" ht="24">
      <c r="A93" s="3115">
        <v>21</v>
      </c>
      <c r="B93" s="3824"/>
      <c r="C93" s="3089" t="s">
        <v>2690</v>
      </c>
      <c r="D93" s="3089" t="s">
        <v>2691</v>
      </c>
      <c r="E93" s="3115">
        <v>0.15</v>
      </c>
      <c r="F93" s="3115">
        <v>20</v>
      </c>
    </row>
    <row r="94" spans="1:6" ht="24">
      <c r="A94" s="3115">
        <v>22</v>
      </c>
      <c r="B94" s="3824"/>
      <c r="C94" s="3089" t="s">
        <v>2692</v>
      </c>
      <c r="D94" s="3089" t="s">
        <v>2693</v>
      </c>
      <c r="E94" s="3115">
        <v>0.15</v>
      </c>
      <c r="F94" s="3115">
        <v>20</v>
      </c>
    </row>
    <row r="95" spans="1:6" ht="36">
      <c r="A95" s="3115">
        <v>23</v>
      </c>
      <c r="B95" s="3824"/>
      <c r="C95" s="3089" t="s">
        <v>2694</v>
      </c>
      <c r="D95" s="3089" t="s">
        <v>2695</v>
      </c>
      <c r="E95" s="3115">
        <v>0.15</v>
      </c>
      <c r="F95" s="3115">
        <v>20</v>
      </c>
    </row>
    <row r="96" spans="1:6" ht="24">
      <c r="A96" s="3115">
        <v>24</v>
      </c>
      <c r="B96" s="3824"/>
      <c r="C96" s="3089" t="s">
        <v>2696</v>
      </c>
      <c r="D96" s="3089" t="s">
        <v>2697</v>
      </c>
      <c r="E96" s="3115">
        <v>0.1</v>
      </c>
      <c r="F96" s="3115">
        <v>15</v>
      </c>
    </row>
    <row r="97" spans="1:6" ht="24">
      <c r="A97" s="3115">
        <v>25</v>
      </c>
      <c r="B97" s="3824"/>
      <c r="C97" s="3089" t="s">
        <v>2698</v>
      </c>
      <c r="D97" s="3089" t="s">
        <v>2699</v>
      </c>
      <c r="E97" s="3115">
        <v>0.1</v>
      </c>
      <c r="F97" s="3115">
        <v>15</v>
      </c>
    </row>
    <row r="98" spans="1:6" ht="24">
      <c r="A98" s="3115">
        <v>26</v>
      </c>
      <c r="B98" s="3824"/>
      <c r="C98" s="3089" t="s">
        <v>2700</v>
      </c>
      <c r="D98" s="3089" t="s">
        <v>2701</v>
      </c>
      <c r="E98" s="3115">
        <v>0.1</v>
      </c>
      <c r="F98" s="3115">
        <v>15</v>
      </c>
    </row>
    <row r="99" spans="1:6" ht="24">
      <c r="A99" s="3115">
        <v>27</v>
      </c>
      <c r="B99" s="3824"/>
      <c r="C99" s="3089" t="s">
        <v>2702</v>
      </c>
      <c r="D99" s="3089" t="s">
        <v>2703</v>
      </c>
      <c r="E99" s="3115">
        <v>0.1</v>
      </c>
      <c r="F99" s="3115">
        <v>15</v>
      </c>
    </row>
    <row r="100" spans="1:6" ht="24">
      <c r="A100" s="3115">
        <v>28</v>
      </c>
      <c r="B100" s="3824"/>
      <c r="C100" s="3089" t="s">
        <v>2704</v>
      </c>
      <c r="D100" s="3089" t="s">
        <v>2705</v>
      </c>
      <c r="E100" s="3115">
        <v>0.1</v>
      </c>
      <c r="F100" s="3115">
        <v>15</v>
      </c>
    </row>
    <row r="101" spans="1:6" ht="24">
      <c r="A101" s="3115">
        <v>29</v>
      </c>
      <c r="B101" s="3824"/>
      <c r="C101" s="3089" t="s">
        <v>2706</v>
      </c>
      <c r="D101" s="3089" t="s">
        <v>2707</v>
      </c>
      <c r="E101" s="3115">
        <v>0.1</v>
      </c>
      <c r="F101" s="3115">
        <v>15</v>
      </c>
    </row>
    <row r="102" spans="1:6" ht="24">
      <c r="A102" s="3115">
        <v>30</v>
      </c>
      <c r="B102" s="3824"/>
      <c r="C102" s="3089" t="s">
        <v>2708</v>
      </c>
      <c r="D102" s="3089" t="s">
        <v>2709</v>
      </c>
      <c r="E102" s="3115">
        <v>0.1</v>
      </c>
      <c r="F102" s="3115">
        <v>15</v>
      </c>
    </row>
    <row r="103" spans="1:6" ht="24">
      <c r="A103" s="3115">
        <v>31</v>
      </c>
      <c r="B103" s="3824"/>
      <c r="C103" s="3089" t="s">
        <v>2710</v>
      </c>
      <c r="D103" s="3089" t="s">
        <v>2711</v>
      </c>
      <c r="E103" s="3115">
        <v>0.1</v>
      </c>
      <c r="F103" s="3115">
        <v>15</v>
      </c>
    </row>
    <row r="104" spans="1:6" ht="24">
      <c r="A104" s="3115">
        <v>32</v>
      </c>
      <c r="B104" s="3824"/>
      <c r="C104" s="3089" t="s">
        <v>2712</v>
      </c>
      <c r="D104" s="3089" t="s">
        <v>2713</v>
      </c>
      <c r="E104" s="3115">
        <v>0.1</v>
      </c>
      <c r="F104" s="3115">
        <v>15</v>
      </c>
    </row>
    <row r="105" spans="1:6" ht="24">
      <c r="A105" s="3115">
        <v>33</v>
      </c>
      <c r="B105" s="3824"/>
      <c r="C105" s="3089" t="s">
        <v>2714</v>
      </c>
      <c r="D105" s="3089" t="s">
        <v>2715</v>
      </c>
      <c r="E105" s="3115">
        <v>0.1</v>
      </c>
      <c r="F105" s="3115">
        <v>15</v>
      </c>
    </row>
    <row r="106" spans="1:6" ht="24">
      <c r="A106" s="3115">
        <v>34</v>
      </c>
      <c r="B106" s="3823"/>
      <c r="C106" s="3089" t="s">
        <v>2716</v>
      </c>
      <c r="D106" s="3089" t="s">
        <v>2717</v>
      </c>
      <c r="E106" s="3115">
        <v>0.1</v>
      </c>
      <c r="F106" s="3115">
        <v>15</v>
      </c>
    </row>
    <row r="107" spans="1:6" ht="36">
      <c r="A107" s="3115">
        <v>35</v>
      </c>
      <c r="B107" s="3822" t="s">
        <v>2718</v>
      </c>
      <c r="C107" s="3115" t="s">
        <v>2719</v>
      </c>
      <c r="D107" s="3089" t="s">
        <v>2720</v>
      </c>
      <c r="E107" s="3115">
        <v>0.15</v>
      </c>
      <c r="F107" s="3115">
        <v>20</v>
      </c>
    </row>
    <row r="108" spans="1:6" ht="24">
      <c r="A108" s="3115">
        <v>36</v>
      </c>
      <c r="B108" s="3824"/>
      <c r="C108" s="3115" t="s">
        <v>2721</v>
      </c>
      <c r="D108" s="3089" t="s">
        <v>2722</v>
      </c>
      <c r="E108" s="3115">
        <v>0.15</v>
      </c>
      <c r="F108" s="3115">
        <v>20</v>
      </c>
    </row>
    <row r="109" spans="1:6" ht="24">
      <c r="A109" s="3115">
        <v>37</v>
      </c>
      <c r="B109" s="3824"/>
      <c r="C109" s="3115" t="s">
        <v>2723</v>
      </c>
      <c r="D109" s="3089" t="s">
        <v>2724</v>
      </c>
      <c r="E109" s="3115">
        <v>0.15</v>
      </c>
      <c r="F109" s="3115">
        <v>20</v>
      </c>
    </row>
    <row r="110" spans="1:6" ht="24">
      <c r="A110" s="3115">
        <v>38</v>
      </c>
      <c r="B110" s="3824"/>
      <c r="C110" s="3115" t="s">
        <v>2725</v>
      </c>
      <c r="D110" s="3089" t="s">
        <v>2726</v>
      </c>
      <c r="E110" s="3115">
        <v>0.1</v>
      </c>
      <c r="F110" s="3115">
        <v>15</v>
      </c>
    </row>
    <row r="111" spans="1:6" ht="24">
      <c r="A111" s="3115">
        <v>39</v>
      </c>
      <c r="B111" s="3824"/>
      <c r="C111" s="3115" t="s">
        <v>2727</v>
      </c>
      <c r="D111" s="3089" t="s">
        <v>2728</v>
      </c>
      <c r="E111" s="3115">
        <v>0.1</v>
      </c>
      <c r="F111" s="3115">
        <v>15</v>
      </c>
    </row>
    <row r="112" spans="1:6" ht="24">
      <c r="A112" s="3115">
        <v>40</v>
      </c>
      <c r="B112" s="3823"/>
      <c r="C112" s="3115" t="s">
        <v>2729</v>
      </c>
      <c r="D112" s="3089" t="s">
        <v>2730</v>
      </c>
      <c r="E112" s="3115">
        <v>0.1</v>
      </c>
      <c r="F112" s="3115">
        <v>15</v>
      </c>
    </row>
    <row r="113" spans="1:6" ht="24">
      <c r="A113" s="3115">
        <v>41</v>
      </c>
      <c r="B113" s="3821" t="s">
        <v>2731</v>
      </c>
      <c r="C113" s="3115" t="s">
        <v>2732</v>
      </c>
      <c r="D113" s="3089" t="s">
        <v>2733</v>
      </c>
      <c r="E113" s="3115">
        <v>0.1</v>
      </c>
      <c r="F113" s="3115">
        <v>15</v>
      </c>
    </row>
    <row r="114" spans="1:6" ht="24">
      <c r="A114" s="3115">
        <v>42</v>
      </c>
      <c r="B114" s="3821"/>
      <c r="C114" s="3115" t="s">
        <v>2734</v>
      </c>
      <c r="D114" s="3089" t="s">
        <v>2735</v>
      </c>
      <c r="E114" s="3115">
        <v>0.1</v>
      </c>
      <c r="F114" s="3115">
        <v>15</v>
      </c>
    </row>
    <row r="115" spans="1:6" ht="24">
      <c r="A115" s="3115">
        <v>43</v>
      </c>
      <c r="B115" s="3821"/>
      <c r="C115" s="3115" t="s">
        <v>2736</v>
      </c>
      <c r="D115" s="3089" t="s">
        <v>2737</v>
      </c>
      <c r="E115" s="3115">
        <v>0.1</v>
      </c>
      <c r="F115" s="3115">
        <v>15</v>
      </c>
    </row>
    <row r="116" spans="1:6" ht="24">
      <c r="A116" s="3115">
        <v>44</v>
      </c>
      <c r="B116" s="3822" t="s">
        <v>2738</v>
      </c>
      <c r="C116" s="3115" t="s">
        <v>2739</v>
      </c>
      <c r="D116" s="3089" t="s">
        <v>2740</v>
      </c>
      <c r="E116" s="3115">
        <v>0.1</v>
      </c>
      <c r="F116" s="3115">
        <v>15</v>
      </c>
    </row>
    <row r="117" spans="1:6" ht="24">
      <c r="A117" s="3115">
        <v>45</v>
      </c>
      <c r="B117" s="3823"/>
      <c r="C117" s="3089" t="s">
        <v>2741</v>
      </c>
      <c r="D117" s="3089" t="s">
        <v>2742</v>
      </c>
      <c r="E117" s="3115">
        <v>0.1</v>
      </c>
      <c r="F117" s="3115">
        <v>15</v>
      </c>
    </row>
    <row r="118" spans="1:6" ht="24">
      <c r="A118" s="3115">
        <v>46</v>
      </c>
      <c r="B118" s="3822" t="s">
        <v>2743</v>
      </c>
      <c r="C118" s="3115" t="s">
        <v>2744</v>
      </c>
      <c r="D118" s="3089" t="s">
        <v>2745</v>
      </c>
      <c r="E118" s="3115">
        <v>0.1</v>
      </c>
      <c r="F118" s="3115">
        <v>15</v>
      </c>
    </row>
    <row r="119" spans="1:6" ht="24">
      <c r="A119" s="3115">
        <v>47</v>
      </c>
      <c r="B119" s="3823"/>
      <c r="C119" s="3115" t="s">
        <v>2746</v>
      </c>
      <c r="D119" s="3089" t="s">
        <v>2747</v>
      </c>
      <c r="E119" s="3115">
        <v>0.1</v>
      </c>
      <c r="F119" s="3115">
        <v>15</v>
      </c>
    </row>
    <row r="120" spans="1:6" ht="24">
      <c r="A120" s="3115">
        <v>48</v>
      </c>
      <c r="B120" s="3822" t="s">
        <v>2748</v>
      </c>
      <c r="C120" s="3115" t="s">
        <v>2749</v>
      </c>
      <c r="D120" s="3089" t="s">
        <v>2750</v>
      </c>
      <c r="E120" s="3115">
        <v>0.1</v>
      </c>
      <c r="F120" s="3115">
        <v>15</v>
      </c>
    </row>
    <row r="121" spans="1:6" ht="24">
      <c r="A121" s="3115">
        <v>49</v>
      </c>
      <c r="B121" s="3823"/>
      <c r="C121" s="3115" t="s">
        <v>2751</v>
      </c>
      <c r="D121" s="3089" t="s">
        <v>2752</v>
      </c>
      <c r="E121" s="3115">
        <v>0.1</v>
      </c>
      <c r="F121" s="3115">
        <v>15</v>
      </c>
    </row>
    <row r="122" spans="1:6" ht="24">
      <c r="A122" s="3115">
        <v>50</v>
      </c>
      <c r="B122" s="3821" t="s">
        <v>2753</v>
      </c>
      <c r="C122" s="3115" t="s">
        <v>2754</v>
      </c>
      <c r="D122" s="3089" t="s">
        <v>2755</v>
      </c>
      <c r="E122" s="3115">
        <v>0.1</v>
      </c>
      <c r="F122" s="3115">
        <v>15</v>
      </c>
    </row>
    <row r="123" spans="1:6" ht="24">
      <c r="A123" s="3115">
        <v>51</v>
      </c>
      <c r="B123" s="3821"/>
      <c r="C123" s="3115" t="s">
        <v>2756</v>
      </c>
      <c r="D123" s="3089" t="s">
        <v>2757</v>
      </c>
      <c r="E123" s="3115">
        <v>0.1</v>
      </c>
      <c r="F123" s="3115">
        <v>15</v>
      </c>
    </row>
    <row r="124" spans="1:6" ht="24">
      <c r="A124" s="3115">
        <v>52</v>
      </c>
      <c r="B124" s="3821" t="s">
        <v>2758</v>
      </c>
      <c r="C124" s="3115" t="s">
        <v>2759</v>
      </c>
      <c r="D124" s="3089" t="s">
        <v>2760</v>
      </c>
      <c r="E124" s="3115">
        <v>0.1</v>
      </c>
      <c r="F124" s="3115">
        <v>15</v>
      </c>
    </row>
    <row r="125" spans="1:6" ht="24">
      <c r="A125" s="3115">
        <v>53</v>
      </c>
      <c r="B125" s="3821"/>
      <c r="C125" s="3115" t="s">
        <v>2761</v>
      </c>
      <c r="D125" s="3089" t="s">
        <v>2762</v>
      </c>
      <c r="E125" s="3115">
        <v>0.1</v>
      </c>
      <c r="F125" s="3115">
        <v>15</v>
      </c>
    </row>
    <row r="126" spans="1:6" ht="24">
      <c r="A126" s="3115">
        <v>54</v>
      </c>
      <c r="B126" s="3115" t="s">
        <v>2763</v>
      </c>
      <c r="C126" s="3115" t="s">
        <v>2764</v>
      </c>
      <c r="D126" s="3089" t="s">
        <v>2765</v>
      </c>
      <c r="E126" s="3115">
        <v>0.1</v>
      </c>
      <c r="F126" s="3115">
        <v>15</v>
      </c>
    </row>
    <row r="127" spans="1:6" ht="24">
      <c r="A127" s="3115">
        <v>55</v>
      </c>
      <c r="B127" s="3821" t="s">
        <v>2766</v>
      </c>
      <c r="C127" s="3115" t="s">
        <v>2767</v>
      </c>
      <c r="D127" s="3089" t="s">
        <v>2768</v>
      </c>
      <c r="E127" s="3115">
        <v>0.1</v>
      </c>
      <c r="F127" s="3115">
        <v>15</v>
      </c>
    </row>
    <row r="128" spans="1:6" ht="24">
      <c r="A128" s="3115">
        <v>56</v>
      </c>
      <c r="B128" s="3821"/>
      <c r="C128" s="3115" t="s">
        <v>2769</v>
      </c>
      <c r="D128" s="3089" t="s">
        <v>2770</v>
      </c>
      <c r="E128" s="3115">
        <v>0.1</v>
      </c>
      <c r="F128" s="3115">
        <v>15</v>
      </c>
    </row>
    <row r="129" spans="1:6" ht="24">
      <c r="A129" s="3115">
        <v>57</v>
      </c>
      <c r="B129" s="3821"/>
      <c r="C129" s="3115" t="s">
        <v>2771</v>
      </c>
      <c r="D129" s="3089" t="s">
        <v>2772</v>
      </c>
      <c r="E129" s="3115">
        <v>0.1</v>
      </c>
      <c r="F129" s="3115">
        <v>15</v>
      </c>
    </row>
    <row r="130" spans="1:6" ht="24">
      <c r="A130" s="3115">
        <v>58</v>
      </c>
      <c r="B130" s="3821" t="s">
        <v>2773</v>
      </c>
      <c r="C130" s="3115" t="s">
        <v>2774</v>
      </c>
      <c r="D130" s="3089" t="s">
        <v>2775</v>
      </c>
      <c r="E130" s="3115">
        <v>0.1</v>
      </c>
      <c r="F130" s="3115">
        <v>15</v>
      </c>
    </row>
    <row r="131" spans="1:6" ht="24">
      <c r="A131" s="3115">
        <v>59</v>
      </c>
      <c r="B131" s="3821"/>
      <c r="C131" s="3115" t="s">
        <v>2776</v>
      </c>
      <c r="D131" s="3089" t="s">
        <v>2777</v>
      </c>
      <c r="E131" s="3115">
        <v>0.1</v>
      </c>
      <c r="F131" s="3115">
        <v>15</v>
      </c>
    </row>
    <row r="132" spans="1:6" ht="24">
      <c r="A132" s="3115">
        <v>60</v>
      </c>
      <c r="B132" s="3822" t="s">
        <v>2778</v>
      </c>
      <c r="C132" s="3115" t="s">
        <v>2779</v>
      </c>
      <c r="D132" s="3089" t="s">
        <v>2780</v>
      </c>
      <c r="E132" s="3115">
        <v>0.1</v>
      </c>
      <c r="F132" s="3115">
        <v>15</v>
      </c>
    </row>
    <row r="133" spans="1:6" ht="24">
      <c r="A133" s="3115">
        <v>61</v>
      </c>
      <c r="B133" s="3823"/>
      <c r="C133" s="3115" t="s">
        <v>2781</v>
      </c>
      <c r="D133" s="3089" t="s">
        <v>2782</v>
      </c>
      <c r="E133" s="3115">
        <v>0.1</v>
      </c>
      <c r="F133" s="3115">
        <v>15</v>
      </c>
    </row>
    <row r="134" spans="1:6" ht="24">
      <c r="A134" s="3115">
        <v>62</v>
      </c>
      <c r="B134" s="3115" t="s">
        <v>2783</v>
      </c>
      <c r="C134" s="3115" t="s">
        <v>2784</v>
      </c>
      <c r="D134" s="3089" t="s">
        <v>2785</v>
      </c>
      <c r="E134" s="3115">
        <v>0.1</v>
      </c>
      <c r="F134" s="3115">
        <v>15</v>
      </c>
    </row>
    <row r="135" spans="1:6" ht="24">
      <c r="A135" s="3115">
        <v>63</v>
      </c>
      <c r="B135" s="3821" t="s">
        <v>2786</v>
      </c>
      <c r="C135" s="3115" t="s">
        <v>2787</v>
      </c>
      <c r="D135" s="3089" t="s">
        <v>2788</v>
      </c>
      <c r="E135" s="3115">
        <v>0.1</v>
      </c>
      <c r="F135" s="3115">
        <v>15</v>
      </c>
    </row>
    <row r="136" spans="1:6" ht="24">
      <c r="A136" s="3115">
        <v>64</v>
      </c>
      <c r="B136" s="3821"/>
      <c r="C136" s="3115" t="s">
        <v>2789</v>
      </c>
      <c r="D136" s="3089" t="s">
        <v>2790</v>
      </c>
      <c r="E136" s="3115">
        <v>0.1</v>
      </c>
      <c r="F136" s="3115">
        <v>15</v>
      </c>
    </row>
    <row r="137" spans="1:6" ht="24">
      <c r="A137" s="3115">
        <v>65</v>
      </c>
      <c r="B137" s="3115" t="s">
        <v>2791</v>
      </c>
      <c r="C137" s="3115" t="s">
        <v>2792</v>
      </c>
      <c r="D137" s="3089" t="s">
        <v>2793</v>
      </c>
      <c r="E137" s="3115">
        <v>0.1</v>
      </c>
      <c r="F137" s="3115">
        <v>15</v>
      </c>
    </row>
    <row r="138" spans="1:6" ht="14.4">
      <c r="A138" s="3115"/>
      <c r="B138" s="3115"/>
      <c r="C138" s="3115"/>
      <c r="D138" s="3115"/>
      <c r="E138" s="3115" t="s">
        <v>2794</v>
      </c>
      <c r="F138" s="311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49"/>
  </cols>
  <sheetData>
    <row r="1" spans="1:20" ht="16.2" thickBot="1">
      <c r="A1" s="3124" t="s">
        <v>2795</v>
      </c>
      <c r="B1" s="3124"/>
      <c r="C1" s="3124"/>
      <c r="D1" s="3124"/>
      <c r="E1" s="3124"/>
      <c r="F1" s="3124"/>
      <c r="G1" s="3124"/>
      <c r="H1" s="3124"/>
      <c r="I1" s="3124"/>
      <c r="J1" s="3124"/>
      <c r="K1" s="3124"/>
      <c r="L1" s="3124"/>
      <c r="M1" s="3124"/>
      <c r="N1" s="748"/>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9">
        <f>SUMPRODUCT((A95:A184=ROUNDDOWN(基准地价修正!G3,1))*(B94:M94=基准地价修正!G2)*(B95:M184))</f>
        <v>1.0985</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9">
        <f>SUMPRODUCT((A371:A460=ROUNDDOWN(基准地价修正!G3,1))*(B370:M370=基准地价修正!G2)*(B371:M460))</f>
        <v>1</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26248</v>
      </c>
      <c r="C2" s="2" t="s">
        <v>106</v>
      </c>
      <c r="D2" s="198"/>
      <c r="E2" s="198"/>
      <c r="F2" s="198"/>
      <c r="G2" s="198"/>
    </row>
    <row r="3" spans="1:7" s="199" customFormat="1" ht="18" customHeight="1" thickBot="1">
      <c r="A3" s="202" t="s">
        <v>58</v>
      </c>
      <c r="B3" s="203">
        <f ca="1">ROUND(B2*10000/'数据-汇总表'!E3,0)</f>
        <v>25434109</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0</v>
      </c>
      <c r="D10" s="843">
        <f>'数据-汇总表'!E6</f>
        <v>10.32</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0</v>
      </c>
      <c r="D19" s="847">
        <f>'数据-汇总表'!E3</f>
        <v>10.32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0.03</v>
      </c>
      <c r="D21" s="235" t="s">
        <v>99</v>
      </c>
      <c r="E21" s="231"/>
      <c r="F21" s="232">
        <f>'数据-取费表'!B38</f>
        <v>0.03</v>
      </c>
      <c r="G21" s="233" t="s">
        <v>79</v>
      </c>
    </row>
    <row r="22" spans="1:7" s="213" customFormat="1" ht="13.5" customHeight="1">
      <c r="A22" s="775" t="s">
        <v>341</v>
      </c>
      <c r="B22" s="209" t="s">
        <v>80</v>
      </c>
      <c r="C22" s="1102">
        <f ca="1">ROUND(SUM(C23:C25),0)</f>
        <v>1267</v>
      </c>
      <c r="D22" s="234">
        <f ca="1">C26</f>
        <v>8.9999999999999998E-4</v>
      </c>
      <c r="E22" s="235" t="s">
        <v>99</v>
      </c>
      <c r="F22" s="236">
        <f ca="1">'数据-取费表'!B40</f>
        <v>0.03</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1255</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12</v>
      </c>
      <c r="D25" s="237"/>
      <c r="E25" s="240"/>
      <c r="F25" s="238"/>
      <c r="G25" s="241" t="s">
        <v>83</v>
      </c>
    </row>
    <row r="26" spans="1:7" s="213" customFormat="1">
      <c r="A26" s="778" t="s">
        <v>350</v>
      </c>
      <c r="B26" s="214" t="s">
        <v>422</v>
      </c>
      <c r="C26" s="237">
        <f ca="1">ROUND(IF('数据-取费表'!B22&lt;=1,F21*F22*'数据-取费表'!B23/2,F21*(POWER((1+F22),'数据-取费表'!B23/2)-1)),4)</f>
        <v>8.9999999999999998E-4</v>
      </c>
      <c r="D26" s="237"/>
      <c r="E26" s="240"/>
      <c r="F26" s="238"/>
      <c r="G26" s="242"/>
    </row>
    <row r="27" spans="1:7" s="213" customFormat="1" ht="26.4">
      <c r="A27" s="775" t="s">
        <v>342</v>
      </c>
      <c r="B27" s="243" t="s">
        <v>85</v>
      </c>
      <c r="C27" s="244">
        <f>C28</f>
        <v>1682</v>
      </c>
      <c r="D27" s="234">
        <f>C29</f>
        <v>2.3999999999999998E-3</v>
      </c>
      <c r="E27" s="235" t="s">
        <v>99</v>
      </c>
      <c r="F27" s="245">
        <f>'数据-取费表'!Q16</f>
        <v>0.08</v>
      </c>
      <c r="G27" s="246" t="s">
        <v>431</v>
      </c>
    </row>
    <row r="28" spans="1:7" s="213" customFormat="1" ht="13.5" customHeight="1">
      <c r="A28" s="778" t="s">
        <v>349</v>
      </c>
      <c r="B28" s="247" t="s">
        <v>424</v>
      </c>
      <c r="C28" s="248">
        <f>ROUND((C5+C19+C20)*F27*'数据-取费表'!B21/'数据-取费表'!B20,0)</f>
        <v>1682</v>
      </c>
      <c r="D28" s="234"/>
      <c r="E28" s="235"/>
      <c r="F28" s="245"/>
      <c r="G28" s="246"/>
    </row>
    <row r="29" spans="1:7" s="213" customFormat="1" ht="13.5" customHeight="1">
      <c r="A29" s="778" t="s">
        <v>347</v>
      </c>
      <c r="B29" s="247" t="s">
        <v>425</v>
      </c>
      <c r="C29" s="237">
        <f>ROUND(C21*F27*'数据-取费表'!B21/'数据-取费表'!B20,4)</f>
        <v>2.3999999999999998E-3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26245</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v>
      </c>
      <c r="D34" s="216"/>
      <c r="E34" s="219"/>
      <c r="F34" s="256">
        <f>IF('数据-取费表'!B24=0,1,'数据-取费表'!N16)</f>
        <v>1</v>
      </c>
      <c r="G34" s="218" t="s">
        <v>89</v>
      </c>
    </row>
    <row r="35" spans="1:7" ht="13.5" customHeight="1">
      <c r="A35" s="778" t="s">
        <v>351</v>
      </c>
      <c r="B35" s="214" t="s">
        <v>33</v>
      </c>
      <c r="C35" s="219">
        <f>ROUND(C34*F35,0)</f>
        <v>0</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0.05</v>
      </c>
      <c r="G36" s="259" t="s">
        <v>35</v>
      </c>
    </row>
    <row r="37" spans="1:7" s="257" customFormat="1" ht="13.5" customHeight="1">
      <c r="A37" s="778" t="s">
        <v>353</v>
      </c>
      <c r="B37" s="214" t="s">
        <v>91</v>
      </c>
      <c r="C37" s="248">
        <f>ROUND(E37*D37*F34/10000,0)</f>
        <v>0</v>
      </c>
      <c r="D37" s="216">
        <f>'数据-汇总表'!E3</f>
        <v>10.32</v>
      </c>
      <c r="E37" s="248">
        <f>'数据-取费表'!B35</f>
        <v>200</v>
      </c>
      <c r="F37" s="258"/>
      <c r="G37" s="260" t="s">
        <v>92</v>
      </c>
    </row>
    <row r="38" spans="1:7" ht="13.5" customHeight="1">
      <c r="A38" s="778" t="s">
        <v>354</v>
      </c>
      <c r="B38" s="214" t="s">
        <v>36</v>
      </c>
      <c r="C38" s="219">
        <f>ROUND(C34*F38,0)</f>
        <v>0</v>
      </c>
      <c r="D38" s="219"/>
      <c r="E38" s="219"/>
      <c r="F38" s="258">
        <f>'数据-取费表'!B36</f>
        <v>0.02</v>
      </c>
      <c r="G38" s="218" t="s">
        <v>90</v>
      </c>
    </row>
    <row r="39" spans="1:7" s="213" customFormat="1" ht="13.5" customHeight="1">
      <c r="A39" s="775" t="s">
        <v>338</v>
      </c>
      <c r="B39" s="209" t="s">
        <v>77</v>
      </c>
      <c r="C39" s="231">
        <f>ROUND(C33*F20,0)</f>
        <v>0</v>
      </c>
      <c r="D39" s="231"/>
      <c r="E39" s="231"/>
      <c r="F39" s="232"/>
      <c r="G39" s="1065" t="s">
        <v>433</v>
      </c>
    </row>
    <row r="40" spans="1:7" s="213" customFormat="1" ht="13.5" customHeight="1">
      <c r="A40" s="775" t="s">
        <v>339</v>
      </c>
      <c r="B40" s="209" t="s">
        <v>78</v>
      </c>
      <c r="C40" s="261">
        <f>F21</f>
        <v>0.03</v>
      </c>
      <c r="D40" s="235" t="s">
        <v>102</v>
      </c>
      <c r="E40" s="231"/>
      <c r="F40" s="232"/>
      <c r="G40" s="233" t="s">
        <v>93</v>
      </c>
    </row>
    <row r="41" spans="1:7" s="213" customFormat="1" ht="13.5" customHeight="1">
      <c r="A41" s="775" t="s">
        <v>340</v>
      </c>
      <c r="B41" s="209" t="s">
        <v>80</v>
      </c>
      <c r="C41" s="231">
        <f ca="1">ROUND(SUM(C42:C43),0)</f>
        <v>0</v>
      </c>
      <c r="D41" s="234">
        <f ca="1">C44</f>
        <v>8.9999999999999998E-4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0</v>
      </c>
      <c r="D42" s="237"/>
      <c r="E42" s="237"/>
      <c r="F42" s="238"/>
      <c r="G42" s="3695" t="s">
        <v>94</v>
      </c>
    </row>
    <row r="43" spans="1:7" ht="13.5" customHeight="1">
      <c r="A43" s="778" t="s">
        <v>347</v>
      </c>
      <c r="B43" s="214" t="s">
        <v>426</v>
      </c>
      <c r="C43" s="237">
        <f ca="1">ROUND(IF('数据-取费表'!B22&lt;=1,C39*F22*'数据-取费表'!B21/2,C39*(POWER((1+F22),'数据-取费表'!B21/2)-1)),0)</f>
        <v>0</v>
      </c>
      <c r="D43" s="237"/>
      <c r="E43" s="237"/>
      <c r="F43" s="238"/>
      <c r="G43" s="3696"/>
    </row>
    <row r="44" spans="1:7" ht="13.5" customHeight="1">
      <c r="A44" s="778" t="s">
        <v>348</v>
      </c>
      <c r="B44" s="214" t="s">
        <v>428</v>
      </c>
      <c r="C44" s="237">
        <f ca="1">ROUND(IF('数据-取费表'!B22&lt;=1,C40*F22*'数据-取费表'!B21/2,C40*(POWER((1+F22),'数据-取费表'!B21/2)-1)),4)</f>
        <v>8.9999999999999998E-4</v>
      </c>
      <c r="D44" s="237"/>
      <c r="E44" s="237"/>
      <c r="F44" s="238"/>
      <c r="G44" s="3697"/>
    </row>
    <row r="45" spans="1:7" s="213" customFormat="1" ht="13.5" customHeight="1">
      <c r="A45" s="775" t="s">
        <v>341</v>
      </c>
      <c r="B45" s="243" t="s">
        <v>85</v>
      </c>
      <c r="C45" s="244">
        <f>C46</f>
        <v>0</v>
      </c>
      <c r="D45" s="234">
        <f>C47</f>
        <v>2.3999999999999998E-3</v>
      </c>
      <c r="E45" s="235" t="s">
        <v>102</v>
      </c>
      <c r="F45" s="245"/>
      <c r="G45" s="246" t="s">
        <v>434</v>
      </c>
    </row>
    <row r="46" spans="1:7" s="213" customFormat="1" ht="13.5" customHeight="1">
      <c r="A46" s="778" t="s">
        <v>349</v>
      </c>
      <c r="B46" s="247" t="s">
        <v>427</v>
      </c>
      <c r="C46" s="248">
        <f>ROUND((C33+C39)*F27,0)</f>
        <v>0</v>
      </c>
      <c r="D46" s="262"/>
      <c r="E46" s="235"/>
      <c r="F46" s="245"/>
      <c r="G46" s="246"/>
    </row>
    <row r="47" spans="1:7" s="213" customFormat="1" ht="13.5" customHeight="1">
      <c r="A47" s="778" t="s">
        <v>347</v>
      </c>
      <c r="B47" s="247" t="s">
        <v>429</v>
      </c>
      <c r="C47" s="237">
        <f>ROUND(C40*F27,4)</f>
        <v>2.3999999999999998E-3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v>
      </c>
      <c r="D49" s="231"/>
      <c r="E49" s="231"/>
      <c r="F49" s="263"/>
      <c r="G49" s="233" t="s">
        <v>435</v>
      </c>
    </row>
    <row r="50" spans="1:7" s="257" customFormat="1" ht="24">
      <c r="A50" s="775" t="s">
        <v>344</v>
      </c>
      <c r="B50" s="209" t="s">
        <v>97</v>
      </c>
      <c r="C50" s="231"/>
      <c r="D50" s="231"/>
      <c r="E50" s="231"/>
      <c r="F50" s="263">
        <f>IF('数据-取费表'!B24=0,'数据-取费表'!N16,1)</f>
        <v>0.9</v>
      </c>
      <c r="G50" s="246" t="s">
        <v>98</v>
      </c>
    </row>
    <row r="51" spans="1:7" ht="16.5" customHeight="1">
      <c r="A51" s="775" t="s">
        <v>345</v>
      </c>
      <c r="B51" s="209" t="s">
        <v>105</v>
      </c>
      <c r="C51" s="231">
        <f ca="1">ROUND(C49*F50,0)</f>
        <v>3</v>
      </c>
      <c r="D51" s="231"/>
      <c r="E51" s="231"/>
      <c r="F51" s="263"/>
      <c r="G51" s="233" t="s">
        <v>37</v>
      </c>
    </row>
    <row r="52" spans="1:7" s="207" customFormat="1" ht="16.8" thickBot="1">
      <c r="A52" s="264" t="s">
        <v>38</v>
      </c>
      <c r="B52" s="265"/>
      <c r="C52" s="266">
        <f ca="1">C31+C51</f>
        <v>26248</v>
      </c>
      <c r="D52" s="265"/>
      <c r="E52" s="265"/>
      <c r="F52" s="265"/>
      <c r="G52" s="267"/>
    </row>
    <row r="55" spans="1:7" ht="15">
      <c r="B55" s="269" t="s">
        <v>39</v>
      </c>
      <c r="C55" s="270"/>
    </row>
    <row r="56" spans="1:7">
      <c r="B56" s="272" t="s">
        <v>40</v>
      </c>
      <c r="C56" s="273">
        <f ca="1">ROUND(C51/C52,3)</f>
        <v>0</v>
      </c>
    </row>
    <row r="57" spans="1:7">
      <c r="B57" s="272" t="s">
        <v>41</v>
      </c>
      <c r="C57" s="274">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24" workbookViewId="0">
      <selection activeCell="B327" sqref="B327:G357"/>
    </sheetView>
  </sheetViews>
  <sheetFormatPr defaultColWidth="8.88671875" defaultRowHeight="14.4"/>
  <cols>
    <col min="1" max="1" width="12.6640625" style="3280" customWidth="1"/>
    <col min="2" max="2" width="20" style="3280" customWidth="1"/>
    <col min="3" max="7" width="8.88671875" style="3244"/>
    <col min="8" max="16384" width="8.88671875" style="3245"/>
  </cols>
  <sheetData>
    <row r="1" spans="1:7">
      <c r="A1" s="3833" t="s">
        <v>3178</v>
      </c>
      <c r="B1" s="3833"/>
    </row>
    <row r="2" spans="1:7" ht="15" thickBot="1">
      <c r="A2" s="3246"/>
      <c r="B2" s="3246"/>
    </row>
    <row r="3" spans="1:7" ht="15" thickBot="1">
      <c r="A3" s="3246"/>
      <c r="B3" s="3246"/>
      <c r="C3" s="3247" t="s">
        <v>2808</v>
      </c>
      <c r="D3" s="3247" t="s">
        <v>2864</v>
      </c>
      <c r="E3" s="3247" t="s">
        <v>2810</v>
      </c>
      <c r="F3" s="3247" t="s">
        <v>2865</v>
      </c>
      <c r="G3" s="3247" t="s">
        <v>2628</v>
      </c>
    </row>
    <row r="4" spans="1:7" ht="15" thickBot="1">
      <c r="A4" s="3248" t="s">
        <v>2863</v>
      </c>
      <c r="B4" s="3249" t="s">
        <v>2869</v>
      </c>
      <c r="C4" s="3247"/>
      <c r="D4" s="3247"/>
      <c r="E4" s="3247"/>
      <c r="F4" s="3247"/>
      <c r="G4" s="3247"/>
    </row>
    <row r="5" spans="1:7">
      <c r="A5" s="3250" t="s">
        <v>2837</v>
      </c>
      <c r="B5" s="3251" t="s">
        <v>2851</v>
      </c>
      <c r="C5" s="3252">
        <v>9.8000000000000004E-2</v>
      </c>
      <c r="D5" s="3252">
        <v>8.6999999999999994E-2</v>
      </c>
      <c r="E5" s="3252">
        <v>8.6999999999999994E-2</v>
      </c>
      <c r="F5" s="3252">
        <v>9.8000000000000004E-2</v>
      </c>
      <c r="G5" s="3253">
        <v>9.5000000000000001E-2</v>
      </c>
    </row>
    <row r="6" spans="1:7">
      <c r="A6" s="3254" t="s">
        <v>144</v>
      </c>
      <c r="B6" s="3255" t="s">
        <v>2866</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5" thickBot="1">
      <c r="A9" s="3258" t="s">
        <v>144</v>
      </c>
      <c r="B9" s="3259" t="s">
        <v>154</v>
      </c>
      <c r="C9" s="3260">
        <v>0.1</v>
      </c>
      <c r="D9" s="3260">
        <v>0.1</v>
      </c>
      <c r="E9" s="3260">
        <v>0.1</v>
      </c>
      <c r="F9" s="3261"/>
      <c r="G9" s="3262">
        <v>0.1</v>
      </c>
    </row>
    <row r="10" spans="1:7">
      <c r="A10" s="3250" t="s">
        <v>184</v>
      </c>
      <c r="B10" s="3251" t="s">
        <v>2852</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2902</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5" thickBot="1">
      <c r="A29" s="3258" t="s">
        <v>184</v>
      </c>
      <c r="B29" s="3259" t="s">
        <v>2920</v>
      </c>
      <c r="C29" s="3264"/>
      <c r="D29" s="3260">
        <v>5.1999999999999998E-2</v>
      </c>
      <c r="E29" s="3260">
        <v>7.0000000000000007E-2</v>
      </c>
      <c r="F29" s="3264"/>
      <c r="G29" s="3262">
        <v>7.0999999999999994E-2</v>
      </c>
    </row>
    <row r="30" spans="1:7">
      <c r="A30" s="3265" t="s">
        <v>296</v>
      </c>
      <c r="B30" s="3251" t="s">
        <v>2853</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2839</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2923</v>
      </c>
      <c r="C50" s="3256">
        <v>9.8000000000000004E-2</v>
      </c>
      <c r="D50" s="3256">
        <v>7.2999999999999995E-2</v>
      </c>
      <c r="E50" s="3256">
        <v>7.0999999999999994E-2</v>
      </c>
      <c r="F50" s="3267"/>
      <c r="G50" s="3257">
        <v>7.2999999999999995E-2</v>
      </c>
    </row>
    <row r="51" spans="1:7">
      <c r="A51" s="3266" t="s">
        <v>296</v>
      </c>
      <c r="B51" s="3255" t="s">
        <v>2925</v>
      </c>
      <c r="C51" s="3256">
        <v>9.9000000000000005E-2</v>
      </c>
      <c r="D51" s="3256">
        <v>8.5000000000000006E-2</v>
      </c>
      <c r="E51" s="3256">
        <v>6.3E-2</v>
      </c>
      <c r="F51" s="3267"/>
      <c r="G51" s="3257">
        <v>9.6000000000000002E-2</v>
      </c>
    </row>
    <row r="52" spans="1:7">
      <c r="A52" s="3266" t="s">
        <v>296</v>
      </c>
      <c r="B52" s="3255" t="s">
        <v>2929</v>
      </c>
      <c r="C52" s="3256">
        <v>7.3999999999999996E-2</v>
      </c>
      <c r="D52" s="3256">
        <v>9.6000000000000002E-2</v>
      </c>
      <c r="E52" s="3256">
        <v>0.05</v>
      </c>
      <c r="F52" s="3267"/>
      <c r="G52" s="3257">
        <v>9.8000000000000004E-2</v>
      </c>
    </row>
    <row r="53" spans="1:7">
      <c r="A53" s="3266" t="s">
        <v>296</v>
      </c>
      <c r="B53" s="3255" t="s">
        <v>2934</v>
      </c>
      <c r="C53" s="3256">
        <v>8.5999999999999993E-2</v>
      </c>
      <c r="D53" s="3267"/>
      <c r="E53" s="3256">
        <v>9.1999999999999998E-2</v>
      </c>
      <c r="F53" s="3267"/>
      <c r="G53" s="3268"/>
    </row>
    <row r="54" spans="1:7" ht="15" thickBot="1">
      <c r="A54" s="3269" t="s">
        <v>296</v>
      </c>
      <c r="B54" s="3259" t="s">
        <v>2937</v>
      </c>
      <c r="C54" s="3260">
        <v>9.6000000000000002E-2</v>
      </c>
      <c r="D54" s="3261"/>
      <c r="E54" s="3270"/>
      <c r="F54" s="3261"/>
      <c r="G54" s="3271"/>
    </row>
    <row r="55" spans="1:7">
      <c r="A55" s="3265" t="s">
        <v>110</v>
      </c>
      <c r="B55" s="3251" t="s">
        <v>2854</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2935</v>
      </c>
      <c r="C78" s="3256">
        <v>0.1</v>
      </c>
      <c r="D78" s="3256">
        <v>8.5000000000000006E-2</v>
      </c>
      <c r="E78" s="3256">
        <v>9.6000000000000002E-2</v>
      </c>
      <c r="F78" s="3267"/>
      <c r="G78" s="3257">
        <v>9.6000000000000002E-2</v>
      </c>
    </row>
    <row r="79" spans="1:7">
      <c r="A79" s="3266" t="s">
        <v>110</v>
      </c>
      <c r="B79" s="3255" t="s">
        <v>2938</v>
      </c>
      <c r="C79" s="3256">
        <v>0.05</v>
      </c>
      <c r="D79" s="3256">
        <v>9.6000000000000002E-2</v>
      </c>
      <c r="E79" s="3256">
        <v>9.5000000000000001E-2</v>
      </c>
      <c r="F79" s="3267"/>
      <c r="G79" s="3257">
        <v>9.8000000000000004E-2</v>
      </c>
    </row>
    <row r="80" spans="1:7">
      <c r="A80" s="3266" t="s">
        <v>110</v>
      </c>
      <c r="B80" s="3255" t="s">
        <v>2942</v>
      </c>
      <c r="C80" s="3256">
        <v>8.5999999999999993E-2</v>
      </c>
      <c r="D80" s="3272"/>
      <c r="E80" s="3256">
        <v>0.1</v>
      </c>
      <c r="F80" s="3267"/>
      <c r="G80" s="3268"/>
    </row>
    <row r="81" spans="1:7">
      <c r="A81" s="3266" t="s">
        <v>110</v>
      </c>
      <c r="B81" s="3255" t="s">
        <v>2947</v>
      </c>
      <c r="C81" s="3256">
        <v>9.6000000000000002E-2</v>
      </c>
      <c r="D81" s="3267"/>
      <c r="E81" s="3256">
        <v>9.8000000000000004E-2</v>
      </c>
      <c r="F81" s="3267"/>
      <c r="G81" s="3268"/>
    </row>
    <row r="82" spans="1:7">
      <c r="A82" s="3266" t="s">
        <v>110</v>
      </c>
      <c r="B82" s="3255" t="s">
        <v>2954</v>
      </c>
      <c r="C82" s="3272"/>
      <c r="D82" s="3267"/>
      <c r="E82" s="3256">
        <v>7.6999999999999999E-2</v>
      </c>
      <c r="F82" s="3267"/>
      <c r="G82" s="3268"/>
    </row>
    <row r="83" spans="1:7">
      <c r="A83" s="3266" t="s">
        <v>110</v>
      </c>
      <c r="B83" s="3255" t="s">
        <v>2960</v>
      </c>
      <c r="C83" s="3267"/>
      <c r="D83" s="3267"/>
      <c r="E83" s="3267"/>
      <c r="F83" s="3256">
        <v>0.1</v>
      </c>
      <c r="G83" s="3273"/>
    </row>
    <row r="84" spans="1:7">
      <c r="A84" s="3266" t="s">
        <v>110</v>
      </c>
      <c r="B84" s="3255" t="s">
        <v>2967</v>
      </c>
      <c r="C84" s="3267"/>
      <c r="D84" s="3267"/>
      <c r="E84" s="3267"/>
      <c r="F84" s="3256">
        <v>0.1</v>
      </c>
      <c r="G84" s="3273"/>
    </row>
    <row r="85" spans="1:7">
      <c r="A85" s="3266" t="s">
        <v>110</v>
      </c>
      <c r="B85" s="3255" t="s">
        <v>2974</v>
      </c>
      <c r="C85" s="3267"/>
      <c r="D85" s="3267"/>
      <c r="E85" s="3267"/>
      <c r="F85" s="3256">
        <v>0.1</v>
      </c>
      <c r="G85" s="3273"/>
    </row>
    <row r="86" spans="1:7" ht="15" thickBot="1">
      <c r="A86" s="3269" t="s">
        <v>110</v>
      </c>
      <c r="B86" s="3259" t="s">
        <v>2979</v>
      </c>
      <c r="C86" s="3260">
        <v>9.8000000000000004E-2</v>
      </c>
      <c r="D86" s="3260">
        <v>9.8000000000000004E-2</v>
      </c>
      <c r="E86" s="3260">
        <v>9.6000000000000002E-2</v>
      </c>
      <c r="F86" s="3270"/>
      <c r="G86" s="3262">
        <v>0.1</v>
      </c>
    </row>
    <row r="87" spans="1:7">
      <c r="A87" s="3265" t="s">
        <v>303</v>
      </c>
      <c r="B87" s="3251" t="s">
        <v>2855</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2948</v>
      </c>
      <c r="C113" s="3256">
        <v>0.1</v>
      </c>
      <c r="D113" s="3256">
        <v>0.1</v>
      </c>
      <c r="E113" s="3267"/>
      <c r="F113" s="3267"/>
      <c r="G113" s="3257">
        <v>0.1</v>
      </c>
    </row>
    <row r="114" spans="1:7">
      <c r="A114" s="3266" t="s">
        <v>303</v>
      </c>
      <c r="B114" s="3255" t="s">
        <v>2955</v>
      </c>
      <c r="C114" s="3256">
        <v>9.7000000000000003E-2</v>
      </c>
      <c r="D114" s="3256">
        <v>9.7000000000000003E-2</v>
      </c>
      <c r="E114" s="3267"/>
      <c r="F114" s="3267"/>
      <c r="G114" s="3257">
        <v>9.9000000000000005E-2</v>
      </c>
    </row>
    <row r="115" spans="1:7">
      <c r="A115" s="3266" t="s">
        <v>303</v>
      </c>
      <c r="B115" s="3255" t="s">
        <v>2961</v>
      </c>
      <c r="C115" s="3256">
        <v>0.1</v>
      </c>
      <c r="D115" s="3256">
        <v>0.1</v>
      </c>
      <c r="E115" s="3267"/>
      <c r="F115" s="3267"/>
      <c r="G115" s="3257">
        <v>0.1</v>
      </c>
    </row>
    <row r="116" spans="1:7">
      <c r="A116" s="3266" t="s">
        <v>303</v>
      </c>
      <c r="B116" s="3255" t="s">
        <v>2968</v>
      </c>
      <c r="C116" s="3256">
        <v>0.1</v>
      </c>
      <c r="D116" s="3256">
        <v>0.1</v>
      </c>
      <c r="E116" s="3267"/>
      <c r="F116" s="3267"/>
      <c r="G116" s="3257">
        <v>0.1</v>
      </c>
    </row>
    <row r="117" spans="1:7">
      <c r="A117" s="3266" t="s">
        <v>303</v>
      </c>
      <c r="B117" s="3255" t="s">
        <v>2975</v>
      </c>
      <c r="C117" s="3256">
        <v>9.7000000000000003E-2</v>
      </c>
      <c r="D117" s="3256">
        <v>9.7000000000000003E-2</v>
      </c>
      <c r="E117" s="3267"/>
      <c r="F117" s="3267"/>
      <c r="G117" s="3257">
        <v>9.7000000000000003E-2</v>
      </c>
    </row>
    <row r="118" spans="1:7">
      <c r="A118" s="3266" t="s">
        <v>303</v>
      </c>
      <c r="B118" s="3255" t="s">
        <v>2980</v>
      </c>
      <c r="C118" s="3256">
        <v>0.1</v>
      </c>
      <c r="D118" s="3256">
        <v>0.1</v>
      </c>
      <c r="E118" s="3267"/>
      <c r="F118" s="3267"/>
      <c r="G118" s="3257">
        <v>0.1</v>
      </c>
    </row>
    <row r="119" spans="1:7">
      <c r="A119" s="3266" t="s">
        <v>303</v>
      </c>
      <c r="B119" s="3255" t="s">
        <v>2984</v>
      </c>
      <c r="C119" s="3256">
        <v>5.0999999999999997E-2</v>
      </c>
      <c r="D119" s="3256">
        <v>5.1999999999999998E-2</v>
      </c>
      <c r="E119" s="3267"/>
      <c r="F119" s="3272"/>
      <c r="G119" s="3257">
        <v>0.06</v>
      </c>
    </row>
    <row r="120" spans="1:7">
      <c r="A120" s="3266" t="s">
        <v>303</v>
      </c>
      <c r="B120" s="3255" t="s">
        <v>2988</v>
      </c>
      <c r="C120" s="3267"/>
      <c r="D120" s="3267"/>
      <c r="E120" s="3267"/>
      <c r="F120" s="3256">
        <v>0.1</v>
      </c>
      <c r="G120" s="3273"/>
    </row>
    <row r="121" spans="1:7">
      <c r="A121" s="3266" t="s">
        <v>303</v>
      </c>
      <c r="B121" s="3255" t="s">
        <v>2993</v>
      </c>
      <c r="C121" s="3267"/>
      <c r="D121" s="3267"/>
      <c r="E121" s="3267"/>
      <c r="F121" s="3256">
        <v>0.1</v>
      </c>
      <c r="G121" s="3273"/>
    </row>
    <row r="122" spans="1:7">
      <c r="A122" s="3266" t="s">
        <v>303</v>
      </c>
      <c r="B122" s="3255" t="s">
        <v>2998</v>
      </c>
      <c r="C122" s="3256">
        <v>0.1</v>
      </c>
      <c r="D122" s="3256">
        <v>0.1</v>
      </c>
      <c r="E122" s="3256">
        <v>9.8000000000000004E-2</v>
      </c>
      <c r="F122" s="3256">
        <v>0.1</v>
      </c>
      <c r="G122" s="3257">
        <v>0.1</v>
      </c>
    </row>
    <row r="123" spans="1:7">
      <c r="A123" s="3266" t="s">
        <v>303</v>
      </c>
      <c r="B123" s="3255" t="s">
        <v>3003</v>
      </c>
      <c r="C123" s="3256">
        <v>0.1</v>
      </c>
      <c r="D123" s="3256">
        <v>0.1</v>
      </c>
      <c r="E123" s="3256">
        <v>9.8000000000000004E-2</v>
      </c>
      <c r="F123" s="3256">
        <v>0.1</v>
      </c>
      <c r="G123" s="3257">
        <v>0.1</v>
      </c>
    </row>
    <row r="124" spans="1:7">
      <c r="A124" s="3266" t="s">
        <v>303</v>
      </c>
      <c r="B124" s="3255" t="s">
        <v>3008</v>
      </c>
      <c r="C124" s="3256">
        <v>0.1</v>
      </c>
      <c r="D124" s="3256">
        <v>0.1</v>
      </c>
      <c r="E124" s="3256">
        <v>9.8000000000000004E-2</v>
      </c>
      <c r="F124" s="3272"/>
      <c r="G124" s="3257">
        <v>0.1</v>
      </c>
    </row>
    <row r="125" spans="1:7">
      <c r="A125" s="3266" t="s">
        <v>303</v>
      </c>
      <c r="B125" s="3255" t="s">
        <v>3013</v>
      </c>
      <c r="C125" s="3256">
        <v>9.8000000000000004E-2</v>
      </c>
      <c r="D125" s="3256">
        <v>9.8000000000000004E-2</v>
      </c>
      <c r="E125" s="3256">
        <v>9.6000000000000002E-2</v>
      </c>
      <c r="F125" s="3272"/>
      <c r="G125" s="3257">
        <v>0.1</v>
      </c>
    </row>
    <row r="126" spans="1:7" ht="15" thickBot="1">
      <c r="A126" s="3269" t="s">
        <v>303</v>
      </c>
      <c r="B126" s="3259" t="s">
        <v>3179</v>
      </c>
      <c r="C126" s="3260">
        <v>0.1</v>
      </c>
      <c r="D126" s="3260">
        <v>0.1</v>
      </c>
      <c r="E126" s="3260">
        <v>9.8000000000000004E-2</v>
      </c>
      <c r="F126" s="3260">
        <v>0.1</v>
      </c>
      <c r="G126" s="3262">
        <v>0.1</v>
      </c>
    </row>
    <row r="127" spans="1:7">
      <c r="A127" s="3265" t="s">
        <v>29</v>
      </c>
      <c r="B127" s="3251" t="s">
        <v>2856</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2926</v>
      </c>
      <c r="C148" s="3256">
        <v>0.13</v>
      </c>
      <c r="D148" s="3256">
        <v>0.13</v>
      </c>
      <c r="E148" s="3256">
        <v>0.13</v>
      </c>
      <c r="F148" s="3267"/>
      <c r="G148" s="3257">
        <v>0.13</v>
      </c>
    </row>
    <row r="149" spans="1:7">
      <c r="A149" s="3266" t="s">
        <v>29</v>
      </c>
      <c r="B149" s="3255" t="s">
        <v>2930</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2949</v>
      </c>
      <c r="C153" s="3256">
        <v>0.13</v>
      </c>
      <c r="D153" s="3256">
        <v>0.13</v>
      </c>
      <c r="E153" s="3256">
        <v>0.13</v>
      </c>
      <c r="F153" s="3256">
        <v>0.13</v>
      </c>
      <c r="G153" s="3257">
        <v>0.13</v>
      </c>
    </row>
    <row r="154" spans="1:7">
      <c r="A154" s="3266" t="s">
        <v>29</v>
      </c>
      <c r="B154" s="3255" t="s">
        <v>2956</v>
      </c>
      <c r="C154" s="3256">
        <v>0.121</v>
      </c>
      <c r="D154" s="3256">
        <v>0.121</v>
      </c>
      <c r="E154" s="3256">
        <v>0.105</v>
      </c>
      <c r="F154" s="3256">
        <v>0.121</v>
      </c>
      <c r="G154" s="3257">
        <v>0.123</v>
      </c>
    </row>
    <row r="155" spans="1:7">
      <c r="A155" s="3266" t="s">
        <v>29</v>
      </c>
      <c r="B155" s="3255" t="s">
        <v>2962</v>
      </c>
      <c r="C155" s="3256">
        <v>0.1</v>
      </c>
      <c r="D155" s="3256">
        <v>0.1</v>
      </c>
      <c r="E155" s="3256">
        <v>0.1</v>
      </c>
      <c r="F155" s="3256">
        <v>0.1</v>
      </c>
      <c r="G155" s="3257">
        <v>0.1</v>
      </c>
    </row>
    <row r="156" spans="1:7">
      <c r="A156" s="3266" t="s">
        <v>29</v>
      </c>
      <c r="B156" s="3255" t="s">
        <v>2969</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2989</v>
      </c>
      <c r="C160" s="3256">
        <v>0.13</v>
      </c>
      <c r="D160" s="3256">
        <v>0.13</v>
      </c>
      <c r="E160" s="3256">
        <v>0.124</v>
      </c>
      <c r="F160" s="3256">
        <v>0.126</v>
      </c>
      <c r="G160" s="3257">
        <v>0.13</v>
      </c>
    </row>
    <row r="161" spans="1:7">
      <c r="A161" s="3266" t="s">
        <v>29</v>
      </c>
      <c r="B161" s="3255" t="s">
        <v>2994</v>
      </c>
      <c r="C161" s="3256">
        <v>0.13</v>
      </c>
      <c r="D161" s="3256">
        <v>0.13</v>
      </c>
      <c r="E161" s="3256">
        <v>0.124</v>
      </c>
      <c r="F161" s="3256">
        <v>0.127</v>
      </c>
      <c r="G161" s="3257">
        <v>0.13</v>
      </c>
    </row>
    <row r="162" spans="1:7">
      <c r="A162" s="3266" t="s">
        <v>29</v>
      </c>
      <c r="B162" s="3255" t="s">
        <v>2999</v>
      </c>
      <c r="C162" s="3256">
        <v>0.1</v>
      </c>
      <c r="D162" s="3256">
        <v>0.1</v>
      </c>
      <c r="E162" s="3256">
        <v>0.1</v>
      </c>
      <c r="F162" s="3256">
        <v>0.121</v>
      </c>
      <c r="G162" s="3257">
        <v>0.105</v>
      </c>
    </row>
    <row r="163" spans="1:7">
      <c r="A163" s="3266" t="s">
        <v>29</v>
      </c>
      <c r="B163" s="3255" t="s">
        <v>3004</v>
      </c>
      <c r="C163" s="3256">
        <v>0.1</v>
      </c>
      <c r="D163" s="3256">
        <v>0.1</v>
      </c>
      <c r="E163" s="3256">
        <v>0.1</v>
      </c>
      <c r="F163" s="3256">
        <v>0.1</v>
      </c>
      <c r="G163" s="3257">
        <v>0.1</v>
      </c>
    </row>
    <row r="164" spans="1:7">
      <c r="A164" s="3266" t="s">
        <v>29</v>
      </c>
      <c r="B164" s="3255" t="s">
        <v>3009</v>
      </c>
      <c r="C164" s="3272"/>
      <c r="D164" s="3272"/>
      <c r="E164" s="3272"/>
      <c r="F164" s="3256">
        <v>0.1</v>
      </c>
      <c r="G164" s="3268"/>
    </row>
    <row r="165" spans="1:7">
      <c r="A165" s="3266" t="s">
        <v>29</v>
      </c>
      <c r="B165" s="3255" t="s">
        <v>3180</v>
      </c>
      <c r="C165" s="3256">
        <v>0.126</v>
      </c>
      <c r="D165" s="3256">
        <v>0.126</v>
      </c>
      <c r="E165" s="3256">
        <v>0.11899999999999999</v>
      </c>
      <c r="F165" s="3256">
        <v>0.13</v>
      </c>
      <c r="G165" s="3257">
        <v>0.128</v>
      </c>
    </row>
    <row r="166" spans="1:7">
      <c r="A166" s="3266" t="s">
        <v>29</v>
      </c>
      <c r="B166" s="3255" t="s">
        <v>3019</v>
      </c>
      <c r="C166" s="3256">
        <v>0.129</v>
      </c>
      <c r="D166" s="3256">
        <v>0.129</v>
      </c>
      <c r="E166" s="3256">
        <v>0.123</v>
      </c>
      <c r="F166" s="3256">
        <v>0.128</v>
      </c>
      <c r="G166" s="3257">
        <v>0.13</v>
      </c>
    </row>
    <row r="167" spans="1:7">
      <c r="A167" s="3266" t="s">
        <v>29</v>
      </c>
      <c r="B167" s="3255" t="s">
        <v>3023</v>
      </c>
      <c r="C167" s="3256">
        <v>0.125</v>
      </c>
      <c r="D167" s="3256">
        <v>0.125</v>
      </c>
      <c r="E167" s="3256">
        <v>0.11700000000000001</v>
      </c>
      <c r="F167" s="3256">
        <v>0.13</v>
      </c>
      <c r="G167" s="3257">
        <v>0.126</v>
      </c>
    </row>
    <row r="168" spans="1:7">
      <c r="A168" s="3266" t="s">
        <v>29</v>
      </c>
      <c r="B168" s="3255" t="s">
        <v>3028</v>
      </c>
      <c r="C168" s="3256">
        <v>0.128</v>
      </c>
      <c r="D168" s="3256">
        <v>0.128</v>
      </c>
      <c r="E168" s="3256">
        <v>0.123</v>
      </c>
      <c r="F168" s="3267"/>
      <c r="G168" s="3257">
        <v>0.13</v>
      </c>
    </row>
    <row r="169" spans="1:7">
      <c r="A169" s="3266" t="s">
        <v>29</v>
      </c>
      <c r="B169" s="3255" t="s">
        <v>3181</v>
      </c>
      <c r="C169" s="3272"/>
      <c r="D169" s="3272"/>
      <c r="E169" s="3272"/>
      <c r="F169" s="3256">
        <v>0.05</v>
      </c>
      <c r="G169" s="3268"/>
    </row>
    <row r="170" spans="1:7">
      <c r="A170" s="3266" t="s">
        <v>29</v>
      </c>
      <c r="B170" s="3255" t="s">
        <v>3182</v>
      </c>
      <c r="C170" s="3272"/>
      <c r="D170" s="3272"/>
      <c r="E170" s="3272"/>
      <c r="F170" s="3256">
        <v>0.05</v>
      </c>
      <c r="G170" s="3268"/>
    </row>
    <row r="171" spans="1:7">
      <c r="A171" s="3266" t="s">
        <v>29</v>
      </c>
      <c r="B171" s="3255" t="s">
        <v>3183</v>
      </c>
      <c r="C171" s="3272"/>
      <c r="D171" s="3272"/>
      <c r="E171" s="3272"/>
      <c r="F171" s="3256">
        <v>0.05</v>
      </c>
      <c r="G171" s="3273"/>
    </row>
    <row r="172" spans="1:7">
      <c r="A172" s="3266" t="s">
        <v>29</v>
      </c>
      <c r="B172" s="3255" t="s">
        <v>3184</v>
      </c>
      <c r="C172" s="3272"/>
      <c r="D172" s="3272"/>
      <c r="E172" s="3272"/>
      <c r="F172" s="3256">
        <v>0.05</v>
      </c>
      <c r="G172" s="3273"/>
    </row>
    <row r="173" spans="1:7">
      <c r="A173" s="3266" t="s">
        <v>29</v>
      </c>
      <c r="B173" s="3255" t="s">
        <v>3185</v>
      </c>
      <c r="C173" s="3272"/>
      <c r="D173" s="3272"/>
      <c r="E173" s="3272"/>
      <c r="F173" s="3256">
        <v>0.05</v>
      </c>
      <c r="G173" s="3268"/>
    </row>
    <row r="174" spans="1:7">
      <c r="A174" s="3266" t="s">
        <v>29</v>
      </c>
      <c r="B174" s="3255" t="s">
        <v>3186</v>
      </c>
      <c r="C174" s="3272"/>
      <c r="D174" s="3272"/>
      <c r="E174" s="3272"/>
      <c r="F174" s="3256">
        <v>0.05</v>
      </c>
      <c r="G174" s="3268"/>
    </row>
    <row r="175" spans="1:7">
      <c r="A175" s="3266" t="s">
        <v>29</v>
      </c>
      <c r="B175" s="3255" t="s">
        <v>3187</v>
      </c>
      <c r="C175" s="3272"/>
      <c r="D175" s="3272"/>
      <c r="E175" s="3272"/>
      <c r="F175" s="3256">
        <v>0.05</v>
      </c>
      <c r="G175" s="3268"/>
    </row>
    <row r="176" spans="1:7">
      <c r="A176" s="3266" t="s">
        <v>29</v>
      </c>
      <c r="B176" s="3255" t="s">
        <v>3188</v>
      </c>
      <c r="C176" s="3272"/>
      <c r="D176" s="3272"/>
      <c r="E176" s="3272"/>
      <c r="F176" s="3256">
        <v>0.05</v>
      </c>
      <c r="G176" s="3268"/>
    </row>
    <row r="177" spans="1:7">
      <c r="A177" s="3266" t="s">
        <v>29</v>
      </c>
      <c r="B177" s="3255" t="s">
        <v>3189</v>
      </c>
      <c r="C177" s="3267"/>
      <c r="D177" s="3267"/>
      <c r="E177" s="3267"/>
      <c r="F177" s="3256">
        <v>0.05</v>
      </c>
      <c r="G177" s="3273"/>
    </row>
    <row r="178" spans="1:7">
      <c r="A178" s="3266" t="s">
        <v>29</v>
      </c>
      <c r="B178" s="3255" t="s">
        <v>3190</v>
      </c>
      <c r="C178" s="3267"/>
      <c r="D178" s="3267"/>
      <c r="E178" s="3267"/>
      <c r="F178" s="3256">
        <v>0.05</v>
      </c>
      <c r="G178" s="3273"/>
    </row>
    <row r="179" spans="1:7">
      <c r="A179" s="3266" t="s">
        <v>29</v>
      </c>
      <c r="B179" s="3255" t="s">
        <v>3191</v>
      </c>
      <c r="C179" s="3267"/>
      <c r="D179" s="3267"/>
      <c r="E179" s="3267"/>
      <c r="F179" s="3256">
        <v>0.05</v>
      </c>
      <c r="G179" s="3273"/>
    </row>
    <row r="180" spans="1:7">
      <c r="A180" s="3266" t="s">
        <v>29</v>
      </c>
      <c r="B180" s="3255" t="s">
        <v>3192</v>
      </c>
      <c r="C180" s="3267"/>
      <c r="D180" s="3267"/>
      <c r="E180" s="3267"/>
      <c r="F180" s="3256">
        <v>0.05</v>
      </c>
      <c r="G180" s="3273"/>
    </row>
    <row r="181" spans="1:7">
      <c r="A181" s="3266" t="s">
        <v>29</v>
      </c>
      <c r="B181" s="3255" t="s">
        <v>3193</v>
      </c>
      <c r="C181" s="3267"/>
      <c r="D181" s="3267"/>
      <c r="E181" s="3267"/>
      <c r="F181" s="3256">
        <v>0.05</v>
      </c>
      <c r="G181" s="3273"/>
    </row>
    <row r="182" spans="1:7">
      <c r="A182" s="3266" t="s">
        <v>29</v>
      </c>
      <c r="B182" s="3255" t="s">
        <v>3194</v>
      </c>
      <c r="C182" s="3267"/>
      <c r="D182" s="3267"/>
      <c r="E182" s="3267"/>
      <c r="F182" s="3256">
        <v>0.05</v>
      </c>
      <c r="G182" s="3273"/>
    </row>
    <row r="183" spans="1:7">
      <c r="A183" s="3266" t="s">
        <v>29</v>
      </c>
      <c r="B183" s="3255" t="s">
        <v>3195</v>
      </c>
      <c r="C183" s="3267"/>
      <c r="D183" s="3267"/>
      <c r="E183" s="3267"/>
      <c r="F183" s="3256">
        <v>0.05</v>
      </c>
      <c r="G183" s="3273"/>
    </row>
    <row r="184" spans="1:7">
      <c r="A184" s="3266" t="s">
        <v>29</v>
      </c>
      <c r="B184" s="3255" t="s">
        <v>3196</v>
      </c>
      <c r="C184" s="3267"/>
      <c r="D184" s="3267"/>
      <c r="E184" s="3267"/>
      <c r="F184" s="3256">
        <v>0.05</v>
      </c>
      <c r="G184" s="3273"/>
    </row>
    <row r="185" spans="1:7">
      <c r="A185" s="3266" t="s">
        <v>29</v>
      </c>
      <c r="B185" s="3255" t="s">
        <v>3197</v>
      </c>
      <c r="C185" s="3267"/>
      <c r="D185" s="3267"/>
      <c r="E185" s="3267"/>
      <c r="F185" s="3256">
        <v>0.05</v>
      </c>
      <c r="G185" s="3273"/>
    </row>
    <row r="186" spans="1:7">
      <c r="A186" s="3266" t="s">
        <v>29</v>
      </c>
      <c r="B186" s="3255" t="s">
        <v>3198</v>
      </c>
      <c r="C186" s="3267"/>
      <c r="D186" s="3267"/>
      <c r="E186" s="3267"/>
      <c r="F186" s="3256">
        <v>0.05</v>
      </c>
      <c r="G186" s="3273"/>
    </row>
    <row r="187" spans="1:7">
      <c r="A187" s="3266" t="s">
        <v>29</v>
      </c>
      <c r="B187" s="3255" t="s">
        <v>3199</v>
      </c>
      <c r="C187" s="3267"/>
      <c r="D187" s="3267"/>
      <c r="E187" s="3267"/>
      <c r="F187" s="3256">
        <v>0.05</v>
      </c>
      <c r="G187" s="3273"/>
    </row>
    <row r="188" spans="1:7">
      <c r="A188" s="3266" t="s">
        <v>29</v>
      </c>
      <c r="B188" s="3255" t="s">
        <v>3200</v>
      </c>
      <c r="C188" s="3267"/>
      <c r="D188" s="3267"/>
      <c r="E188" s="3267"/>
      <c r="F188" s="3256">
        <v>0.05</v>
      </c>
      <c r="G188" s="3273"/>
    </row>
    <row r="189" spans="1:7" ht="15" thickBot="1">
      <c r="A189" s="3269" t="s">
        <v>29</v>
      </c>
      <c r="B189" s="3259" t="s">
        <v>3201</v>
      </c>
      <c r="C189" s="3261"/>
      <c r="D189" s="3261"/>
      <c r="E189" s="3261"/>
      <c r="F189" s="3260">
        <v>0.05</v>
      </c>
      <c r="G189" s="3274"/>
    </row>
    <row r="190" spans="1:7">
      <c r="A190" s="3265" t="s">
        <v>304</v>
      </c>
      <c r="B190" s="3251" t="s">
        <v>2857</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2893</v>
      </c>
      <c r="C199" s="3256">
        <v>0.13</v>
      </c>
      <c r="D199" s="3256">
        <v>0.13</v>
      </c>
      <c r="E199" s="3256">
        <v>0.13</v>
      </c>
      <c r="F199" s="3256">
        <v>0.13</v>
      </c>
      <c r="G199" s="3257">
        <v>0.13</v>
      </c>
    </row>
    <row r="200" spans="1:7">
      <c r="A200" s="3266" t="s">
        <v>304</v>
      </c>
      <c r="B200" s="3255" t="s">
        <v>2896</v>
      </c>
      <c r="C200" s="3272"/>
      <c r="D200" s="3272"/>
      <c r="E200" s="3272"/>
      <c r="F200" s="3256">
        <v>0.13</v>
      </c>
      <c r="G200" s="3268"/>
    </row>
    <row r="201" spans="1:7">
      <c r="A201" s="3266" t="s">
        <v>304</v>
      </c>
      <c r="B201" s="3255" t="s">
        <v>2901</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2904</v>
      </c>
      <c r="C203" s="3256">
        <v>0.129</v>
      </c>
      <c r="D203" s="3256">
        <v>0.129</v>
      </c>
      <c r="E203" s="3256">
        <v>0.13</v>
      </c>
      <c r="F203" s="3256">
        <v>0.13</v>
      </c>
      <c r="G203" s="3257">
        <v>0.13</v>
      </c>
    </row>
    <row r="204" spans="1:7">
      <c r="A204" s="3266" t="s">
        <v>304</v>
      </c>
      <c r="B204" s="3255" t="s">
        <v>2907</v>
      </c>
      <c r="C204" s="3256">
        <v>0.129</v>
      </c>
      <c r="D204" s="3256">
        <v>0.129</v>
      </c>
      <c r="E204" s="3256">
        <v>0.123</v>
      </c>
      <c r="F204" s="3256">
        <v>0.13</v>
      </c>
      <c r="G204" s="3257">
        <v>0.13</v>
      </c>
    </row>
    <row r="205" spans="1:7">
      <c r="A205" s="3266" t="s">
        <v>304</v>
      </c>
      <c r="B205" s="3255" t="s">
        <v>2909</v>
      </c>
      <c r="C205" s="3256">
        <v>0.13</v>
      </c>
      <c r="D205" s="3256">
        <v>0.13</v>
      </c>
      <c r="E205" s="3256">
        <v>0.13</v>
      </c>
      <c r="F205" s="3256">
        <v>0.13</v>
      </c>
      <c r="G205" s="3257">
        <v>0.13</v>
      </c>
    </row>
    <row r="206" spans="1:7">
      <c r="A206" s="3266" t="s">
        <v>304</v>
      </c>
      <c r="B206" s="3255" t="s">
        <v>2912</v>
      </c>
      <c r="C206" s="3256">
        <v>0.13</v>
      </c>
      <c r="D206" s="3256">
        <v>0.13</v>
      </c>
      <c r="E206" s="3256">
        <v>0.13</v>
      </c>
      <c r="F206" s="3256">
        <v>0.128</v>
      </c>
      <c r="G206" s="3257">
        <v>0.13</v>
      </c>
    </row>
    <row r="207" spans="1:7">
      <c r="A207" s="3266" t="s">
        <v>304</v>
      </c>
      <c r="B207" s="3255" t="s">
        <v>2914</v>
      </c>
      <c r="C207" s="3256">
        <v>0.13</v>
      </c>
      <c r="D207" s="3256">
        <v>0.13</v>
      </c>
      <c r="E207" s="3256">
        <v>0.13</v>
      </c>
      <c r="F207" s="3256">
        <v>0.13</v>
      </c>
      <c r="G207" s="3257">
        <v>0.13</v>
      </c>
    </row>
    <row r="208" spans="1:7">
      <c r="A208" s="3266" t="s">
        <v>304</v>
      </c>
      <c r="B208" s="3255" t="s">
        <v>2917</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2924</v>
      </c>
      <c r="C210" s="3256">
        <v>0.121</v>
      </c>
      <c r="D210" s="3256">
        <v>0.121</v>
      </c>
      <c r="E210" s="3256">
        <v>0.125</v>
      </c>
      <c r="F210" s="3256">
        <v>0.13</v>
      </c>
      <c r="G210" s="3257">
        <v>0.123</v>
      </c>
    </row>
    <row r="211" spans="1:7">
      <c r="A211" s="3266" t="s">
        <v>304</v>
      </c>
      <c r="B211" s="3255" t="s">
        <v>2927</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2939</v>
      </c>
      <c r="C214" s="3256">
        <v>0.128</v>
      </c>
      <c r="D214" s="3256">
        <v>0.128</v>
      </c>
      <c r="E214" s="3256">
        <v>0.13</v>
      </c>
      <c r="F214" s="3256">
        <v>0.13</v>
      </c>
      <c r="G214" s="3257">
        <v>0.13</v>
      </c>
    </row>
    <row r="215" spans="1:7">
      <c r="A215" s="3266" t="s">
        <v>304</v>
      </c>
      <c r="B215" s="3255" t="s">
        <v>2943</v>
      </c>
      <c r="C215" s="3256">
        <v>0.13</v>
      </c>
      <c r="D215" s="3256">
        <v>0.13</v>
      </c>
      <c r="E215" s="3256">
        <v>0.13</v>
      </c>
      <c r="F215" s="3256">
        <v>0.129</v>
      </c>
      <c r="G215" s="3257">
        <v>0.13</v>
      </c>
    </row>
    <row r="216" spans="1:7">
      <c r="A216" s="3266" t="s">
        <v>304</v>
      </c>
      <c r="B216" s="3255" t="s">
        <v>2950</v>
      </c>
      <c r="C216" s="3256">
        <v>0.13</v>
      </c>
      <c r="D216" s="3256">
        <v>0.13</v>
      </c>
      <c r="E216" s="3256">
        <v>0.13</v>
      </c>
      <c r="F216" s="3256">
        <v>0.13</v>
      </c>
      <c r="G216" s="3257">
        <v>0.13</v>
      </c>
    </row>
    <row r="217" spans="1:7">
      <c r="A217" s="3266" t="s">
        <v>304</v>
      </c>
      <c r="B217" s="3255" t="s">
        <v>2957</v>
      </c>
      <c r="C217" s="3256">
        <v>0.129</v>
      </c>
      <c r="D217" s="3256">
        <v>0.129</v>
      </c>
      <c r="E217" s="3256">
        <v>0.13</v>
      </c>
      <c r="F217" s="3256">
        <v>0.13</v>
      </c>
      <c r="G217" s="3257">
        <v>0.13</v>
      </c>
    </row>
    <row r="218" spans="1:7">
      <c r="A218" s="3266" t="s">
        <v>304</v>
      </c>
      <c r="B218" s="3255" t="s">
        <v>2963</v>
      </c>
      <c r="C218" s="3267"/>
      <c r="D218" s="3267"/>
      <c r="E218" s="3267"/>
      <c r="F218" s="3256">
        <v>0.05</v>
      </c>
      <c r="G218" s="3273"/>
    </row>
    <row r="219" spans="1:7">
      <c r="A219" s="3266" t="s">
        <v>304</v>
      </c>
      <c r="B219" s="3255" t="s">
        <v>2970</v>
      </c>
      <c r="C219" s="3267"/>
      <c r="D219" s="3267"/>
      <c r="E219" s="3267"/>
      <c r="F219" s="3256">
        <v>0.05</v>
      </c>
      <c r="G219" s="3273"/>
    </row>
    <row r="220" spans="1:7">
      <c r="A220" s="3266" t="s">
        <v>304</v>
      </c>
      <c r="B220" s="3255" t="s">
        <v>2976</v>
      </c>
      <c r="C220" s="3267"/>
      <c r="D220" s="3267"/>
      <c r="E220" s="3267"/>
      <c r="F220" s="3256">
        <v>0.05</v>
      </c>
      <c r="G220" s="3273"/>
    </row>
    <row r="221" spans="1:7">
      <c r="A221" s="3266" t="s">
        <v>304</v>
      </c>
      <c r="B221" s="3255" t="s">
        <v>2981</v>
      </c>
      <c r="C221" s="3267"/>
      <c r="D221" s="3267"/>
      <c r="E221" s="3267"/>
      <c r="F221" s="3256">
        <v>0.05</v>
      </c>
      <c r="G221" s="3273"/>
    </row>
    <row r="222" spans="1:7">
      <c r="A222" s="3266" t="s">
        <v>304</v>
      </c>
      <c r="B222" s="3255" t="s">
        <v>2985</v>
      </c>
      <c r="C222" s="3267"/>
      <c r="D222" s="3267"/>
      <c r="E222" s="3267"/>
      <c r="F222" s="3256">
        <v>0.05</v>
      </c>
      <c r="G222" s="3273"/>
    </row>
    <row r="223" spans="1:7">
      <c r="A223" s="3266" t="s">
        <v>304</v>
      </c>
      <c r="B223" s="3255" t="s">
        <v>2990</v>
      </c>
      <c r="C223" s="3267"/>
      <c r="D223" s="3267"/>
      <c r="E223" s="3267"/>
      <c r="F223" s="3256">
        <v>0.05</v>
      </c>
      <c r="G223" s="3273"/>
    </row>
    <row r="224" spans="1:7">
      <c r="A224" s="3266" t="s">
        <v>304</v>
      </c>
      <c r="B224" s="3255" t="s">
        <v>2995</v>
      </c>
      <c r="C224" s="3267"/>
      <c r="D224" s="3267"/>
      <c r="E224" s="3267"/>
      <c r="F224" s="3256">
        <v>0.05</v>
      </c>
      <c r="G224" s="3273"/>
    </row>
    <row r="225" spans="1:7">
      <c r="A225" s="3266" t="s">
        <v>304</v>
      </c>
      <c r="B225" s="3255" t="s">
        <v>3000</v>
      </c>
      <c r="C225" s="3267"/>
      <c r="D225" s="3267"/>
      <c r="E225" s="3267"/>
      <c r="F225" s="3256">
        <v>0.05</v>
      </c>
      <c r="G225" s="3273"/>
    </row>
    <row r="226" spans="1:7">
      <c r="A226" s="3266" t="s">
        <v>304</v>
      </c>
      <c r="B226" s="3255" t="s">
        <v>3202</v>
      </c>
      <c r="C226" s="3267"/>
      <c r="D226" s="3267"/>
      <c r="E226" s="3267"/>
      <c r="F226" s="3256">
        <v>0.05</v>
      </c>
      <c r="G226" s="3273"/>
    </row>
    <row r="227" spans="1:7">
      <c r="A227" s="3266" t="s">
        <v>304</v>
      </c>
      <c r="B227" s="3255" t="s">
        <v>3203</v>
      </c>
      <c r="C227" s="3267"/>
      <c r="D227" s="3267"/>
      <c r="E227" s="3267"/>
      <c r="F227" s="3256">
        <v>0.05</v>
      </c>
      <c r="G227" s="3273"/>
    </row>
    <row r="228" spans="1:7">
      <c r="A228" s="3266" t="s">
        <v>304</v>
      </c>
      <c r="B228" s="3255" t="s">
        <v>3204</v>
      </c>
      <c r="C228" s="3267"/>
      <c r="D228" s="3267"/>
      <c r="E228" s="3267"/>
      <c r="F228" s="3256">
        <v>0.05</v>
      </c>
      <c r="G228" s="3273"/>
    </row>
    <row r="229" spans="1:7">
      <c r="A229" s="3266" t="s">
        <v>304</v>
      </c>
      <c r="B229" s="3255" t="s">
        <v>3205</v>
      </c>
      <c r="C229" s="3267"/>
      <c r="D229" s="3267"/>
      <c r="E229" s="3267"/>
      <c r="F229" s="3256">
        <v>0.05</v>
      </c>
      <c r="G229" s="3273"/>
    </row>
    <row r="230" spans="1:7">
      <c r="A230" s="3266" t="s">
        <v>304</v>
      </c>
      <c r="B230" s="3255" t="s">
        <v>3206</v>
      </c>
      <c r="C230" s="3267"/>
      <c r="D230" s="3267"/>
      <c r="E230" s="3267"/>
      <c r="F230" s="3256">
        <v>0.05</v>
      </c>
      <c r="G230" s="3273"/>
    </row>
    <row r="231" spans="1:7">
      <c r="A231" s="3266" t="s">
        <v>304</v>
      </c>
      <c r="B231" s="3255" t="s">
        <v>3207</v>
      </c>
      <c r="C231" s="3267"/>
      <c r="D231" s="3267"/>
      <c r="E231" s="3267"/>
      <c r="F231" s="3256">
        <v>0.05</v>
      </c>
      <c r="G231" s="3273"/>
    </row>
    <row r="232" spans="1:7">
      <c r="A232" s="3266" t="s">
        <v>304</v>
      </c>
      <c r="B232" s="3255" t="s">
        <v>3208</v>
      </c>
      <c r="C232" s="3267"/>
      <c r="D232" s="3267"/>
      <c r="E232" s="3267"/>
      <c r="F232" s="3256">
        <v>0.05</v>
      </c>
      <c r="G232" s="3273"/>
    </row>
    <row r="233" spans="1:7" ht="15" thickBot="1">
      <c r="A233" s="3269" t="s">
        <v>304</v>
      </c>
      <c r="B233" s="3259" t="s">
        <v>3209</v>
      </c>
      <c r="C233" s="3261"/>
      <c r="D233" s="3261"/>
      <c r="E233" s="3261"/>
      <c r="F233" s="3260">
        <v>0.05</v>
      </c>
      <c r="G233" s="3274"/>
    </row>
    <row r="234" spans="1:7">
      <c r="A234" s="3265" t="s">
        <v>305</v>
      </c>
      <c r="B234" s="3251" t="s">
        <v>2858</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2878</v>
      </c>
      <c r="C238" s="3256">
        <v>0.14899999999999999</v>
      </c>
      <c r="D238" s="3256">
        <v>0.14899999999999999</v>
      </c>
      <c r="E238" s="3256">
        <v>0.15</v>
      </c>
      <c r="F238" s="3256">
        <v>0.15</v>
      </c>
      <c r="G238" s="3257">
        <v>0.15</v>
      </c>
    </row>
    <row r="239" spans="1:7">
      <c r="A239" s="3266" t="s">
        <v>305</v>
      </c>
      <c r="B239" s="3255" t="s">
        <v>2882</v>
      </c>
      <c r="C239" s="3256">
        <v>0.15</v>
      </c>
      <c r="D239" s="3256">
        <v>0.15</v>
      </c>
      <c r="E239" s="3256">
        <v>0.15</v>
      </c>
      <c r="F239" s="3256">
        <v>0.15</v>
      </c>
      <c r="G239" s="3257">
        <v>0.15</v>
      </c>
    </row>
    <row r="240" spans="1:7">
      <c r="A240" s="3266" t="s">
        <v>305</v>
      </c>
      <c r="B240" s="3255" t="s">
        <v>2887</v>
      </c>
      <c r="C240" s="3256">
        <v>0.15</v>
      </c>
      <c r="D240" s="3256">
        <v>0.15</v>
      </c>
      <c r="E240" s="3256">
        <v>0.15</v>
      </c>
      <c r="F240" s="3256">
        <v>0.15</v>
      </c>
      <c r="G240" s="3257">
        <v>0.15</v>
      </c>
    </row>
    <row r="241" spans="1:7">
      <c r="A241" s="3266" t="s">
        <v>305</v>
      </c>
      <c r="B241" s="3255" t="s">
        <v>2891</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2897</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2905</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2910</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2918</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2931</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2940</v>
      </c>
      <c r="C258" s="3256">
        <v>0.14299999999999999</v>
      </c>
      <c r="D258" s="3256">
        <v>0.14299999999999999</v>
      </c>
      <c r="E258" s="3256">
        <v>0.15</v>
      </c>
      <c r="F258" s="3256">
        <v>0.14799999999999999</v>
      </c>
      <c r="G258" s="3257">
        <v>0.14599999999999999</v>
      </c>
    </row>
    <row r="259" spans="1:7">
      <c r="A259" s="3266" t="s">
        <v>305</v>
      </c>
      <c r="B259" s="3255" t="s">
        <v>2944</v>
      </c>
      <c r="C259" s="3256">
        <v>0.14399999999999999</v>
      </c>
      <c r="D259" s="3256">
        <v>0.14399999999999999</v>
      </c>
      <c r="E259" s="3256">
        <v>0.14899999999999999</v>
      </c>
      <c r="F259" s="3256">
        <v>0.14699999999999999</v>
      </c>
      <c r="G259" s="3257">
        <v>0.14599999999999999</v>
      </c>
    </row>
    <row r="260" spans="1:7">
      <c r="A260" s="3266" t="s">
        <v>305</v>
      </c>
      <c r="B260" s="3255" t="s">
        <v>2951</v>
      </c>
      <c r="C260" s="3256">
        <v>0.109</v>
      </c>
      <c r="D260" s="3256">
        <v>0.111</v>
      </c>
      <c r="E260" s="3256">
        <v>0.13100000000000001</v>
      </c>
      <c r="F260" s="3256">
        <v>0.126</v>
      </c>
      <c r="G260" s="3257">
        <v>0.11899999999999999</v>
      </c>
    </row>
    <row r="261" spans="1:7">
      <c r="A261" s="3266" t="s">
        <v>305</v>
      </c>
      <c r="B261" s="3255" t="s">
        <v>2958</v>
      </c>
      <c r="C261" s="3256">
        <v>0.1</v>
      </c>
      <c r="D261" s="3256">
        <v>0.1</v>
      </c>
      <c r="E261" s="3256">
        <v>0.11799999999999999</v>
      </c>
      <c r="F261" s="3256">
        <v>0.108</v>
      </c>
      <c r="G261" s="3257">
        <v>0.107</v>
      </c>
    </row>
    <row r="262" spans="1:7">
      <c r="A262" s="3266" t="s">
        <v>305</v>
      </c>
      <c r="B262" s="3255" t="s">
        <v>2964</v>
      </c>
      <c r="C262" s="3256">
        <v>0.1</v>
      </c>
      <c r="D262" s="3256">
        <v>0.1</v>
      </c>
      <c r="E262" s="3256">
        <v>0.1</v>
      </c>
      <c r="F262" s="3256">
        <v>0.14099999999999999</v>
      </c>
      <c r="G262" s="3257">
        <v>0.1</v>
      </c>
    </row>
    <row r="263" spans="1:7">
      <c r="A263" s="3266" t="s">
        <v>305</v>
      </c>
      <c r="B263" s="3255" t="s">
        <v>2971</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2982</v>
      </c>
      <c r="C265" s="3267"/>
      <c r="D265" s="3267"/>
      <c r="E265" s="3267"/>
      <c r="F265" s="3256">
        <v>0.05</v>
      </c>
      <c r="G265" s="3273"/>
    </row>
    <row r="266" spans="1:7">
      <c r="A266" s="3266" t="s">
        <v>305</v>
      </c>
      <c r="B266" s="3255" t="s">
        <v>2986</v>
      </c>
      <c r="C266" s="3267"/>
      <c r="D266" s="3267"/>
      <c r="E266" s="3267"/>
      <c r="F266" s="3256">
        <v>0.05</v>
      </c>
      <c r="G266" s="3273"/>
    </row>
    <row r="267" spans="1:7">
      <c r="A267" s="3266" t="s">
        <v>305</v>
      </c>
      <c r="B267" s="3255" t="s">
        <v>2991</v>
      </c>
      <c r="C267" s="3267"/>
      <c r="D267" s="3267"/>
      <c r="E267" s="3267"/>
      <c r="F267" s="3256">
        <v>0.05</v>
      </c>
      <c r="G267" s="3273"/>
    </row>
    <row r="268" spans="1:7">
      <c r="A268" s="3266" t="s">
        <v>305</v>
      </c>
      <c r="B268" s="3255" t="s">
        <v>2996</v>
      </c>
      <c r="C268" s="3267"/>
      <c r="D268" s="3267"/>
      <c r="E268" s="3267"/>
      <c r="F268" s="3256">
        <v>0.05</v>
      </c>
      <c r="G268" s="3273"/>
    </row>
    <row r="269" spans="1:7">
      <c r="A269" s="3266" t="s">
        <v>305</v>
      </c>
      <c r="B269" s="3255" t="s">
        <v>3001</v>
      </c>
      <c r="C269" s="3267"/>
      <c r="D269" s="3267"/>
      <c r="E269" s="3267"/>
      <c r="F269" s="3256">
        <v>0.05</v>
      </c>
      <c r="G269" s="3273"/>
    </row>
    <row r="270" spans="1:7">
      <c r="A270" s="3266" t="s">
        <v>305</v>
      </c>
      <c r="B270" s="3255" t="s">
        <v>3006</v>
      </c>
      <c r="C270" s="3267"/>
      <c r="D270" s="3267"/>
      <c r="E270" s="3267"/>
      <c r="F270" s="3256">
        <v>0.05</v>
      </c>
      <c r="G270" s="3273"/>
    </row>
    <row r="271" spans="1:7">
      <c r="A271" s="3266" t="s">
        <v>305</v>
      </c>
      <c r="B271" s="3255" t="s">
        <v>3210</v>
      </c>
      <c r="C271" s="3267"/>
      <c r="D271" s="3267"/>
      <c r="E271" s="3267"/>
      <c r="F271" s="3256">
        <v>0.05</v>
      </c>
      <c r="G271" s="3273"/>
    </row>
    <row r="272" spans="1:7">
      <c r="A272" s="3266" t="s">
        <v>305</v>
      </c>
      <c r="B272" s="3255" t="s">
        <v>3211</v>
      </c>
      <c r="C272" s="3267"/>
      <c r="D272" s="3267"/>
      <c r="E272" s="3267"/>
      <c r="F272" s="3256">
        <v>0.05</v>
      </c>
      <c r="G272" s="3273"/>
    </row>
    <row r="273" spans="1:7">
      <c r="A273" s="3266" t="s">
        <v>305</v>
      </c>
      <c r="B273" s="3255" t="s">
        <v>3212</v>
      </c>
      <c r="C273" s="3267"/>
      <c r="D273" s="3267"/>
      <c r="E273" s="3267"/>
      <c r="F273" s="3256">
        <v>0.05</v>
      </c>
      <c r="G273" s="3273"/>
    </row>
    <row r="274" spans="1:7">
      <c r="A274" s="3266" t="s">
        <v>305</v>
      </c>
      <c r="B274" s="3255" t="s">
        <v>3213</v>
      </c>
      <c r="C274" s="3267"/>
      <c r="D274" s="3267"/>
      <c r="E274" s="3267"/>
      <c r="F274" s="3256">
        <v>0.05</v>
      </c>
      <c r="G274" s="3273"/>
    </row>
    <row r="275" spans="1:7">
      <c r="A275" s="3266" t="s">
        <v>305</v>
      </c>
      <c r="B275" s="3255" t="s">
        <v>3214</v>
      </c>
      <c r="C275" s="3267"/>
      <c r="D275" s="3267"/>
      <c r="E275" s="3267"/>
      <c r="F275" s="3256">
        <v>0.05</v>
      </c>
      <c r="G275" s="3273"/>
    </row>
    <row r="276" spans="1:7" ht="15" thickBot="1">
      <c r="A276" s="3269" t="s">
        <v>305</v>
      </c>
      <c r="B276" s="3259" t="s">
        <v>3215</v>
      </c>
      <c r="C276" s="3261"/>
      <c r="D276" s="3261"/>
      <c r="E276" s="3261"/>
      <c r="F276" s="3260">
        <v>0.05</v>
      </c>
      <c r="G276" s="3274"/>
    </row>
    <row r="277" spans="1:7">
      <c r="A277" s="3265" t="s">
        <v>306</v>
      </c>
      <c r="B277" s="3251" t="s">
        <v>2859</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2871</v>
      </c>
      <c r="C279" s="3256">
        <v>0.15</v>
      </c>
      <c r="D279" s="3256">
        <v>0.15</v>
      </c>
      <c r="E279" s="3256">
        <v>0.15</v>
      </c>
      <c r="F279" s="3256">
        <v>0.15</v>
      </c>
      <c r="G279" s="3257">
        <v>0.15</v>
      </c>
    </row>
    <row r="280" spans="1:7">
      <c r="A280" s="3266" t="s">
        <v>306</v>
      </c>
      <c r="B280" s="3255" t="s">
        <v>2875</v>
      </c>
      <c r="C280" s="3256">
        <v>0.15</v>
      </c>
      <c r="D280" s="3256">
        <v>0.15</v>
      </c>
      <c r="E280" s="3256">
        <v>0.15</v>
      </c>
      <c r="F280" s="3256">
        <v>0.15</v>
      </c>
      <c r="G280" s="3257">
        <v>0.15</v>
      </c>
    </row>
    <row r="281" spans="1:7">
      <c r="A281" s="3266" t="s">
        <v>306</v>
      </c>
      <c r="B281" s="3255" t="s">
        <v>2879</v>
      </c>
      <c r="C281" s="3256">
        <v>0.15</v>
      </c>
      <c r="D281" s="3256">
        <v>0.15</v>
      </c>
      <c r="E281" s="3256">
        <v>0.15</v>
      </c>
      <c r="F281" s="3256">
        <v>0.15</v>
      </c>
      <c r="G281" s="3257">
        <v>0.15</v>
      </c>
    </row>
    <row r="282" spans="1:7">
      <c r="A282" s="3266" t="s">
        <v>306</v>
      </c>
      <c r="B282" s="3255" t="s">
        <v>2883</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2898</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2903</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2913</v>
      </c>
      <c r="C293" s="3256">
        <v>0.15</v>
      </c>
      <c r="D293" s="3256">
        <v>0.15</v>
      </c>
      <c r="E293" s="3256">
        <v>0.15</v>
      </c>
      <c r="F293" s="3256">
        <v>0.14499999999999999</v>
      </c>
      <c r="G293" s="3257">
        <v>0.15</v>
      </c>
    </row>
    <row r="294" spans="1:7">
      <c r="A294" s="3266" t="s">
        <v>306</v>
      </c>
      <c r="B294" s="3255" t="s">
        <v>2915</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2932</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2945</v>
      </c>
      <c r="C302" s="3256">
        <v>0.15</v>
      </c>
      <c r="D302" s="3256">
        <v>0.15</v>
      </c>
      <c r="E302" s="3256">
        <v>0.15</v>
      </c>
      <c r="F302" s="3256">
        <v>0.14699999999999999</v>
      </c>
      <c r="G302" s="3257">
        <v>0.15</v>
      </c>
    </row>
    <row r="303" spans="1:7">
      <c r="A303" s="3266" t="s">
        <v>306</v>
      </c>
      <c r="B303" s="3255" t="s">
        <v>2952</v>
      </c>
      <c r="C303" s="3256">
        <v>0.15</v>
      </c>
      <c r="D303" s="3256">
        <v>0.15</v>
      </c>
      <c r="E303" s="3256">
        <v>0.15</v>
      </c>
      <c r="F303" s="3256">
        <v>0.14199999999999999</v>
      </c>
      <c r="G303" s="3257">
        <v>0.15</v>
      </c>
    </row>
    <row r="304" spans="1:7">
      <c r="A304" s="3266" t="s">
        <v>306</v>
      </c>
      <c r="B304" s="3255" t="s">
        <v>2959</v>
      </c>
      <c r="C304" s="3256">
        <v>0.15</v>
      </c>
      <c r="D304" s="3256">
        <v>0.15</v>
      </c>
      <c r="E304" s="3256">
        <v>0.15</v>
      </c>
      <c r="F304" s="3256">
        <v>0.14499999999999999</v>
      </c>
      <c r="G304" s="3257">
        <v>0.15</v>
      </c>
    </row>
    <row r="305" spans="1:7">
      <c r="A305" s="3266" t="s">
        <v>306</v>
      </c>
      <c r="B305" s="3255" t="s">
        <v>2965</v>
      </c>
      <c r="C305" s="3256">
        <v>0.15</v>
      </c>
      <c r="D305" s="3256">
        <v>0.15</v>
      </c>
      <c r="E305" s="3256">
        <v>0.15</v>
      </c>
      <c r="F305" s="3256">
        <v>0.111</v>
      </c>
      <c r="G305" s="3257">
        <v>0.15</v>
      </c>
    </row>
    <row r="306" spans="1:7">
      <c r="A306" s="3266" t="s">
        <v>306</v>
      </c>
      <c r="B306" s="3255" t="s">
        <v>2972</v>
      </c>
      <c r="C306" s="3256">
        <v>0.15</v>
      </c>
      <c r="D306" s="3256">
        <v>0.15</v>
      </c>
      <c r="E306" s="3256">
        <v>0.15</v>
      </c>
      <c r="F306" s="3256">
        <v>0.126</v>
      </c>
      <c r="G306" s="3257">
        <v>0.15</v>
      </c>
    </row>
    <row r="307" spans="1:7">
      <c r="A307" s="3266" t="s">
        <v>306</v>
      </c>
      <c r="B307" s="3255" t="s">
        <v>2977</v>
      </c>
      <c r="C307" s="3256">
        <v>0.15</v>
      </c>
      <c r="D307" s="3256">
        <v>0.15</v>
      </c>
      <c r="E307" s="3256">
        <v>0.15</v>
      </c>
      <c r="F307" s="3256">
        <v>0.12</v>
      </c>
      <c r="G307" s="3257">
        <v>0.15</v>
      </c>
    </row>
    <row r="308" spans="1:7">
      <c r="A308" s="3266" t="s">
        <v>306</v>
      </c>
      <c r="B308" s="3255" t="s">
        <v>2983</v>
      </c>
      <c r="C308" s="3256">
        <v>0.15</v>
      </c>
      <c r="D308" s="3256">
        <v>0.15</v>
      </c>
      <c r="E308" s="3256">
        <v>0.15</v>
      </c>
      <c r="F308" s="3256">
        <v>0.13</v>
      </c>
      <c r="G308" s="3257">
        <v>0.15</v>
      </c>
    </row>
    <row r="309" spans="1:7">
      <c r="A309" s="3266" t="s">
        <v>306</v>
      </c>
      <c r="B309" s="3255" t="s">
        <v>2987</v>
      </c>
      <c r="C309" s="3256">
        <v>0.15</v>
      </c>
      <c r="D309" s="3256">
        <v>0.15</v>
      </c>
      <c r="E309" s="3256">
        <v>0.15</v>
      </c>
      <c r="F309" s="3256">
        <v>0.14099999999999999</v>
      </c>
      <c r="G309" s="3257">
        <v>0.15</v>
      </c>
    </row>
    <row r="310" spans="1:7">
      <c r="A310" s="3266" t="s">
        <v>306</v>
      </c>
      <c r="B310" s="3255" t="s">
        <v>2992</v>
      </c>
      <c r="C310" s="3256">
        <v>0.15</v>
      </c>
      <c r="D310" s="3256">
        <v>0.15</v>
      </c>
      <c r="E310" s="3256">
        <v>0.15</v>
      </c>
      <c r="F310" s="3256">
        <v>0.15</v>
      </c>
      <c r="G310" s="3257">
        <v>0.15</v>
      </c>
    </row>
    <row r="311" spans="1:7">
      <c r="A311" s="3266" t="s">
        <v>306</v>
      </c>
      <c r="B311" s="3255" t="s">
        <v>2997</v>
      </c>
      <c r="C311" s="3256">
        <v>0.13200000000000001</v>
      </c>
      <c r="D311" s="3256">
        <v>0.13300000000000001</v>
      </c>
      <c r="E311" s="3256">
        <v>0.14499999999999999</v>
      </c>
      <c r="F311" s="3256">
        <v>0.14199999999999999</v>
      </c>
      <c r="G311" s="3257">
        <v>0.14000000000000001</v>
      </c>
    </row>
    <row r="312" spans="1:7">
      <c r="A312" s="3266" t="s">
        <v>306</v>
      </c>
      <c r="B312" s="3255" t="s">
        <v>3002</v>
      </c>
      <c r="C312" s="3256">
        <v>0.13800000000000001</v>
      </c>
      <c r="D312" s="3256">
        <v>0.14000000000000001</v>
      </c>
      <c r="E312" s="3256">
        <v>0.14599999999999999</v>
      </c>
      <c r="F312" s="3256">
        <v>0.14899999999999999</v>
      </c>
      <c r="G312" s="3257">
        <v>0.14199999999999999</v>
      </c>
    </row>
    <row r="313" spans="1:7">
      <c r="A313" s="3266" t="s">
        <v>306</v>
      </c>
      <c r="B313" s="3255" t="s">
        <v>3007</v>
      </c>
      <c r="C313" s="3256">
        <v>0.125</v>
      </c>
      <c r="D313" s="3256">
        <v>0.127</v>
      </c>
      <c r="E313" s="3256">
        <v>0.14399999999999999</v>
      </c>
      <c r="F313" s="3256">
        <v>0.115</v>
      </c>
      <c r="G313" s="3257">
        <v>0.13600000000000001</v>
      </c>
    </row>
    <row r="314" spans="1:7">
      <c r="A314" s="3266" t="s">
        <v>306</v>
      </c>
      <c r="B314" s="3255" t="s">
        <v>3216</v>
      </c>
      <c r="C314" s="3272"/>
      <c r="D314" s="3272"/>
      <c r="E314" s="3272"/>
      <c r="F314" s="3256">
        <v>0.05</v>
      </c>
      <c r="G314" s="3273"/>
    </row>
    <row r="315" spans="1:7">
      <c r="A315" s="3266" t="s">
        <v>306</v>
      </c>
      <c r="B315" s="3255" t="s">
        <v>3217</v>
      </c>
      <c r="C315" s="3272"/>
      <c r="D315" s="3272"/>
      <c r="E315" s="3272"/>
      <c r="F315" s="3256">
        <v>0.05</v>
      </c>
      <c r="G315" s="3273"/>
    </row>
    <row r="316" spans="1:7">
      <c r="A316" s="3266" t="s">
        <v>306</v>
      </c>
      <c r="B316" s="3255" t="s">
        <v>3218</v>
      </c>
      <c r="C316" s="3267"/>
      <c r="D316" s="3267"/>
      <c r="E316" s="3267"/>
      <c r="F316" s="3256">
        <v>0.05</v>
      </c>
      <c r="G316" s="3273"/>
    </row>
    <row r="317" spans="1:7">
      <c r="A317" s="3266" t="s">
        <v>306</v>
      </c>
      <c r="B317" s="3255" t="s">
        <v>3219</v>
      </c>
      <c r="C317" s="3267"/>
      <c r="D317" s="3267"/>
      <c r="E317" s="3267"/>
      <c r="F317" s="3256">
        <v>0.05</v>
      </c>
      <c r="G317" s="3273"/>
    </row>
    <row r="318" spans="1:7">
      <c r="A318" s="3266" t="s">
        <v>306</v>
      </c>
      <c r="B318" s="3255" t="s">
        <v>3220</v>
      </c>
      <c r="C318" s="3267"/>
      <c r="D318" s="3267"/>
      <c r="E318" s="3267"/>
      <c r="F318" s="3256">
        <v>0.05</v>
      </c>
      <c r="G318" s="3273"/>
    </row>
    <row r="319" spans="1:7">
      <c r="A319" s="3266" t="s">
        <v>306</v>
      </c>
      <c r="B319" s="3255" t="s">
        <v>3221</v>
      </c>
      <c r="C319" s="3267"/>
      <c r="D319" s="3267"/>
      <c r="E319" s="3267"/>
      <c r="F319" s="3256">
        <v>0.05</v>
      </c>
      <c r="G319" s="3273"/>
    </row>
    <row r="320" spans="1:7">
      <c r="A320" s="3266" t="s">
        <v>306</v>
      </c>
      <c r="B320" s="3255" t="s">
        <v>3222</v>
      </c>
      <c r="C320" s="3267"/>
      <c r="D320" s="3267"/>
      <c r="E320" s="3267"/>
      <c r="F320" s="3256">
        <v>0.05</v>
      </c>
      <c r="G320" s="3273"/>
    </row>
    <row r="321" spans="1:7">
      <c r="A321" s="3266" t="s">
        <v>306</v>
      </c>
      <c r="B321" s="3255" t="s">
        <v>3223</v>
      </c>
      <c r="C321" s="3267"/>
      <c r="D321" s="3267"/>
      <c r="E321" s="3267"/>
      <c r="F321" s="3256">
        <v>0.05</v>
      </c>
      <c r="G321" s="3273"/>
    </row>
    <row r="322" spans="1:7">
      <c r="A322" s="3266" t="s">
        <v>306</v>
      </c>
      <c r="B322" s="3255" t="s">
        <v>3224</v>
      </c>
      <c r="C322" s="3267"/>
      <c r="D322" s="3267"/>
      <c r="E322" s="3267"/>
      <c r="F322" s="3256">
        <v>0.05</v>
      </c>
      <c r="G322" s="3273"/>
    </row>
    <row r="323" spans="1:7">
      <c r="A323" s="3266" t="s">
        <v>306</v>
      </c>
      <c r="B323" s="3255" t="s">
        <v>3225</v>
      </c>
      <c r="C323" s="3267"/>
      <c r="D323" s="3267"/>
      <c r="E323" s="3267"/>
      <c r="F323" s="3256">
        <v>0.05</v>
      </c>
      <c r="G323" s="3273"/>
    </row>
    <row r="324" spans="1:7">
      <c r="A324" s="3266" t="s">
        <v>306</v>
      </c>
      <c r="B324" s="3255" t="s">
        <v>3226</v>
      </c>
      <c r="C324" s="3267"/>
      <c r="D324" s="3267"/>
      <c r="E324" s="3267"/>
      <c r="F324" s="3256">
        <v>0.05</v>
      </c>
      <c r="G324" s="3273"/>
    </row>
    <row r="325" spans="1:7">
      <c r="A325" s="3266" t="s">
        <v>306</v>
      </c>
      <c r="B325" s="3255" t="s">
        <v>3227</v>
      </c>
      <c r="C325" s="3267"/>
      <c r="D325" s="3267"/>
      <c r="E325" s="3267"/>
      <c r="F325" s="3256">
        <v>0.05</v>
      </c>
      <c r="G325" s="3273"/>
    </row>
    <row r="326" spans="1:7" ht="15" thickBot="1">
      <c r="A326" s="3269" t="s">
        <v>306</v>
      </c>
      <c r="B326" s="3259" t="s">
        <v>3228</v>
      </c>
      <c r="C326" s="3261"/>
      <c r="D326" s="3261"/>
      <c r="E326" s="3261"/>
      <c r="F326" s="3260">
        <v>0.05</v>
      </c>
      <c r="G326" s="3274"/>
    </row>
    <row r="327" spans="1:7">
      <c r="A327" s="3265" t="s">
        <v>307</v>
      </c>
      <c r="B327" s="3251" t="s">
        <v>2860</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2872</v>
      </c>
      <c r="C329" s="3256">
        <v>0.15</v>
      </c>
      <c r="D329" s="3256">
        <v>0.15</v>
      </c>
      <c r="E329" s="3256">
        <v>0.15</v>
      </c>
      <c r="F329" s="3256">
        <v>0.15</v>
      </c>
      <c r="G329" s="3257">
        <v>0.15</v>
      </c>
    </row>
    <row r="330" spans="1:7">
      <c r="A330" s="3266" t="s">
        <v>307</v>
      </c>
      <c r="B330" s="3255" t="s">
        <v>2876</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2884</v>
      </c>
      <c r="C332" s="3256">
        <v>0.15</v>
      </c>
      <c r="D332" s="3256">
        <v>0.15</v>
      </c>
      <c r="E332" s="3256">
        <v>0.15</v>
      </c>
      <c r="F332" s="3256">
        <v>0.15</v>
      </c>
      <c r="G332" s="3257">
        <v>0.15</v>
      </c>
    </row>
    <row r="333" spans="1:7">
      <c r="A333" s="3266" t="s">
        <v>307</v>
      </c>
      <c r="B333" s="3255" t="s">
        <v>2888</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2894</v>
      </c>
      <c r="C336" s="3256">
        <v>0.15</v>
      </c>
      <c r="D336" s="3256">
        <v>0.15</v>
      </c>
      <c r="E336" s="3256">
        <v>0.15</v>
      </c>
      <c r="F336" s="3256">
        <v>0.14199999999999999</v>
      </c>
      <c r="G336" s="3257">
        <v>0.15</v>
      </c>
    </row>
    <row r="337" spans="1:7">
      <c r="A337" s="3266" t="s">
        <v>307</v>
      </c>
      <c r="B337" s="3255" t="s">
        <v>2899</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2906</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2911</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2919</v>
      </c>
      <c r="C345" s="3256">
        <v>0.15</v>
      </c>
      <c r="D345" s="3256">
        <v>0.15</v>
      </c>
      <c r="E345" s="3256">
        <v>0.15</v>
      </c>
      <c r="F345" s="3256">
        <v>0.13800000000000001</v>
      </c>
      <c r="G345" s="3257">
        <v>0.15</v>
      </c>
    </row>
    <row r="346" spans="1:7">
      <c r="A346" s="3266" t="s">
        <v>307</v>
      </c>
      <c r="B346" s="3255" t="s">
        <v>2921</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2928</v>
      </c>
      <c r="C348" s="3256">
        <v>0.15</v>
      </c>
      <c r="D348" s="3256">
        <v>0.15</v>
      </c>
      <c r="E348" s="3256">
        <v>0.15</v>
      </c>
      <c r="F348" s="3256">
        <v>0.14399999999999999</v>
      </c>
      <c r="G348" s="3257">
        <v>0.15</v>
      </c>
    </row>
    <row r="349" spans="1:7">
      <c r="A349" s="3266" t="s">
        <v>307</v>
      </c>
      <c r="B349" s="3255" t="s">
        <v>2933</v>
      </c>
      <c r="C349" s="3256">
        <v>0.15</v>
      </c>
      <c r="D349" s="3256">
        <v>0.15</v>
      </c>
      <c r="E349" s="3256">
        <v>0.15</v>
      </c>
      <c r="F349" s="3256">
        <v>0.15</v>
      </c>
      <c r="G349" s="3257">
        <v>0.15</v>
      </c>
    </row>
    <row r="350" spans="1:7">
      <c r="A350" s="3266" t="s">
        <v>307</v>
      </c>
      <c r="B350" s="3255" t="s">
        <v>2936</v>
      </c>
      <c r="C350" s="3256">
        <v>0.15</v>
      </c>
      <c r="D350" s="3256">
        <v>0.15</v>
      </c>
      <c r="E350" s="3256">
        <v>0.15</v>
      </c>
      <c r="F350" s="3256">
        <v>0.14699999999999999</v>
      </c>
      <c r="G350" s="3257">
        <v>0.15</v>
      </c>
    </row>
    <row r="351" spans="1:7">
      <c r="A351" s="3266" t="s">
        <v>307</v>
      </c>
      <c r="B351" s="3255" t="s">
        <v>2941</v>
      </c>
      <c r="C351" s="3256">
        <v>0.15</v>
      </c>
      <c r="D351" s="3256">
        <v>0.15</v>
      </c>
      <c r="E351" s="3256">
        <v>0.15</v>
      </c>
      <c r="F351" s="3256">
        <v>0.13</v>
      </c>
      <c r="G351" s="3257">
        <v>0.15</v>
      </c>
    </row>
    <row r="352" spans="1:7">
      <c r="A352" s="3266" t="s">
        <v>307</v>
      </c>
      <c r="B352" s="3255" t="s">
        <v>2946</v>
      </c>
      <c r="C352" s="3256">
        <v>0.15</v>
      </c>
      <c r="D352" s="3256">
        <v>0.15</v>
      </c>
      <c r="E352" s="3256">
        <v>0.15</v>
      </c>
      <c r="F352" s="3256">
        <v>0.14599999999999999</v>
      </c>
      <c r="G352" s="3257">
        <v>0.15</v>
      </c>
    </row>
    <row r="353" spans="1:7">
      <c r="A353" s="3266" t="s">
        <v>307</v>
      </c>
      <c r="B353" s="3255" t="s">
        <v>2953</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2966</v>
      </c>
      <c r="C355" s="3256">
        <v>0.15</v>
      </c>
      <c r="D355" s="3256">
        <v>0.15</v>
      </c>
      <c r="E355" s="3256">
        <v>0.15</v>
      </c>
      <c r="F355" s="3256">
        <v>0.15</v>
      </c>
      <c r="G355" s="3257">
        <v>0.15</v>
      </c>
    </row>
    <row r="356" spans="1:7">
      <c r="A356" s="3266" t="s">
        <v>307</v>
      </c>
      <c r="B356" s="3255" t="s">
        <v>2973</v>
      </c>
      <c r="C356" s="3256">
        <v>0.15</v>
      </c>
      <c r="D356" s="3256">
        <v>0.15</v>
      </c>
      <c r="E356" s="3256">
        <v>0.15</v>
      </c>
      <c r="F356" s="3256">
        <v>0.15</v>
      </c>
      <c r="G356" s="3257">
        <v>0.15</v>
      </c>
    </row>
    <row r="357" spans="1:7" ht="15" thickBot="1">
      <c r="A357" s="3269" t="s">
        <v>307</v>
      </c>
      <c r="B357" s="3259" t="s">
        <v>2978</v>
      </c>
      <c r="C357" s="3260">
        <v>0.126</v>
      </c>
      <c r="D357" s="3260">
        <v>0.127</v>
      </c>
      <c r="E357" s="3260">
        <v>0.14299999999999999</v>
      </c>
      <c r="F357" s="3260">
        <v>0.125</v>
      </c>
      <c r="G357" s="3262">
        <v>0.129</v>
      </c>
    </row>
    <row r="358" spans="1:7">
      <c r="A358" s="3265" t="s">
        <v>2847</v>
      </c>
      <c r="B358" s="3251" t="s">
        <v>2861</v>
      </c>
      <c r="C358" s="3252">
        <v>0.15</v>
      </c>
      <c r="D358" s="3252">
        <v>0.15</v>
      </c>
      <c r="E358" s="3252">
        <v>0.15</v>
      </c>
      <c r="F358" s="3252">
        <v>0.15</v>
      </c>
      <c r="G358" s="3253">
        <v>0.15</v>
      </c>
    </row>
    <row r="359" spans="1:7">
      <c r="A359" s="3266" t="s">
        <v>2847</v>
      </c>
      <c r="B359" s="3255" t="s">
        <v>2867</v>
      </c>
      <c r="C359" s="3256">
        <v>0.1</v>
      </c>
      <c r="D359" s="3256">
        <v>0.1</v>
      </c>
      <c r="E359" s="3256">
        <v>0.1</v>
      </c>
      <c r="F359" s="3256">
        <v>0.1</v>
      </c>
      <c r="G359" s="3257">
        <v>0.1</v>
      </c>
    </row>
    <row r="360" spans="1:7">
      <c r="A360" s="3266" t="s">
        <v>2847</v>
      </c>
      <c r="B360" s="3255" t="s">
        <v>2873</v>
      </c>
      <c r="C360" s="3256">
        <v>0.15</v>
      </c>
      <c r="D360" s="3256">
        <v>0.15</v>
      </c>
      <c r="E360" s="3256">
        <v>0.15</v>
      </c>
      <c r="F360" s="3256">
        <v>0.14899999999999999</v>
      </c>
      <c r="G360" s="3257">
        <v>0.15</v>
      </c>
    </row>
    <row r="361" spans="1:7">
      <c r="A361" s="3266" t="s">
        <v>2847</v>
      </c>
      <c r="B361" s="3255" t="s">
        <v>153</v>
      </c>
      <c r="C361" s="3256">
        <v>0.15</v>
      </c>
      <c r="D361" s="3256">
        <v>0.15</v>
      </c>
      <c r="E361" s="3256">
        <v>0.15</v>
      </c>
      <c r="F361" s="3256">
        <v>0.115</v>
      </c>
      <c r="G361" s="3257">
        <v>0.15</v>
      </c>
    </row>
    <row r="362" spans="1:7">
      <c r="A362" s="3266" t="s">
        <v>2847</v>
      </c>
      <c r="B362" s="3255" t="s">
        <v>2880</v>
      </c>
      <c r="C362" s="3256">
        <v>0.15</v>
      </c>
      <c r="D362" s="3256">
        <v>0.15</v>
      </c>
      <c r="E362" s="3256">
        <v>0.15</v>
      </c>
      <c r="F362" s="3256">
        <v>0.106</v>
      </c>
      <c r="G362" s="3257">
        <v>0.15</v>
      </c>
    </row>
    <row r="363" spans="1:7">
      <c r="A363" s="3266" t="s">
        <v>2847</v>
      </c>
      <c r="B363" s="3255" t="s">
        <v>2885</v>
      </c>
      <c r="C363" s="3256">
        <v>0.15</v>
      </c>
      <c r="D363" s="3256">
        <v>0.15</v>
      </c>
      <c r="E363" s="3256">
        <v>0.15</v>
      </c>
      <c r="F363" s="3256">
        <v>0.14699999999999999</v>
      </c>
      <c r="G363" s="3257">
        <v>0.15</v>
      </c>
    </row>
    <row r="364" spans="1:7">
      <c r="A364" s="3266" t="s">
        <v>2847</v>
      </c>
      <c r="B364" s="3255" t="s">
        <v>2889</v>
      </c>
      <c r="C364" s="3256">
        <v>0.15</v>
      </c>
      <c r="D364" s="3256">
        <v>0.15</v>
      </c>
      <c r="E364" s="3256">
        <v>0.15</v>
      </c>
      <c r="F364" s="3256">
        <v>0.14799999999999999</v>
      </c>
      <c r="G364" s="3257">
        <v>0.15</v>
      </c>
    </row>
    <row r="365" spans="1:7">
      <c r="A365" s="3266" t="s">
        <v>2847</v>
      </c>
      <c r="B365" s="3255" t="s">
        <v>200</v>
      </c>
      <c r="C365" s="3256">
        <v>0.15</v>
      </c>
      <c r="D365" s="3256">
        <v>0.15</v>
      </c>
      <c r="E365" s="3256">
        <v>0.15</v>
      </c>
      <c r="F365" s="3256">
        <v>0.15</v>
      </c>
      <c r="G365" s="3257">
        <v>0.15</v>
      </c>
    </row>
    <row r="366" spans="1:7">
      <c r="A366" s="3266" t="s">
        <v>2847</v>
      </c>
      <c r="B366" s="3255" t="s">
        <v>2892</v>
      </c>
      <c r="C366" s="3256">
        <v>0.15</v>
      </c>
      <c r="D366" s="3256">
        <v>0.15</v>
      </c>
      <c r="E366" s="3256">
        <v>0.15</v>
      </c>
      <c r="F366" s="3256">
        <v>0.15</v>
      </c>
      <c r="G366" s="3257">
        <v>0.15</v>
      </c>
    </row>
    <row r="367" spans="1:7">
      <c r="A367" s="3266" t="s">
        <v>2847</v>
      </c>
      <c r="B367" s="3255" t="s">
        <v>2895</v>
      </c>
      <c r="C367" s="3256">
        <v>0.15</v>
      </c>
      <c r="D367" s="3256">
        <v>0.15</v>
      </c>
      <c r="E367" s="3256">
        <v>0.15</v>
      </c>
      <c r="F367" s="3256">
        <v>0.14699999999999999</v>
      </c>
      <c r="G367" s="3257">
        <v>0.15</v>
      </c>
    </row>
    <row r="368" spans="1:7">
      <c r="A368" s="3266" t="s">
        <v>2847</v>
      </c>
      <c r="B368" s="3255" t="s">
        <v>2900</v>
      </c>
      <c r="C368" s="3256">
        <v>0.15</v>
      </c>
      <c r="D368" s="3256">
        <v>0.15</v>
      </c>
      <c r="E368" s="3256">
        <v>0.15</v>
      </c>
      <c r="F368" s="3256">
        <v>0.13600000000000001</v>
      </c>
      <c r="G368" s="3257">
        <v>0.15</v>
      </c>
    </row>
    <row r="369" spans="1:7">
      <c r="A369" s="3266" t="s">
        <v>2847</v>
      </c>
      <c r="B369" s="3255" t="s">
        <v>214</v>
      </c>
      <c r="C369" s="3256">
        <v>0.15</v>
      </c>
      <c r="D369" s="3256">
        <v>0.15</v>
      </c>
      <c r="E369" s="3256">
        <v>0.15</v>
      </c>
      <c r="F369" s="3256">
        <v>0.14399999999999999</v>
      </c>
      <c r="G369" s="3257">
        <v>0.15</v>
      </c>
    </row>
    <row r="370" spans="1:7">
      <c r="A370" s="3266" t="s">
        <v>2847</v>
      </c>
      <c r="B370" s="3255" t="s">
        <v>221</v>
      </c>
      <c r="C370" s="3256">
        <v>0.15</v>
      </c>
      <c r="D370" s="3256">
        <v>0.15</v>
      </c>
      <c r="E370" s="3256">
        <v>0.15</v>
      </c>
      <c r="F370" s="3256">
        <v>0.14599999999999999</v>
      </c>
      <c r="G370" s="3257">
        <v>0.15</v>
      </c>
    </row>
    <row r="371" spans="1:7">
      <c r="A371" s="3266" t="s">
        <v>2847</v>
      </c>
      <c r="B371" s="3255" t="s">
        <v>229</v>
      </c>
      <c r="C371" s="3256">
        <v>0.15</v>
      </c>
      <c r="D371" s="3256">
        <v>0.15</v>
      </c>
      <c r="E371" s="3256">
        <v>0.15</v>
      </c>
      <c r="F371" s="3256">
        <v>0.12</v>
      </c>
      <c r="G371" s="3257">
        <v>0.15</v>
      </c>
    </row>
    <row r="372" spans="1:7">
      <c r="A372" s="3266" t="s">
        <v>2847</v>
      </c>
      <c r="B372" s="3255" t="s">
        <v>2908</v>
      </c>
      <c r="C372" s="3256">
        <v>0.15</v>
      </c>
      <c r="D372" s="3256">
        <v>0.15</v>
      </c>
      <c r="E372" s="3256">
        <v>0.15</v>
      </c>
      <c r="F372" s="3256">
        <v>0.14299999999999999</v>
      </c>
      <c r="G372" s="3257">
        <v>0.15</v>
      </c>
    </row>
    <row r="373" spans="1:7">
      <c r="A373" s="3266" t="s">
        <v>2847</v>
      </c>
      <c r="B373" s="3255" t="s">
        <v>258</v>
      </c>
      <c r="C373" s="3256">
        <v>0.15</v>
      </c>
      <c r="D373" s="3256">
        <v>0.15</v>
      </c>
      <c r="E373" s="3256">
        <v>0.15</v>
      </c>
      <c r="F373" s="3256">
        <v>0.14599999999999999</v>
      </c>
      <c r="G373" s="3257">
        <v>0.15</v>
      </c>
    </row>
    <row r="374" spans="1:7">
      <c r="A374" s="3266" t="s">
        <v>2847</v>
      </c>
      <c r="B374" s="3255" t="s">
        <v>266</v>
      </c>
      <c r="C374" s="3256">
        <v>0.15</v>
      </c>
      <c r="D374" s="3256">
        <v>0.15</v>
      </c>
      <c r="E374" s="3256">
        <v>0.15</v>
      </c>
      <c r="F374" s="3256">
        <v>0.14399999999999999</v>
      </c>
      <c r="G374" s="3257">
        <v>0.15</v>
      </c>
    </row>
    <row r="375" spans="1:7">
      <c r="A375" s="3266" t="s">
        <v>2847</v>
      </c>
      <c r="B375" s="3255" t="s">
        <v>2916</v>
      </c>
      <c r="C375" s="3256">
        <v>0.15</v>
      </c>
      <c r="D375" s="3256">
        <v>0.15</v>
      </c>
      <c r="E375" s="3256">
        <v>0.15</v>
      </c>
      <c r="F375" s="3256">
        <v>0.13</v>
      </c>
      <c r="G375" s="3257">
        <v>0.15</v>
      </c>
    </row>
    <row r="376" spans="1:7">
      <c r="A376" s="3266" t="s">
        <v>2847</v>
      </c>
      <c r="B376" s="3255" t="s">
        <v>277</v>
      </c>
      <c r="C376" s="3256">
        <v>0.15</v>
      </c>
      <c r="D376" s="3256">
        <v>0.15</v>
      </c>
      <c r="E376" s="3256">
        <v>0.15</v>
      </c>
      <c r="F376" s="3256">
        <v>0.14199999999999999</v>
      </c>
      <c r="G376" s="3257">
        <v>0.15</v>
      </c>
    </row>
    <row r="377" spans="1:7" ht="15" thickBot="1">
      <c r="A377" s="3269" t="s">
        <v>2847</v>
      </c>
      <c r="B377" s="3259" t="s">
        <v>2922</v>
      </c>
      <c r="C377" s="3260">
        <v>0.15</v>
      </c>
      <c r="D377" s="3260">
        <v>0.15</v>
      </c>
      <c r="E377" s="3260">
        <v>0.15</v>
      </c>
      <c r="F377" s="3260">
        <v>0.14000000000000001</v>
      </c>
      <c r="G377" s="3262">
        <v>0.15</v>
      </c>
    </row>
    <row r="378" spans="1:7">
      <c r="A378" s="3265" t="s">
        <v>2848</v>
      </c>
      <c r="B378" s="3251" t="s">
        <v>2862</v>
      </c>
      <c r="C378" s="3252">
        <v>0.15</v>
      </c>
      <c r="D378" s="3252">
        <v>0.15</v>
      </c>
      <c r="E378" s="3252">
        <v>0.15</v>
      </c>
      <c r="F378" s="3252">
        <v>0.107</v>
      </c>
      <c r="G378" s="3253">
        <v>0.15</v>
      </c>
    </row>
    <row r="379" spans="1:7">
      <c r="A379" s="3266" t="s">
        <v>2848</v>
      </c>
      <c r="B379" s="3255" t="s">
        <v>2868</v>
      </c>
      <c r="C379" s="3256">
        <v>0.15</v>
      </c>
      <c r="D379" s="3256">
        <v>0.15</v>
      </c>
      <c r="E379" s="3256">
        <v>0.15</v>
      </c>
      <c r="F379" s="3256">
        <v>0.115</v>
      </c>
      <c r="G379" s="3257">
        <v>0.14899999999999999</v>
      </c>
    </row>
    <row r="380" spans="1:7">
      <c r="A380" s="3266" t="s">
        <v>2848</v>
      </c>
      <c r="B380" s="3255" t="s">
        <v>2874</v>
      </c>
      <c r="C380" s="3256">
        <v>0.15</v>
      </c>
      <c r="D380" s="3256">
        <v>0.15</v>
      </c>
      <c r="E380" s="3256">
        <v>0.15</v>
      </c>
      <c r="F380" s="3256">
        <v>0.1</v>
      </c>
      <c r="G380" s="3257">
        <v>0.14799999999999999</v>
      </c>
    </row>
    <row r="381" spans="1:7">
      <c r="A381" s="3266" t="s">
        <v>2848</v>
      </c>
      <c r="B381" s="3255" t="s">
        <v>2877</v>
      </c>
      <c r="C381" s="3256">
        <v>0.15</v>
      </c>
      <c r="D381" s="3256">
        <v>0.15</v>
      </c>
      <c r="E381" s="3256">
        <v>0.15</v>
      </c>
      <c r="F381" s="3256">
        <v>0.126</v>
      </c>
      <c r="G381" s="3257">
        <v>0.15</v>
      </c>
    </row>
    <row r="382" spans="1:7">
      <c r="A382" s="3266" t="s">
        <v>2848</v>
      </c>
      <c r="B382" s="3255" t="s">
        <v>2881</v>
      </c>
      <c r="C382" s="3256">
        <v>0.15</v>
      </c>
      <c r="D382" s="3256">
        <v>0.15</v>
      </c>
      <c r="E382" s="3256">
        <v>0.15</v>
      </c>
      <c r="F382" s="3256">
        <v>0.15</v>
      </c>
      <c r="G382" s="3257">
        <v>0.15</v>
      </c>
    </row>
    <row r="383" spans="1:7">
      <c r="A383" s="3266" t="s">
        <v>2848</v>
      </c>
      <c r="B383" s="3255" t="s">
        <v>2886</v>
      </c>
      <c r="C383" s="3256">
        <v>0.15</v>
      </c>
      <c r="D383" s="3256">
        <v>0.15</v>
      </c>
      <c r="E383" s="3256">
        <v>0.15</v>
      </c>
      <c r="F383" s="3256">
        <v>0.14699999999999999</v>
      </c>
      <c r="G383" s="3257">
        <v>0.15</v>
      </c>
    </row>
    <row r="384" spans="1:7" ht="15" thickBot="1">
      <c r="A384" s="3276" t="s">
        <v>2848</v>
      </c>
      <c r="B384" s="3277" t="s">
        <v>2890</v>
      </c>
      <c r="C384" s="3278">
        <v>0.15</v>
      </c>
      <c r="D384" s="3278">
        <v>0.15</v>
      </c>
      <c r="E384" s="3278">
        <v>0.15</v>
      </c>
      <c r="F384" s="3278">
        <v>0.15</v>
      </c>
      <c r="G384" s="3279">
        <v>0.15</v>
      </c>
    </row>
  </sheetData>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1"/>
  </cols>
  <sheetData>
    <row r="1" spans="1:6">
      <c r="A1" s="3834" t="s">
        <v>3229</v>
      </c>
      <c r="B1" s="3834"/>
      <c r="C1" s="3834"/>
      <c r="D1" s="3834"/>
      <c r="E1" s="3834"/>
      <c r="F1" s="3835"/>
    </row>
    <row r="2" spans="1:6">
      <c r="A2" s="3282" t="s">
        <v>3230</v>
      </c>
      <c r="B2" s="3283"/>
      <c r="C2" s="3283"/>
      <c r="D2" s="3283"/>
      <c r="E2" s="3283"/>
      <c r="F2" s="3283"/>
    </row>
    <row r="3" spans="1:6">
      <c r="A3" s="3282" t="s">
        <v>3231</v>
      </c>
      <c r="B3" s="3283"/>
      <c r="C3" s="3283"/>
      <c r="D3" s="3283"/>
      <c r="E3" s="3283"/>
      <c r="F3" s="3284" t="s">
        <v>3232</v>
      </c>
    </row>
    <row r="4" spans="1:6">
      <c r="A4" s="3285" t="s">
        <v>672</v>
      </c>
      <c r="B4" s="3285" t="s">
        <v>673</v>
      </c>
      <c r="C4" s="3285" t="s">
        <v>21</v>
      </c>
      <c r="D4" s="3285" t="s">
        <v>674</v>
      </c>
      <c r="E4" s="3285" t="s">
        <v>3</v>
      </c>
      <c r="F4" s="3285" t="s">
        <v>3233</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6"/>
  <sheetViews>
    <sheetView topLeftCell="A226" zoomScale="85" zoomScaleNormal="85" workbookViewId="0">
      <selection activeCell="N266" sqref="N266"/>
    </sheetView>
  </sheetViews>
  <sheetFormatPr defaultColWidth="8.88671875" defaultRowHeight="17.55" customHeight="1"/>
  <cols>
    <col min="1" max="1" width="6.77734375" style="3463" customWidth="1"/>
    <col min="2" max="2" width="8.6640625" style="3463" customWidth="1"/>
    <col min="3" max="6" width="12" style="3458" customWidth="1"/>
    <col min="7" max="7" width="43.88671875" style="3458" customWidth="1"/>
    <col min="8" max="10" width="8.88671875" style="3458"/>
    <col min="11" max="11" width="37.77734375" style="3458" customWidth="1"/>
    <col min="12" max="16384" width="8.88671875" style="3458"/>
  </cols>
  <sheetData>
    <row r="1" spans="1:16" ht="17.55" customHeight="1">
      <c r="A1" s="3836" t="s">
        <v>3431</v>
      </c>
      <c r="B1" s="3837"/>
      <c r="C1" s="3837"/>
      <c r="D1" s="3837"/>
      <c r="E1" s="3837"/>
      <c r="F1" s="3837"/>
      <c r="G1" s="3837"/>
      <c r="H1" s="3475"/>
    </row>
    <row r="2" spans="1:16" ht="17.55" customHeight="1">
      <c r="A2" s="3459" t="s">
        <v>3432</v>
      </c>
      <c r="B2" s="3459" t="s">
        <v>3433</v>
      </c>
      <c r="C2" s="3460" t="s">
        <v>3434</v>
      </c>
      <c r="D2" s="3460" t="s">
        <v>3435</v>
      </c>
      <c r="E2" s="3464" t="s">
        <v>3385</v>
      </c>
      <c r="F2" s="3460" t="s">
        <v>3436</v>
      </c>
      <c r="G2" s="3460" t="s">
        <v>3437</v>
      </c>
      <c r="H2" s="3460" t="s">
        <v>3438</v>
      </c>
      <c r="J2" s="3476" t="s">
        <v>4399</v>
      </c>
      <c r="K2" s="3476" t="s">
        <v>4400</v>
      </c>
      <c r="L2" s="3476" t="s">
        <v>4401</v>
      </c>
      <c r="M2" s="3476" t="s">
        <v>4402</v>
      </c>
      <c r="N2" s="3476" t="s">
        <v>4403</v>
      </c>
    </row>
    <row r="3" spans="1:16" ht="17.55" customHeight="1">
      <c r="A3" s="3461">
        <v>1</v>
      </c>
      <c r="B3" s="3461" t="s">
        <v>3439</v>
      </c>
      <c r="C3" s="3462" t="s">
        <v>3440</v>
      </c>
      <c r="D3" s="3462" t="s">
        <v>3441</v>
      </c>
      <c r="E3" s="3462" t="s">
        <v>4241</v>
      </c>
      <c r="F3" s="3462" t="s">
        <v>3442</v>
      </c>
      <c r="G3" s="3462" t="s">
        <v>3443</v>
      </c>
      <c r="H3" s="3465" t="s">
        <v>4397</v>
      </c>
      <c r="I3" s="3480"/>
      <c r="J3" s="3478">
        <f>A3</f>
        <v>1</v>
      </c>
      <c r="K3" s="3479" t="str">
        <f>G3</f>
        <v>平谷区兴谷街道寨笆路8号院1号楼-1层B101</v>
      </c>
      <c r="L3" s="3479">
        <f>E3*$P$3</f>
        <v>10.32</v>
      </c>
      <c r="M3" s="3476">
        <f ca="1">典型户型修正!R24</f>
        <v>2388</v>
      </c>
      <c r="N3" s="3477">
        <f ca="1">ROUND(E3*M3,0)</f>
        <v>24644</v>
      </c>
      <c r="P3" s="3458">
        <v>1</v>
      </c>
    </row>
    <row r="4" spans="1:16" ht="17.55" customHeight="1">
      <c r="A4" s="3461">
        <v>2</v>
      </c>
      <c r="B4" s="3461" t="s">
        <v>3439</v>
      </c>
      <c r="C4" s="3462" t="s">
        <v>3444</v>
      </c>
      <c r="D4" s="3462" t="s">
        <v>3445</v>
      </c>
      <c r="E4" s="3462" t="s">
        <v>4271</v>
      </c>
      <c r="F4" s="3462" t="s">
        <v>3442</v>
      </c>
      <c r="G4" s="3462" t="s">
        <v>3446</v>
      </c>
      <c r="H4" s="3465" t="s">
        <v>4397</v>
      </c>
      <c r="I4" s="3480"/>
      <c r="J4" s="3478">
        <f t="shared" ref="J4:J17" si="0">A4</f>
        <v>2</v>
      </c>
      <c r="K4" s="3479" t="str">
        <f t="shared" ref="K4:K17" si="1">G4</f>
        <v>平谷区兴谷街道寨笆路8号院1号楼-1层B102</v>
      </c>
      <c r="L4" s="3479">
        <f t="shared" ref="L4:L67" si="2">E4*$P$3</f>
        <v>8.1999999999999993</v>
      </c>
      <c r="M4" s="3476">
        <f ca="1">典型户型修正!R25</f>
        <v>2412</v>
      </c>
      <c r="N4" s="3477">
        <f t="shared" ref="N4:N67" ca="1" si="3">ROUND(E4*M4,0)</f>
        <v>19778</v>
      </c>
    </row>
    <row r="5" spans="1:16" ht="17.55" customHeight="1">
      <c r="A5" s="3461">
        <v>3</v>
      </c>
      <c r="B5" s="3461" t="s">
        <v>3439</v>
      </c>
      <c r="C5" s="3462" t="s">
        <v>3447</v>
      </c>
      <c r="D5" s="3462" t="s">
        <v>3448</v>
      </c>
      <c r="E5" s="3462" t="s">
        <v>4295</v>
      </c>
      <c r="F5" s="3462" t="s">
        <v>3442</v>
      </c>
      <c r="G5" s="3462" t="s">
        <v>3449</v>
      </c>
      <c r="H5" s="3465" t="s">
        <v>4391</v>
      </c>
      <c r="I5" s="3480"/>
      <c r="J5" s="3478">
        <f t="shared" si="0"/>
        <v>3</v>
      </c>
      <c r="K5" s="3479" t="str">
        <f t="shared" si="1"/>
        <v>平谷区兴谷街道寨笆路8号院1号楼-1层B103</v>
      </c>
      <c r="L5" s="3479">
        <f t="shared" si="2"/>
        <v>10.63</v>
      </c>
      <c r="M5" s="3476">
        <f ca="1">典型户型修正!R26</f>
        <v>2866</v>
      </c>
      <c r="N5" s="3477">
        <f t="shared" ca="1" si="3"/>
        <v>30466</v>
      </c>
    </row>
    <row r="6" spans="1:16" ht="17.55" customHeight="1">
      <c r="A6" s="3461">
        <v>4</v>
      </c>
      <c r="B6" s="3461" t="s">
        <v>3439</v>
      </c>
      <c r="C6" s="3462" t="s">
        <v>3450</v>
      </c>
      <c r="D6" s="3462" t="s">
        <v>3451</v>
      </c>
      <c r="E6" s="3462" t="s">
        <v>4292</v>
      </c>
      <c r="F6" s="3462" t="s">
        <v>3442</v>
      </c>
      <c r="G6" s="3462" t="s">
        <v>3452</v>
      </c>
      <c r="H6" s="3465" t="s">
        <v>4397</v>
      </c>
      <c r="I6" s="3480"/>
      <c r="J6" s="3478">
        <f t="shared" si="0"/>
        <v>4</v>
      </c>
      <c r="K6" s="3479" t="str">
        <f t="shared" si="1"/>
        <v>平谷区兴谷街道寨笆路8号院1号楼-1层B105</v>
      </c>
      <c r="L6" s="3479">
        <f t="shared" si="2"/>
        <v>10.5</v>
      </c>
      <c r="M6" s="3476">
        <f ca="1">典型户型修正!R27</f>
        <v>2388</v>
      </c>
      <c r="N6" s="3477">
        <f t="shared" ca="1" si="3"/>
        <v>25074</v>
      </c>
    </row>
    <row r="7" spans="1:16" ht="17.55" customHeight="1">
      <c r="A7" s="3461">
        <v>5</v>
      </c>
      <c r="B7" s="3461" t="s">
        <v>3439</v>
      </c>
      <c r="C7" s="3462" t="s">
        <v>3453</v>
      </c>
      <c r="D7" s="3462" t="s">
        <v>3454</v>
      </c>
      <c r="E7" s="3462" t="s">
        <v>4236</v>
      </c>
      <c r="F7" s="3462" t="s">
        <v>3442</v>
      </c>
      <c r="G7" s="3462" t="s">
        <v>3455</v>
      </c>
      <c r="H7" s="3465" t="s">
        <v>4397</v>
      </c>
      <c r="I7" s="3480"/>
      <c r="J7" s="3478">
        <f t="shared" si="0"/>
        <v>5</v>
      </c>
      <c r="K7" s="3479" t="str">
        <f t="shared" si="1"/>
        <v>平谷区兴谷街道寨笆路8号院1号楼-1层B106</v>
      </c>
      <c r="L7" s="3479">
        <f t="shared" si="2"/>
        <v>7.68</v>
      </c>
      <c r="M7" s="3476">
        <f ca="1">典型户型修正!R28</f>
        <v>2412</v>
      </c>
      <c r="N7" s="3477">
        <f t="shared" ca="1" si="3"/>
        <v>18524</v>
      </c>
    </row>
    <row r="8" spans="1:16" ht="17.55" customHeight="1">
      <c r="A8" s="3461">
        <v>6</v>
      </c>
      <c r="B8" s="3461" t="s">
        <v>3439</v>
      </c>
      <c r="C8" s="3462" t="s">
        <v>3456</v>
      </c>
      <c r="D8" s="3462" t="s">
        <v>3457</v>
      </c>
      <c r="E8" s="3462" t="s">
        <v>4237</v>
      </c>
      <c r="F8" s="3462" t="s">
        <v>3442</v>
      </c>
      <c r="G8" s="3462" t="s">
        <v>3458</v>
      </c>
      <c r="H8" s="3465" t="s">
        <v>4397</v>
      </c>
      <c r="I8" s="3480"/>
      <c r="J8" s="3478">
        <f t="shared" si="0"/>
        <v>6</v>
      </c>
      <c r="K8" s="3479" t="str">
        <f t="shared" si="1"/>
        <v>平谷区兴谷街道寨笆路8号院1号楼-1层B107</v>
      </c>
      <c r="L8" s="3479">
        <f t="shared" si="2"/>
        <v>8.31</v>
      </c>
      <c r="M8" s="3476">
        <f ca="1">典型户型修正!R29</f>
        <v>2412</v>
      </c>
      <c r="N8" s="3477">
        <f t="shared" ca="1" si="3"/>
        <v>20044</v>
      </c>
    </row>
    <row r="9" spans="1:16" ht="17.55" customHeight="1">
      <c r="A9" s="3461">
        <v>7</v>
      </c>
      <c r="B9" s="3461" t="s">
        <v>3439</v>
      </c>
      <c r="C9" s="3462" t="s">
        <v>3459</v>
      </c>
      <c r="D9" s="3462" t="s">
        <v>3460</v>
      </c>
      <c r="E9" s="3462" t="s">
        <v>4308</v>
      </c>
      <c r="F9" s="3462" t="s">
        <v>3442</v>
      </c>
      <c r="G9" s="3462" t="s">
        <v>3461</v>
      </c>
      <c r="H9" s="3465" t="s">
        <v>4397</v>
      </c>
      <c r="I9" s="3480"/>
      <c r="J9" s="3478">
        <f t="shared" si="0"/>
        <v>7</v>
      </c>
      <c r="K9" s="3479" t="str">
        <f t="shared" si="1"/>
        <v>平谷区兴谷街道寨笆路8号院1号楼-1层B108</v>
      </c>
      <c r="L9" s="3479">
        <f t="shared" si="2"/>
        <v>10.6</v>
      </c>
      <c r="M9" s="3476">
        <f ca="1">典型户型修正!R30</f>
        <v>2388</v>
      </c>
      <c r="N9" s="3477">
        <f t="shared" ca="1" si="3"/>
        <v>25313</v>
      </c>
    </row>
    <row r="10" spans="1:16" ht="17.55" customHeight="1">
      <c r="A10" s="3461">
        <v>8</v>
      </c>
      <c r="B10" s="3461" t="s">
        <v>3439</v>
      </c>
      <c r="C10" s="3462" t="s">
        <v>3462</v>
      </c>
      <c r="D10" s="3462" t="s">
        <v>3463</v>
      </c>
      <c r="E10" s="3462" t="s">
        <v>4235</v>
      </c>
      <c r="F10" s="3462" t="s">
        <v>3442</v>
      </c>
      <c r="G10" s="3462" t="s">
        <v>3464</v>
      </c>
      <c r="H10" s="3465" t="s">
        <v>4397</v>
      </c>
      <c r="I10" s="3480"/>
      <c r="J10" s="3478">
        <f t="shared" si="0"/>
        <v>8</v>
      </c>
      <c r="K10" s="3479" t="str">
        <f t="shared" si="1"/>
        <v>平谷区兴谷街道寨笆路8号院1号楼-1层B109</v>
      </c>
      <c r="L10" s="3479">
        <f t="shared" si="2"/>
        <v>10.6</v>
      </c>
      <c r="M10" s="3476">
        <f ca="1">典型户型修正!R31</f>
        <v>2388</v>
      </c>
      <c r="N10" s="3477">
        <f t="shared" ca="1" si="3"/>
        <v>25313</v>
      </c>
    </row>
    <row r="11" spans="1:16" ht="17.55" customHeight="1">
      <c r="A11" s="3461">
        <v>9</v>
      </c>
      <c r="B11" s="3461" t="s">
        <v>3439</v>
      </c>
      <c r="C11" s="3462" t="s">
        <v>3465</v>
      </c>
      <c r="D11" s="3462" t="s">
        <v>3466</v>
      </c>
      <c r="E11" s="3462" t="s">
        <v>4235</v>
      </c>
      <c r="F11" s="3462" t="s">
        <v>3442</v>
      </c>
      <c r="G11" s="3462" t="s">
        <v>3467</v>
      </c>
      <c r="H11" s="3465" t="s">
        <v>4397</v>
      </c>
      <c r="I11" s="3480"/>
      <c r="J11" s="3478">
        <f t="shared" si="0"/>
        <v>9</v>
      </c>
      <c r="K11" s="3479" t="str">
        <f t="shared" si="1"/>
        <v>平谷区兴谷街道寨笆路8号院1号楼-1层B110</v>
      </c>
      <c r="L11" s="3479">
        <f t="shared" si="2"/>
        <v>10.6</v>
      </c>
      <c r="M11" s="3476">
        <f ca="1">典型户型修正!R32</f>
        <v>2388</v>
      </c>
      <c r="N11" s="3477">
        <f t="shared" ca="1" si="3"/>
        <v>25313</v>
      </c>
    </row>
    <row r="12" spans="1:16" ht="17.55" customHeight="1">
      <c r="A12" s="3461">
        <v>10</v>
      </c>
      <c r="B12" s="3461" t="s">
        <v>3439</v>
      </c>
      <c r="C12" s="3462" t="s">
        <v>3468</v>
      </c>
      <c r="D12" s="3462" t="s">
        <v>3469</v>
      </c>
      <c r="E12" s="3462" t="s">
        <v>4314</v>
      </c>
      <c r="F12" s="3462" t="s">
        <v>3442</v>
      </c>
      <c r="G12" s="3462" t="s">
        <v>3470</v>
      </c>
      <c r="H12" s="3465" t="s">
        <v>4397</v>
      </c>
      <c r="I12" s="3480"/>
      <c r="J12" s="3478">
        <f t="shared" si="0"/>
        <v>10</v>
      </c>
      <c r="K12" s="3479" t="str">
        <f t="shared" si="1"/>
        <v>平谷区兴谷街道寨笆路8号院1号楼-1层B111</v>
      </c>
      <c r="L12" s="3479">
        <f t="shared" si="2"/>
        <v>10.6</v>
      </c>
      <c r="M12" s="3476">
        <f ca="1">典型户型修正!R33</f>
        <v>2388</v>
      </c>
      <c r="N12" s="3477">
        <f t="shared" ca="1" si="3"/>
        <v>25313</v>
      </c>
    </row>
    <row r="13" spans="1:16" ht="17.55" customHeight="1">
      <c r="A13" s="3461">
        <v>11</v>
      </c>
      <c r="B13" s="3461" t="s">
        <v>3439</v>
      </c>
      <c r="C13" s="3462" t="s">
        <v>3471</v>
      </c>
      <c r="D13" s="3462" t="s">
        <v>3472</v>
      </c>
      <c r="E13" s="3462" t="s">
        <v>4237</v>
      </c>
      <c r="F13" s="3462" t="s">
        <v>3442</v>
      </c>
      <c r="G13" s="3462" t="s">
        <v>3473</v>
      </c>
      <c r="H13" s="3465" t="s">
        <v>4397</v>
      </c>
      <c r="I13" s="3480"/>
      <c r="J13" s="3478">
        <f t="shared" si="0"/>
        <v>11</v>
      </c>
      <c r="K13" s="3479" t="str">
        <f t="shared" si="1"/>
        <v>平谷区兴谷街道寨笆路8号院1号楼-1层B112</v>
      </c>
      <c r="L13" s="3479">
        <f t="shared" si="2"/>
        <v>8.31</v>
      </c>
      <c r="M13" s="3476">
        <f ca="1">典型户型修正!R34</f>
        <v>2412</v>
      </c>
      <c r="N13" s="3477">
        <f t="shared" ca="1" si="3"/>
        <v>20044</v>
      </c>
    </row>
    <row r="14" spans="1:16" ht="17.55" customHeight="1">
      <c r="A14" s="3461">
        <v>12</v>
      </c>
      <c r="B14" s="3461" t="s">
        <v>3439</v>
      </c>
      <c r="C14" s="3462" t="s">
        <v>3474</v>
      </c>
      <c r="D14" s="3462" t="s">
        <v>3475</v>
      </c>
      <c r="E14" s="3462" t="s">
        <v>4315</v>
      </c>
      <c r="F14" s="3462" t="s">
        <v>3442</v>
      </c>
      <c r="G14" s="3462" t="s">
        <v>3476</v>
      </c>
      <c r="H14" s="3465" t="s">
        <v>4397</v>
      </c>
      <c r="I14" s="3480"/>
      <c r="J14" s="3478">
        <f t="shared" si="0"/>
        <v>12</v>
      </c>
      <c r="K14" s="3479" t="str">
        <f t="shared" si="1"/>
        <v>平谷区兴谷街道寨笆路8号院1号楼-1层B113</v>
      </c>
      <c r="L14" s="3479">
        <f t="shared" si="2"/>
        <v>7.68</v>
      </c>
      <c r="M14" s="3476">
        <f ca="1">典型户型修正!R35</f>
        <v>2412</v>
      </c>
      <c r="N14" s="3477">
        <f t="shared" ca="1" si="3"/>
        <v>18524</v>
      </c>
    </row>
    <row r="15" spans="1:16" ht="17.55" customHeight="1">
      <c r="A15" s="3461">
        <v>13</v>
      </c>
      <c r="B15" s="3461" t="s">
        <v>3439</v>
      </c>
      <c r="C15" s="3462" t="s">
        <v>3477</v>
      </c>
      <c r="D15" s="3462" t="s">
        <v>3478</v>
      </c>
      <c r="E15" s="3462" t="s">
        <v>4238</v>
      </c>
      <c r="F15" s="3462" t="s">
        <v>3442</v>
      </c>
      <c r="G15" s="3462" t="s">
        <v>3479</v>
      </c>
      <c r="H15" s="3465" t="s">
        <v>4397</v>
      </c>
      <c r="I15" s="3480"/>
      <c r="J15" s="3478">
        <f t="shared" si="0"/>
        <v>13</v>
      </c>
      <c r="K15" s="3479" t="str">
        <f t="shared" si="1"/>
        <v>平谷区兴谷街道寨笆路8号院1号楼-1层B114</v>
      </c>
      <c r="L15" s="3479">
        <f t="shared" si="2"/>
        <v>6.43</v>
      </c>
      <c r="M15" s="3476">
        <f ca="1">典型户型修正!R36</f>
        <v>2412</v>
      </c>
      <c r="N15" s="3477">
        <f t="shared" ca="1" si="3"/>
        <v>15509</v>
      </c>
    </row>
    <row r="16" spans="1:16" ht="17.55" customHeight="1">
      <c r="A16" s="3461">
        <v>14</v>
      </c>
      <c r="B16" s="3461" t="s">
        <v>3439</v>
      </c>
      <c r="C16" s="3462" t="s">
        <v>3480</v>
      </c>
      <c r="D16" s="3462" t="s">
        <v>3481</v>
      </c>
      <c r="E16" s="3462" t="s">
        <v>4239</v>
      </c>
      <c r="F16" s="3462" t="s">
        <v>3442</v>
      </c>
      <c r="G16" s="3462" t="s">
        <v>3482</v>
      </c>
      <c r="H16" s="3465" t="s">
        <v>4397</v>
      </c>
      <c r="I16" s="3480"/>
      <c r="J16" s="3478">
        <f t="shared" si="0"/>
        <v>14</v>
      </c>
      <c r="K16" s="3479" t="str">
        <f t="shared" si="1"/>
        <v>平谷区兴谷街道寨笆路8号院1号楼-1层B115</v>
      </c>
      <c r="L16" s="3479">
        <f t="shared" si="2"/>
        <v>4.4000000000000004</v>
      </c>
      <c r="M16" s="3476">
        <f ca="1">典型户型修正!R37</f>
        <v>2436</v>
      </c>
      <c r="N16" s="3477">
        <f t="shared" ca="1" si="3"/>
        <v>10718</v>
      </c>
    </row>
    <row r="17" spans="1:14" ht="17.55" customHeight="1">
      <c r="A17" s="3461">
        <v>15</v>
      </c>
      <c r="B17" s="3461" t="s">
        <v>3439</v>
      </c>
      <c r="C17" s="3462" t="s">
        <v>3483</v>
      </c>
      <c r="D17" s="3462" t="s">
        <v>3484</v>
      </c>
      <c r="E17" s="3462" t="s">
        <v>4240</v>
      </c>
      <c r="F17" s="3462" t="s">
        <v>3442</v>
      </c>
      <c r="G17" s="3462" t="s">
        <v>3485</v>
      </c>
      <c r="H17" s="3465" t="s">
        <v>4391</v>
      </c>
      <c r="I17" s="3480"/>
      <c r="J17" s="3478">
        <f t="shared" si="0"/>
        <v>15</v>
      </c>
      <c r="K17" s="3479" t="str">
        <f t="shared" si="1"/>
        <v>平谷区兴谷街道寨笆路8号院1号楼-1层B116</v>
      </c>
      <c r="L17" s="3479">
        <f t="shared" si="2"/>
        <v>10.56</v>
      </c>
      <c r="M17" s="3476">
        <f ca="1">典型户型修正!R38</f>
        <v>2866</v>
      </c>
      <c r="N17" s="3477">
        <f t="shared" ca="1" si="3"/>
        <v>30265</v>
      </c>
    </row>
    <row r="18" spans="1:14" ht="17.55" customHeight="1">
      <c r="A18" s="3461">
        <v>16</v>
      </c>
      <c r="B18" s="3461" t="s">
        <v>3439</v>
      </c>
      <c r="C18" s="3462" t="s">
        <v>3486</v>
      </c>
      <c r="D18" s="3462" t="s">
        <v>3487</v>
      </c>
      <c r="E18" s="3462" t="s">
        <v>4239</v>
      </c>
      <c r="F18" s="3462" t="s">
        <v>3442</v>
      </c>
      <c r="G18" s="3462" t="s">
        <v>3488</v>
      </c>
      <c r="H18" s="3465" t="s">
        <v>4397</v>
      </c>
      <c r="I18" s="3480"/>
      <c r="J18" s="3478">
        <f t="shared" ref="J18:J81" si="4">A18</f>
        <v>16</v>
      </c>
      <c r="K18" s="3479" t="str">
        <f t="shared" ref="K18:K81" si="5">G18</f>
        <v>平谷区兴谷街道寨笆路8号院1号楼-1层B121</v>
      </c>
      <c r="L18" s="3479">
        <f t="shared" si="2"/>
        <v>4.4000000000000004</v>
      </c>
      <c r="M18" s="3476">
        <f ca="1">典型户型修正!R39</f>
        <v>2436</v>
      </c>
      <c r="N18" s="3477">
        <f t="shared" ca="1" si="3"/>
        <v>10718</v>
      </c>
    </row>
    <row r="19" spans="1:14" ht="17.55" customHeight="1">
      <c r="A19" s="3461">
        <v>17</v>
      </c>
      <c r="B19" s="3461" t="s">
        <v>3439</v>
      </c>
      <c r="C19" s="3462" t="s">
        <v>3489</v>
      </c>
      <c r="D19" s="3462" t="s">
        <v>3490</v>
      </c>
      <c r="E19" s="3462" t="s">
        <v>4238</v>
      </c>
      <c r="F19" s="3462" t="s">
        <v>3442</v>
      </c>
      <c r="G19" s="3462" t="s">
        <v>3491</v>
      </c>
      <c r="H19" s="3465" t="s">
        <v>4397</v>
      </c>
      <c r="I19" s="3480"/>
      <c r="J19" s="3478">
        <f t="shared" si="4"/>
        <v>17</v>
      </c>
      <c r="K19" s="3479" t="str">
        <f t="shared" si="5"/>
        <v>平谷区兴谷街道寨笆路8号院1号楼-1层B122</v>
      </c>
      <c r="L19" s="3479">
        <f t="shared" si="2"/>
        <v>6.43</v>
      </c>
      <c r="M19" s="3476">
        <f ca="1">典型户型修正!R40</f>
        <v>2412</v>
      </c>
      <c r="N19" s="3477">
        <f t="shared" ca="1" si="3"/>
        <v>15509</v>
      </c>
    </row>
    <row r="20" spans="1:14" ht="17.55" customHeight="1">
      <c r="A20" s="3461">
        <v>18</v>
      </c>
      <c r="B20" s="3461" t="s">
        <v>3439</v>
      </c>
      <c r="C20" s="3462" t="s">
        <v>3492</v>
      </c>
      <c r="D20" s="3462" t="s">
        <v>3493</v>
      </c>
      <c r="E20" s="3462" t="s">
        <v>4235</v>
      </c>
      <c r="F20" s="3462" t="s">
        <v>3442</v>
      </c>
      <c r="G20" s="3462" t="s">
        <v>3494</v>
      </c>
      <c r="H20" s="3465" t="s">
        <v>4397</v>
      </c>
      <c r="I20" s="3480"/>
      <c r="J20" s="3478">
        <f t="shared" si="4"/>
        <v>18</v>
      </c>
      <c r="K20" s="3479" t="str">
        <f t="shared" si="5"/>
        <v>平谷区兴谷街道寨笆路8号院1号楼-1层B123</v>
      </c>
      <c r="L20" s="3479">
        <f t="shared" si="2"/>
        <v>10.6</v>
      </c>
      <c r="M20" s="3476">
        <f ca="1">典型户型修正!R41</f>
        <v>2388</v>
      </c>
      <c r="N20" s="3477">
        <f t="shared" ca="1" si="3"/>
        <v>25313</v>
      </c>
    </row>
    <row r="21" spans="1:14" ht="17.55" customHeight="1">
      <c r="A21" s="3461">
        <v>19</v>
      </c>
      <c r="B21" s="3461" t="s">
        <v>3439</v>
      </c>
      <c r="C21" s="3462" t="s">
        <v>3495</v>
      </c>
      <c r="D21" s="3462" t="s">
        <v>3496</v>
      </c>
      <c r="E21" s="3462" t="s">
        <v>4235</v>
      </c>
      <c r="F21" s="3462" t="s">
        <v>3442</v>
      </c>
      <c r="G21" s="3462" t="s">
        <v>3497</v>
      </c>
      <c r="H21" s="3465" t="s">
        <v>4397</v>
      </c>
      <c r="I21" s="3480"/>
      <c r="J21" s="3478">
        <f t="shared" si="4"/>
        <v>19</v>
      </c>
      <c r="K21" s="3479" t="str">
        <f t="shared" si="5"/>
        <v>平谷区兴谷街道寨笆路8号院1号楼-1层B124</v>
      </c>
      <c r="L21" s="3479">
        <f t="shared" si="2"/>
        <v>10.6</v>
      </c>
      <c r="M21" s="3476">
        <f ca="1">典型户型修正!R42</f>
        <v>2388</v>
      </c>
      <c r="N21" s="3477">
        <f t="shared" ca="1" si="3"/>
        <v>25313</v>
      </c>
    </row>
    <row r="22" spans="1:14" ht="17.55" customHeight="1">
      <c r="A22" s="3461">
        <v>20</v>
      </c>
      <c r="B22" s="3461" t="s">
        <v>3439</v>
      </c>
      <c r="C22" s="3462" t="s">
        <v>3498</v>
      </c>
      <c r="D22" s="3462" t="s">
        <v>3499</v>
      </c>
      <c r="E22" s="3462" t="s">
        <v>4235</v>
      </c>
      <c r="F22" s="3462" t="s">
        <v>3442</v>
      </c>
      <c r="G22" s="3462" t="s">
        <v>3500</v>
      </c>
      <c r="H22" s="3465" t="s">
        <v>4397</v>
      </c>
      <c r="I22" s="3480"/>
      <c r="J22" s="3478">
        <f t="shared" si="4"/>
        <v>20</v>
      </c>
      <c r="K22" s="3479" t="str">
        <f t="shared" si="5"/>
        <v>平谷区兴谷街道寨笆路8号院1号楼-1层B125</v>
      </c>
      <c r="L22" s="3479">
        <f t="shared" si="2"/>
        <v>10.6</v>
      </c>
      <c r="M22" s="3476">
        <f ca="1">典型户型修正!R43</f>
        <v>2388</v>
      </c>
      <c r="N22" s="3477">
        <f t="shared" ca="1" si="3"/>
        <v>25313</v>
      </c>
    </row>
    <row r="23" spans="1:14" ht="17.55" customHeight="1">
      <c r="A23" s="3461">
        <v>21</v>
      </c>
      <c r="B23" s="3461" t="s">
        <v>3439</v>
      </c>
      <c r="C23" s="3462" t="s">
        <v>3501</v>
      </c>
      <c r="D23" s="3462" t="s">
        <v>3502</v>
      </c>
      <c r="E23" s="3462" t="s">
        <v>4235</v>
      </c>
      <c r="F23" s="3462" t="s">
        <v>3442</v>
      </c>
      <c r="G23" s="3462" t="s">
        <v>3503</v>
      </c>
      <c r="H23" s="3465" t="s">
        <v>4397</v>
      </c>
      <c r="I23" s="3480"/>
      <c r="J23" s="3478">
        <f t="shared" si="4"/>
        <v>21</v>
      </c>
      <c r="K23" s="3479" t="str">
        <f t="shared" si="5"/>
        <v>平谷区兴谷街道寨笆路8号院1号楼-1层B126</v>
      </c>
      <c r="L23" s="3479">
        <f t="shared" si="2"/>
        <v>10.6</v>
      </c>
      <c r="M23" s="3476">
        <f ca="1">典型户型修正!R44</f>
        <v>2388</v>
      </c>
      <c r="N23" s="3477">
        <f t="shared" ca="1" si="3"/>
        <v>25313</v>
      </c>
    </row>
    <row r="24" spans="1:14" ht="17.55" customHeight="1">
      <c r="A24" s="3461">
        <v>22</v>
      </c>
      <c r="B24" s="3461" t="s">
        <v>3439</v>
      </c>
      <c r="C24" s="3462" t="s">
        <v>3504</v>
      </c>
      <c r="D24" s="3462" t="s">
        <v>3505</v>
      </c>
      <c r="E24" s="3462" t="s">
        <v>4237</v>
      </c>
      <c r="F24" s="3462" t="s">
        <v>3442</v>
      </c>
      <c r="G24" s="3462" t="s">
        <v>3506</v>
      </c>
      <c r="H24" s="3465" t="s">
        <v>4397</v>
      </c>
      <c r="I24" s="3480"/>
      <c r="J24" s="3478">
        <f t="shared" si="4"/>
        <v>22</v>
      </c>
      <c r="K24" s="3479" t="str">
        <f t="shared" si="5"/>
        <v>平谷区兴谷街道寨笆路8号院1号楼-1层B127</v>
      </c>
      <c r="L24" s="3479">
        <f t="shared" si="2"/>
        <v>8.31</v>
      </c>
      <c r="M24" s="3476">
        <f ca="1">典型户型修正!R45</f>
        <v>2412</v>
      </c>
      <c r="N24" s="3477">
        <f t="shared" ca="1" si="3"/>
        <v>20044</v>
      </c>
    </row>
    <row r="25" spans="1:14" ht="17.55" customHeight="1">
      <c r="A25" s="3461">
        <v>23</v>
      </c>
      <c r="B25" s="3461" t="s">
        <v>3439</v>
      </c>
      <c r="C25" s="3462" t="s">
        <v>3507</v>
      </c>
      <c r="D25" s="3462" t="s">
        <v>3508</v>
      </c>
      <c r="E25" s="3462" t="s">
        <v>4276</v>
      </c>
      <c r="F25" s="3462" t="s">
        <v>3442</v>
      </c>
      <c r="G25" s="3462" t="s">
        <v>3509</v>
      </c>
      <c r="H25" s="3465" t="s">
        <v>4397</v>
      </c>
      <c r="I25" s="3480"/>
      <c r="J25" s="3478">
        <f t="shared" si="4"/>
        <v>23</v>
      </c>
      <c r="K25" s="3479" t="str">
        <f t="shared" si="5"/>
        <v>平谷区兴谷街道寨笆路8号院1号楼-1层B128</v>
      </c>
      <c r="L25" s="3479">
        <f t="shared" si="2"/>
        <v>7.58</v>
      </c>
      <c r="M25" s="3476">
        <f ca="1">典型户型修正!R46</f>
        <v>2412</v>
      </c>
      <c r="N25" s="3477">
        <f t="shared" ca="1" si="3"/>
        <v>18283</v>
      </c>
    </row>
    <row r="26" spans="1:14" ht="17.55" customHeight="1">
      <c r="A26" s="3461">
        <v>24</v>
      </c>
      <c r="B26" s="3461" t="s">
        <v>3439</v>
      </c>
      <c r="C26" s="3462" t="s">
        <v>3510</v>
      </c>
      <c r="D26" s="3462" t="s">
        <v>3511</v>
      </c>
      <c r="E26" s="3462" t="s">
        <v>4345</v>
      </c>
      <c r="F26" s="3462" t="s">
        <v>3442</v>
      </c>
      <c r="G26" s="3462" t="s">
        <v>3512</v>
      </c>
      <c r="H26" s="3465" t="s">
        <v>4397</v>
      </c>
      <c r="I26" s="3480"/>
      <c r="J26" s="3478">
        <f t="shared" si="4"/>
        <v>24</v>
      </c>
      <c r="K26" s="3479" t="str">
        <f t="shared" si="5"/>
        <v>平谷区兴谷街道寨笆路8号院1号楼-1层B129</v>
      </c>
      <c r="L26" s="3479">
        <f t="shared" si="2"/>
        <v>10.5</v>
      </c>
      <c r="M26" s="3476">
        <f ca="1">典型户型修正!R47</f>
        <v>2388</v>
      </c>
      <c r="N26" s="3477">
        <f t="shared" ca="1" si="3"/>
        <v>25074</v>
      </c>
    </row>
    <row r="27" spans="1:14" ht="17.55" customHeight="1">
      <c r="A27" s="3461">
        <v>25</v>
      </c>
      <c r="B27" s="3461" t="s">
        <v>3439</v>
      </c>
      <c r="C27" s="3462" t="s">
        <v>3513</v>
      </c>
      <c r="D27" s="3462" t="s">
        <v>3514</v>
      </c>
      <c r="E27" s="3462" t="s">
        <v>4316</v>
      </c>
      <c r="F27" s="3462" t="s">
        <v>3442</v>
      </c>
      <c r="G27" s="3462" t="s">
        <v>3515</v>
      </c>
      <c r="H27" s="3465" t="s">
        <v>4391</v>
      </c>
      <c r="I27" s="3480"/>
      <c r="J27" s="3478">
        <f t="shared" si="4"/>
        <v>25</v>
      </c>
      <c r="K27" s="3479" t="str">
        <f t="shared" si="5"/>
        <v>平谷区兴谷街道寨笆路8号院1号楼-1层B130</v>
      </c>
      <c r="L27" s="3479">
        <f t="shared" si="2"/>
        <v>10.7</v>
      </c>
      <c r="M27" s="3476">
        <f ca="1">典型户型修正!R48</f>
        <v>2866</v>
      </c>
      <c r="N27" s="3477">
        <f t="shared" ca="1" si="3"/>
        <v>30666</v>
      </c>
    </row>
    <row r="28" spans="1:14" ht="17.55" customHeight="1">
      <c r="A28" s="3461">
        <v>26</v>
      </c>
      <c r="B28" s="3461" t="s">
        <v>3439</v>
      </c>
      <c r="C28" s="3462" t="s">
        <v>3516</v>
      </c>
      <c r="D28" s="3462" t="s">
        <v>3517</v>
      </c>
      <c r="E28" s="3462" t="s">
        <v>4248</v>
      </c>
      <c r="F28" s="3462" t="s">
        <v>3442</v>
      </c>
      <c r="G28" s="3462" t="s">
        <v>3518</v>
      </c>
      <c r="H28" s="3465" t="s">
        <v>4397</v>
      </c>
      <c r="I28" s="3480"/>
      <c r="J28" s="3478">
        <f t="shared" si="4"/>
        <v>26</v>
      </c>
      <c r="K28" s="3479" t="str">
        <f t="shared" si="5"/>
        <v>平谷区兴谷街道寨笆路8号院1号楼-1层B131</v>
      </c>
      <c r="L28" s="3479">
        <f t="shared" si="2"/>
        <v>8.32</v>
      </c>
      <c r="M28" s="3476">
        <f ca="1">典型户型修正!R49</f>
        <v>2412</v>
      </c>
      <c r="N28" s="3477">
        <f t="shared" ca="1" si="3"/>
        <v>20068</v>
      </c>
    </row>
    <row r="29" spans="1:14" ht="17.55" customHeight="1">
      <c r="A29" s="3461">
        <v>27</v>
      </c>
      <c r="B29" s="3461" t="s">
        <v>3439</v>
      </c>
      <c r="C29" s="3462" t="s">
        <v>3519</v>
      </c>
      <c r="D29" s="3462" t="s">
        <v>3520</v>
      </c>
      <c r="E29" s="3462" t="s">
        <v>4293</v>
      </c>
      <c r="F29" s="3462" t="s">
        <v>3442</v>
      </c>
      <c r="G29" s="3462" t="s">
        <v>3521</v>
      </c>
      <c r="H29" s="3465" t="s">
        <v>4397</v>
      </c>
      <c r="I29" s="3480"/>
      <c r="J29" s="3478">
        <f t="shared" si="4"/>
        <v>27</v>
      </c>
      <c r="K29" s="3479" t="str">
        <f t="shared" si="5"/>
        <v>平谷区兴谷街道寨笆路8号院1号楼-1层B132</v>
      </c>
      <c r="L29" s="3479">
        <f t="shared" si="2"/>
        <v>10.4</v>
      </c>
      <c r="M29" s="3476">
        <f ca="1">典型户型修正!R50</f>
        <v>2388</v>
      </c>
      <c r="N29" s="3477">
        <f t="shared" ca="1" si="3"/>
        <v>24835</v>
      </c>
    </row>
    <row r="30" spans="1:14" ht="17.55" customHeight="1">
      <c r="A30" s="3461">
        <v>28</v>
      </c>
      <c r="B30" s="3461" t="s">
        <v>3439</v>
      </c>
      <c r="C30" s="3462" t="s">
        <v>3522</v>
      </c>
      <c r="D30" s="3462" t="s">
        <v>3523</v>
      </c>
      <c r="E30" s="3462" t="s">
        <v>4241</v>
      </c>
      <c r="F30" s="3462" t="s">
        <v>3524</v>
      </c>
      <c r="G30" s="3462" t="s">
        <v>3525</v>
      </c>
      <c r="H30" s="3465" t="s">
        <v>4397</v>
      </c>
      <c r="I30" s="3480"/>
      <c r="J30" s="3478">
        <f t="shared" si="4"/>
        <v>28</v>
      </c>
      <c r="K30" s="3479" t="str">
        <f t="shared" si="5"/>
        <v>平谷区兴谷街道寨笆路8号院1号楼-2层B201</v>
      </c>
      <c r="L30" s="3479">
        <f t="shared" si="2"/>
        <v>10.32</v>
      </c>
      <c r="M30" s="3476">
        <f ca="1">典型户型修正!R51</f>
        <v>2149</v>
      </c>
      <c r="N30" s="3477">
        <f t="shared" ca="1" si="3"/>
        <v>22178</v>
      </c>
    </row>
    <row r="31" spans="1:14" ht="17.55" customHeight="1">
      <c r="A31" s="3461">
        <v>29</v>
      </c>
      <c r="B31" s="3461" t="s">
        <v>3439</v>
      </c>
      <c r="C31" s="3462" t="s">
        <v>3526</v>
      </c>
      <c r="D31" s="3462" t="s">
        <v>3527</v>
      </c>
      <c r="E31" s="3462" t="s">
        <v>4358</v>
      </c>
      <c r="F31" s="3462" t="s">
        <v>3524</v>
      </c>
      <c r="G31" s="3462" t="s">
        <v>3528</v>
      </c>
      <c r="H31" s="3465" t="s">
        <v>4397</v>
      </c>
      <c r="I31" s="3480"/>
      <c r="J31" s="3478">
        <f t="shared" si="4"/>
        <v>29</v>
      </c>
      <c r="K31" s="3479" t="str">
        <f t="shared" si="5"/>
        <v>平谷区兴谷街道寨笆路8号院1号楼-2层B202</v>
      </c>
      <c r="L31" s="3479">
        <f t="shared" si="2"/>
        <v>9.06</v>
      </c>
      <c r="M31" s="3476">
        <f ca="1">典型户型修正!R52</f>
        <v>2171</v>
      </c>
      <c r="N31" s="3477">
        <f t="shared" ca="1" si="3"/>
        <v>19669</v>
      </c>
    </row>
    <row r="32" spans="1:14" ht="17.55" customHeight="1">
      <c r="A32" s="3461">
        <v>30</v>
      </c>
      <c r="B32" s="3461" t="s">
        <v>3439</v>
      </c>
      <c r="C32" s="3462" t="s">
        <v>3529</v>
      </c>
      <c r="D32" s="3462" t="s">
        <v>3530</v>
      </c>
      <c r="E32" s="3462" t="s">
        <v>4242</v>
      </c>
      <c r="F32" s="3462" t="s">
        <v>3524</v>
      </c>
      <c r="G32" s="3462" t="s">
        <v>3531</v>
      </c>
      <c r="H32" s="3465" t="s">
        <v>4397</v>
      </c>
      <c r="I32" s="3480"/>
      <c r="J32" s="3478">
        <f t="shared" si="4"/>
        <v>30</v>
      </c>
      <c r="K32" s="3479" t="str">
        <f t="shared" si="5"/>
        <v>平谷区兴谷街道寨笆路8号院1号楼-2层B204</v>
      </c>
      <c r="L32" s="3479">
        <f t="shared" si="2"/>
        <v>9.06</v>
      </c>
      <c r="M32" s="3476">
        <f ca="1">典型户型修正!R53</f>
        <v>2171</v>
      </c>
      <c r="N32" s="3477">
        <f t="shared" ca="1" si="3"/>
        <v>19669</v>
      </c>
    </row>
    <row r="33" spans="1:14" ht="17.55" customHeight="1">
      <c r="A33" s="3461">
        <v>31</v>
      </c>
      <c r="B33" s="3461" t="s">
        <v>3439</v>
      </c>
      <c r="C33" s="3462" t="s">
        <v>3532</v>
      </c>
      <c r="D33" s="3462" t="s">
        <v>3533</v>
      </c>
      <c r="E33" s="3462" t="s">
        <v>4256</v>
      </c>
      <c r="F33" s="3462" t="s">
        <v>3524</v>
      </c>
      <c r="G33" s="3462" t="s">
        <v>3534</v>
      </c>
      <c r="H33" s="3465" t="s">
        <v>4397</v>
      </c>
      <c r="I33" s="3480"/>
      <c r="J33" s="3478">
        <f t="shared" si="4"/>
        <v>31</v>
      </c>
      <c r="K33" s="3479" t="str">
        <f t="shared" si="5"/>
        <v>平谷区兴谷街道寨笆路8号院1号楼-2层B205</v>
      </c>
      <c r="L33" s="3479">
        <f t="shared" si="2"/>
        <v>6.9</v>
      </c>
      <c r="M33" s="3476">
        <f ca="1">典型户型修正!R54</f>
        <v>2171</v>
      </c>
      <c r="N33" s="3477">
        <f t="shared" ca="1" si="3"/>
        <v>14980</v>
      </c>
    </row>
    <row r="34" spans="1:14" ht="17.55" customHeight="1">
      <c r="A34" s="3461">
        <v>32</v>
      </c>
      <c r="B34" s="3461" t="s">
        <v>3439</v>
      </c>
      <c r="C34" s="3462" t="s">
        <v>3535</v>
      </c>
      <c r="D34" s="3462" t="s">
        <v>3536</v>
      </c>
      <c r="E34" s="3462" t="s">
        <v>4243</v>
      </c>
      <c r="F34" s="3462" t="s">
        <v>3524</v>
      </c>
      <c r="G34" s="3462" t="s">
        <v>3537</v>
      </c>
      <c r="H34" s="3465" t="s">
        <v>4391</v>
      </c>
      <c r="I34" s="3480"/>
      <c r="J34" s="3478">
        <f t="shared" si="4"/>
        <v>32</v>
      </c>
      <c r="K34" s="3479" t="str">
        <f t="shared" si="5"/>
        <v>平谷区兴谷街道寨笆路8号院1号楼-2层B206</v>
      </c>
      <c r="L34" s="3479">
        <f t="shared" si="2"/>
        <v>11.93</v>
      </c>
      <c r="M34" s="3476">
        <f ca="1">典型户型修正!R55</f>
        <v>2579</v>
      </c>
      <c r="N34" s="3477">
        <f t="shared" ca="1" si="3"/>
        <v>30767</v>
      </c>
    </row>
    <row r="35" spans="1:14" ht="17.55" customHeight="1">
      <c r="A35" s="3461">
        <v>33</v>
      </c>
      <c r="B35" s="3461" t="s">
        <v>3439</v>
      </c>
      <c r="C35" s="3462" t="s">
        <v>3538</v>
      </c>
      <c r="D35" s="3462" t="s">
        <v>3539</v>
      </c>
      <c r="E35" s="3462" t="s">
        <v>4244</v>
      </c>
      <c r="F35" s="3462" t="s">
        <v>3524</v>
      </c>
      <c r="G35" s="3462" t="s">
        <v>3540</v>
      </c>
      <c r="H35" s="3465" t="s">
        <v>4397</v>
      </c>
      <c r="I35" s="3480"/>
      <c r="J35" s="3478">
        <f t="shared" si="4"/>
        <v>33</v>
      </c>
      <c r="K35" s="3479" t="str">
        <f t="shared" si="5"/>
        <v>平谷区兴谷街道寨笆路8号院1号楼-2层B207</v>
      </c>
      <c r="L35" s="3479">
        <f t="shared" si="2"/>
        <v>5.27</v>
      </c>
      <c r="M35" s="3476">
        <f ca="1">典型户型修正!R56</f>
        <v>2171</v>
      </c>
      <c r="N35" s="3477">
        <f t="shared" ca="1" si="3"/>
        <v>11441</v>
      </c>
    </row>
    <row r="36" spans="1:14" ht="17.55" customHeight="1">
      <c r="A36" s="3461">
        <v>34</v>
      </c>
      <c r="B36" s="3461" t="s">
        <v>3439</v>
      </c>
      <c r="C36" s="3462" t="s">
        <v>3541</v>
      </c>
      <c r="D36" s="3462" t="s">
        <v>3542</v>
      </c>
      <c r="E36" s="3462" t="s">
        <v>4359</v>
      </c>
      <c r="F36" s="3462" t="s">
        <v>3524</v>
      </c>
      <c r="G36" s="3462" t="s">
        <v>3543</v>
      </c>
      <c r="H36" s="3465" t="s">
        <v>4397</v>
      </c>
      <c r="I36" s="3480"/>
      <c r="J36" s="3478">
        <f t="shared" si="4"/>
        <v>34</v>
      </c>
      <c r="K36" s="3479" t="str">
        <f t="shared" si="5"/>
        <v>平谷区兴谷街道寨笆路8号院1号楼-2层B214</v>
      </c>
      <c r="L36" s="3479">
        <f t="shared" si="2"/>
        <v>8.31</v>
      </c>
      <c r="M36" s="3476">
        <f ca="1">典型户型修正!R57</f>
        <v>2171</v>
      </c>
      <c r="N36" s="3477">
        <f t="shared" ca="1" si="3"/>
        <v>18041</v>
      </c>
    </row>
    <row r="37" spans="1:14" ht="17.55" customHeight="1">
      <c r="A37" s="3461">
        <v>35</v>
      </c>
      <c r="B37" s="3461" t="s">
        <v>3439</v>
      </c>
      <c r="C37" s="3462" t="s">
        <v>3544</v>
      </c>
      <c r="D37" s="3462" t="s">
        <v>3545</v>
      </c>
      <c r="E37" s="3462" t="s">
        <v>4296</v>
      </c>
      <c r="F37" s="3462" t="s">
        <v>3524</v>
      </c>
      <c r="G37" s="3462" t="s">
        <v>3546</v>
      </c>
      <c r="H37" s="3465" t="s">
        <v>4397</v>
      </c>
      <c r="I37" s="3480"/>
      <c r="J37" s="3478">
        <f t="shared" si="4"/>
        <v>35</v>
      </c>
      <c r="K37" s="3479" t="str">
        <f t="shared" si="5"/>
        <v>平谷区兴谷街道寨笆路8号院1号楼-2层B216</v>
      </c>
      <c r="L37" s="3479">
        <f t="shared" si="2"/>
        <v>6.8</v>
      </c>
      <c r="M37" s="3476">
        <f ca="1">典型户型修正!R58</f>
        <v>2171</v>
      </c>
      <c r="N37" s="3477">
        <f t="shared" ca="1" si="3"/>
        <v>14763</v>
      </c>
    </row>
    <row r="38" spans="1:14" ht="17.55" customHeight="1">
      <c r="A38" s="3461">
        <v>36</v>
      </c>
      <c r="B38" s="3461" t="s">
        <v>3439</v>
      </c>
      <c r="C38" s="3462" t="s">
        <v>3547</v>
      </c>
      <c r="D38" s="3462" t="s">
        <v>3548</v>
      </c>
      <c r="E38" s="3462" t="s">
        <v>4323</v>
      </c>
      <c r="F38" s="3462" t="s">
        <v>3524</v>
      </c>
      <c r="G38" s="3462" t="s">
        <v>3549</v>
      </c>
      <c r="H38" s="3465" t="s">
        <v>4392</v>
      </c>
      <c r="I38" s="3480"/>
      <c r="J38" s="3478">
        <f t="shared" si="4"/>
        <v>36</v>
      </c>
      <c r="K38" s="3479" t="str">
        <f t="shared" si="5"/>
        <v>平谷区兴谷街道寨笆路8号院1号楼-2层B222</v>
      </c>
      <c r="L38" s="3479">
        <f t="shared" si="2"/>
        <v>7.82</v>
      </c>
      <c r="M38" s="3476">
        <f ca="1">典型户型修正!R59</f>
        <v>2605</v>
      </c>
      <c r="N38" s="3477">
        <f t="shared" ca="1" si="3"/>
        <v>20371</v>
      </c>
    </row>
    <row r="39" spans="1:14" ht="17.55" customHeight="1">
      <c r="A39" s="3461">
        <v>37</v>
      </c>
      <c r="B39" s="3461" t="s">
        <v>3439</v>
      </c>
      <c r="C39" s="3462" t="s">
        <v>3550</v>
      </c>
      <c r="D39" s="3462" t="s">
        <v>3551</v>
      </c>
      <c r="E39" s="3462" t="s">
        <v>4258</v>
      </c>
      <c r="F39" s="3462" t="s">
        <v>3524</v>
      </c>
      <c r="G39" s="3462" t="s">
        <v>3552</v>
      </c>
      <c r="H39" s="3465" t="s">
        <v>4397</v>
      </c>
      <c r="I39" s="3480"/>
      <c r="J39" s="3478">
        <f t="shared" si="4"/>
        <v>37</v>
      </c>
      <c r="K39" s="3479" t="str">
        <f t="shared" si="5"/>
        <v>平谷区兴谷街道寨笆路8号院1号楼-2层B223</v>
      </c>
      <c r="L39" s="3479">
        <f t="shared" si="2"/>
        <v>9.82</v>
      </c>
      <c r="M39" s="3476">
        <f ca="1">典型户型修正!R60</f>
        <v>2171</v>
      </c>
      <c r="N39" s="3477">
        <f t="shared" ca="1" si="3"/>
        <v>21319</v>
      </c>
    </row>
    <row r="40" spans="1:14" ht="17.55" customHeight="1">
      <c r="A40" s="3461">
        <v>38</v>
      </c>
      <c r="B40" s="3461" t="s">
        <v>3439</v>
      </c>
      <c r="C40" s="3462" t="s">
        <v>3553</v>
      </c>
      <c r="D40" s="3462" t="s">
        <v>3554</v>
      </c>
      <c r="E40" s="3462" t="s">
        <v>4360</v>
      </c>
      <c r="F40" s="3462" t="s">
        <v>3524</v>
      </c>
      <c r="G40" s="3462" t="s">
        <v>3555</v>
      </c>
      <c r="H40" s="3465" t="s">
        <v>4397</v>
      </c>
      <c r="I40" s="3480"/>
      <c r="J40" s="3478">
        <f t="shared" si="4"/>
        <v>38</v>
      </c>
      <c r="K40" s="3479" t="str">
        <f t="shared" si="5"/>
        <v>平谷区兴谷街道寨笆路8号院1号楼-2层B224</v>
      </c>
      <c r="L40" s="3479">
        <f t="shared" si="2"/>
        <v>7.69</v>
      </c>
      <c r="M40" s="3476">
        <f ca="1">典型户型修正!R61</f>
        <v>2171</v>
      </c>
      <c r="N40" s="3477">
        <f t="shared" ca="1" si="3"/>
        <v>16695</v>
      </c>
    </row>
    <row r="41" spans="1:14" ht="17.55" customHeight="1">
      <c r="A41" s="3461">
        <v>39</v>
      </c>
      <c r="B41" s="3461" t="s">
        <v>3439</v>
      </c>
      <c r="C41" s="3462" t="s">
        <v>3556</v>
      </c>
      <c r="D41" s="3462" t="s">
        <v>3557</v>
      </c>
      <c r="E41" s="3462" t="s">
        <v>4257</v>
      </c>
      <c r="F41" s="3462" t="s">
        <v>3524</v>
      </c>
      <c r="G41" s="3462" t="s">
        <v>3558</v>
      </c>
      <c r="H41" s="3465" t="s">
        <v>4397</v>
      </c>
      <c r="I41" s="3480"/>
      <c r="J41" s="3478">
        <f t="shared" si="4"/>
        <v>39</v>
      </c>
      <c r="K41" s="3479" t="str">
        <f t="shared" si="5"/>
        <v>平谷区兴谷街道寨笆路8号院1号楼-2层B227</v>
      </c>
      <c r="L41" s="3479">
        <f t="shared" si="2"/>
        <v>7.69</v>
      </c>
      <c r="M41" s="3476">
        <f ca="1">典型户型修正!R62</f>
        <v>2171</v>
      </c>
      <c r="N41" s="3477">
        <f t="shared" ca="1" si="3"/>
        <v>16695</v>
      </c>
    </row>
    <row r="42" spans="1:14" ht="17.55" customHeight="1">
      <c r="A42" s="3461">
        <v>40</v>
      </c>
      <c r="B42" s="3461" t="s">
        <v>3439</v>
      </c>
      <c r="C42" s="3462" t="s">
        <v>3559</v>
      </c>
      <c r="D42" s="3462" t="s">
        <v>3560</v>
      </c>
      <c r="E42" s="3462" t="s">
        <v>4257</v>
      </c>
      <c r="F42" s="3462" t="s">
        <v>3524</v>
      </c>
      <c r="G42" s="3462" t="s">
        <v>3561</v>
      </c>
      <c r="H42" s="3465" t="s">
        <v>4397</v>
      </c>
      <c r="I42" s="3480"/>
      <c r="J42" s="3478">
        <f t="shared" si="4"/>
        <v>40</v>
      </c>
      <c r="K42" s="3479" t="str">
        <f t="shared" si="5"/>
        <v>平谷区兴谷街道寨笆路8号院1号楼-2层B228</v>
      </c>
      <c r="L42" s="3479">
        <f t="shared" si="2"/>
        <v>7.69</v>
      </c>
      <c r="M42" s="3476">
        <f ca="1">典型户型修正!R63</f>
        <v>2171</v>
      </c>
      <c r="N42" s="3477">
        <f t="shared" ca="1" si="3"/>
        <v>16695</v>
      </c>
    </row>
    <row r="43" spans="1:14" ht="17.55" customHeight="1">
      <c r="A43" s="3461">
        <v>41</v>
      </c>
      <c r="B43" s="3461" t="s">
        <v>3439</v>
      </c>
      <c r="C43" s="3462" t="s">
        <v>3562</v>
      </c>
      <c r="D43" s="3462" t="s">
        <v>3563</v>
      </c>
      <c r="E43" s="3462" t="s">
        <v>4257</v>
      </c>
      <c r="F43" s="3462" t="s">
        <v>3524</v>
      </c>
      <c r="G43" s="3462" t="s">
        <v>3564</v>
      </c>
      <c r="H43" s="3465" t="s">
        <v>4397</v>
      </c>
      <c r="I43" s="3480"/>
      <c r="J43" s="3478">
        <f t="shared" si="4"/>
        <v>41</v>
      </c>
      <c r="K43" s="3479" t="str">
        <f t="shared" si="5"/>
        <v>平谷区兴谷街道寨笆路8号院1号楼-2层B231</v>
      </c>
      <c r="L43" s="3479">
        <f t="shared" si="2"/>
        <v>7.69</v>
      </c>
      <c r="M43" s="3476">
        <f ca="1">典型户型修正!R64</f>
        <v>2171</v>
      </c>
      <c r="N43" s="3477">
        <f t="shared" ca="1" si="3"/>
        <v>16695</v>
      </c>
    </row>
    <row r="44" spans="1:14" ht="17.55" customHeight="1">
      <c r="A44" s="3461">
        <v>42</v>
      </c>
      <c r="B44" s="3461" t="s">
        <v>3439</v>
      </c>
      <c r="C44" s="3462" t="s">
        <v>3565</v>
      </c>
      <c r="D44" s="3462" t="s">
        <v>3566</v>
      </c>
      <c r="E44" s="3462" t="s">
        <v>4258</v>
      </c>
      <c r="F44" s="3462" t="s">
        <v>3524</v>
      </c>
      <c r="G44" s="3462" t="s">
        <v>3567</v>
      </c>
      <c r="H44" s="3465" t="s">
        <v>4397</v>
      </c>
      <c r="I44" s="3480"/>
      <c r="J44" s="3478">
        <f t="shared" si="4"/>
        <v>42</v>
      </c>
      <c r="K44" s="3479" t="str">
        <f t="shared" si="5"/>
        <v>平谷区兴谷街道寨笆路8号院1号楼-2层B232</v>
      </c>
      <c r="L44" s="3479">
        <f t="shared" si="2"/>
        <v>9.82</v>
      </c>
      <c r="M44" s="3476">
        <f ca="1">典型户型修正!R65</f>
        <v>2171</v>
      </c>
      <c r="N44" s="3477">
        <f t="shared" ca="1" si="3"/>
        <v>21319</v>
      </c>
    </row>
    <row r="45" spans="1:14" ht="17.55" customHeight="1">
      <c r="A45" s="3461">
        <v>43</v>
      </c>
      <c r="B45" s="3461" t="s">
        <v>3439</v>
      </c>
      <c r="C45" s="3462" t="s">
        <v>3568</v>
      </c>
      <c r="D45" s="3462" t="s">
        <v>3569</v>
      </c>
      <c r="E45" s="3462" t="s">
        <v>4245</v>
      </c>
      <c r="F45" s="3462" t="s">
        <v>3524</v>
      </c>
      <c r="G45" s="3462" t="s">
        <v>3570</v>
      </c>
      <c r="H45" s="3465" t="s">
        <v>4391</v>
      </c>
      <c r="I45" s="3480"/>
      <c r="J45" s="3478">
        <f t="shared" si="4"/>
        <v>43</v>
      </c>
      <c r="K45" s="3479" t="str">
        <f t="shared" si="5"/>
        <v>平谷区兴谷街道寨笆路8号院1号楼-2层B234</v>
      </c>
      <c r="L45" s="3479">
        <f t="shared" si="2"/>
        <v>7.82</v>
      </c>
      <c r="M45" s="3476">
        <f ca="1">典型户型修正!R66</f>
        <v>2605</v>
      </c>
      <c r="N45" s="3477">
        <f t="shared" ca="1" si="3"/>
        <v>20371</v>
      </c>
    </row>
    <row r="46" spans="1:14" ht="17.55" customHeight="1">
      <c r="A46" s="3461">
        <v>44</v>
      </c>
      <c r="B46" s="3461" t="s">
        <v>3439</v>
      </c>
      <c r="C46" s="3462" t="s">
        <v>3571</v>
      </c>
      <c r="D46" s="3462" t="s">
        <v>3572</v>
      </c>
      <c r="E46" s="3462" t="s">
        <v>4246</v>
      </c>
      <c r="F46" s="3462" t="s">
        <v>3524</v>
      </c>
      <c r="G46" s="3462" t="s">
        <v>3573</v>
      </c>
      <c r="H46" s="3465" t="s">
        <v>4397</v>
      </c>
      <c r="I46" s="3480"/>
      <c r="J46" s="3478">
        <f t="shared" si="4"/>
        <v>44</v>
      </c>
      <c r="K46" s="3479" t="str">
        <f t="shared" si="5"/>
        <v>平谷区兴谷街道寨笆路8号院1号楼-2层B247</v>
      </c>
      <c r="L46" s="3479">
        <f t="shared" si="2"/>
        <v>9.06</v>
      </c>
      <c r="M46" s="3476">
        <f ca="1">典型户型修正!R67</f>
        <v>2171</v>
      </c>
      <c r="N46" s="3477">
        <f t="shared" ca="1" si="3"/>
        <v>19669</v>
      </c>
    </row>
    <row r="47" spans="1:14" ht="17.55" customHeight="1">
      <c r="A47" s="3461">
        <v>45</v>
      </c>
      <c r="B47" s="3461" t="s">
        <v>3439</v>
      </c>
      <c r="C47" s="3462" t="s">
        <v>3574</v>
      </c>
      <c r="D47" s="3462" t="s">
        <v>3575</v>
      </c>
      <c r="E47" s="3462" t="s">
        <v>4247</v>
      </c>
      <c r="F47" s="3462" t="s">
        <v>3524</v>
      </c>
      <c r="G47" s="3462" t="s">
        <v>3576</v>
      </c>
      <c r="H47" s="3465" t="s">
        <v>4397</v>
      </c>
      <c r="I47" s="3480"/>
      <c r="J47" s="3478">
        <f t="shared" si="4"/>
        <v>45</v>
      </c>
      <c r="K47" s="3479" t="str">
        <f t="shared" si="5"/>
        <v>平谷区兴谷街道寨笆路8号院1号楼-2层B249</v>
      </c>
      <c r="L47" s="3479">
        <f t="shared" si="2"/>
        <v>9.06</v>
      </c>
      <c r="M47" s="3476">
        <f ca="1">典型户型修正!R68</f>
        <v>2171</v>
      </c>
      <c r="N47" s="3477">
        <f t="shared" ca="1" si="3"/>
        <v>19669</v>
      </c>
    </row>
    <row r="48" spans="1:14" ht="17.55" customHeight="1">
      <c r="A48" s="3461">
        <v>46</v>
      </c>
      <c r="B48" s="3461" t="s">
        <v>3439</v>
      </c>
      <c r="C48" s="3462" t="s">
        <v>3577</v>
      </c>
      <c r="D48" s="3462" t="s">
        <v>3578</v>
      </c>
      <c r="E48" s="3462" t="s">
        <v>4248</v>
      </c>
      <c r="F48" s="3462" t="s">
        <v>3524</v>
      </c>
      <c r="G48" s="3462" t="s">
        <v>3579</v>
      </c>
      <c r="H48" s="3465" t="s">
        <v>4397</v>
      </c>
      <c r="I48" s="3480"/>
      <c r="J48" s="3478">
        <f t="shared" si="4"/>
        <v>46</v>
      </c>
      <c r="K48" s="3479" t="str">
        <f t="shared" si="5"/>
        <v>平谷区兴谷街道寨笆路8号院1号楼-2层B251</v>
      </c>
      <c r="L48" s="3479">
        <f t="shared" si="2"/>
        <v>8.32</v>
      </c>
      <c r="M48" s="3476">
        <f ca="1">典型户型修正!R69</f>
        <v>2171</v>
      </c>
      <c r="N48" s="3477">
        <f t="shared" ca="1" si="3"/>
        <v>18063</v>
      </c>
    </row>
    <row r="49" spans="1:14" ht="17.55" customHeight="1">
      <c r="A49" s="3461">
        <v>47</v>
      </c>
      <c r="B49" s="3461" t="s">
        <v>3580</v>
      </c>
      <c r="C49" s="3462" t="s">
        <v>3581</v>
      </c>
      <c r="D49" s="3462" t="s">
        <v>3582</v>
      </c>
      <c r="E49" s="3462" t="s">
        <v>4251</v>
      </c>
      <c r="F49" s="3462" t="s">
        <v>3442</v>
      </c>
      <c r="G49" s="3462" t="s">
        <v>3583</v>
      </c>
      <c r="H49" s="3465" t="s">
        <v>4397</v>
      </c>
      <c r="I49" s="3480"/>
      <c r="J49" s="3478">
        <f t="shared" si="4"/>
        <v>47</v>
      </c>
      <c r="K49" s="3479" t="str">
        <f t="shared" si="5"/>
        <v>平谷区兴谷街道寨笆路8号院2号楼-1层B101</v>
      </c>
      <c r="L49" s="3479">
        <f t="shared" si="2"/>
        <v>8.24</v>
      </c>
      <c r="M49" s="3476">
        <f ca="1">典型户型修正!R70</f>
        <v>2412</v>
      </c>
      <c r="N49" s="3477">
        <f t="shared" ca="1" si="3"/>
        <v>19875</v>
      </c>
    </row>
    <row r="50" spans="1:14" ht="17.55" customHeight="1">
      <c r="A50" s="3461">
        <v>48</v>
      </c>
      <c r="B50" s="3461" t="s">
        <v>3580</v>
      </c>
      <c r="C50" s="3462" t="s">
        <v>3584</v>
      </c>
      <c r="D50" s="3462" t="s">
        <v>3585</v>
      </c>
      <c r="E50" s="3462" t="s">
        <v>4283</v>
      </c>
      <c r="F50" s="3462" t="s">
        <v>3442</v>
      </c>
      <c r="G50" s="3462" t="s">
        <v>3586</v>
      </c>
      <c r="H50" s="3465" t="s">
        <v>4391</v>
      </c>
      <c r="I50" s="3480"/>
      <c r="J50" s="3478">
        <f t="shared" si="4"/>
        <v>48</v>
      </c>
      <c r="K50" s="3479" t="str">
        <f t="shared" si="5"/>
        <v>平谷区兴谷街道寨笆路8号院2号楼-1层B102</v>
      </c>
      <c r="L50" s="3479">
        <f t="shared" si="2"/>
        <v>10.69</v>
      </c>
      <c r="M50" s="3476">
        <f ca="1">典型户型修正!R71</f>
        <v>2866</v>
      </c>
      <c r="N50" s="3477">
        <f t="shared" ca="1" si="3"/>
        <v>30638</v>
      </c>
    </row>
    <row r="51" spans="1:14" ht="17.55" customHeight="1">
      <c r="A51" s="3461">
        <v>49</v>
      </c>
      <c r="B51" s="3461" t="s">
        <v>3580</v>
      </c>
      <c r="C51" s="3462" t="s">
        <v>3587</v>
      </c>
      <c r="D51" s="3462" t="s">
        <v>3588</v>
      </c>
      <c r="E51" s="3462" t="s">
        <v>4264</v>
      </c>
      <c r="F51" s="3462" t="s">
        <v>3442</v>
      </c>
      <c r="G51" s="3462" t="s">
        <v>3589</v>
      </c>
      <c r="H51" s="3465" t="s">
        <v>4397</v>
      </c>
      <c r="I51" s="3480"/>
      <c r="J51" s="3478">
        <f t="shared" si="4"/>
        <v>49</v>
      </c>
      <c r="K51" s="3479" t="str">
        <f t="shared" si="5"/>
        <v>平谷区兴谷街道寨笆路8号院2号楼-1层B103</v>
      </c>
      <c r="L51" s="3479">
        <f t="shared" si="2"/>
        <v>7.72</v>
      </c>
      <c r="M51" s="3476">
        <f ca="1">典型户型修正!R72</f>
        <v>2412</v>
      </c>
      <c r="N51" s="3477">
        <f t="shared" ca="1" si="3"/>
        <v>18621</v>
      </c>
    </row>
    <row r="52" spans="1:14" ht="17.55" customHeight="1">
      <c r="A52" s="3461">
        <v>50</v>
      </c>
      <c r="B52" s="3461" t="s">
        <v>3580</v>
      </c>
      <c r="C52" s="3462" t="s">
        <v>3590</v>
      </c>
      <c r="D52" s="3462" t="s">
        <v>3591</v>
      </c>
      <c r="E52" s="3462" t="s">
        <v>4346</v>
      </c>
      <c r="F52" s="3462" t="s">
        <v>3442</v>
      </c>
      <c r="G52" s="3462" t="s">
        <v>3592</v>
      </c>
      <c r="H52" s="3465" t="s">
        <v>4397</v>
      </c>
      <c r="I52" s="3480"/>
      <c r="J52" s="3478">
        <f t="shared" si="4"/>
        <v>50</v>
      </c>
      <c r="K52" s="3479" t="str">
        <f t="shared" si="5"/>
        <v>平谷区兴谷街道寨笆路8号院2号楼-1层B104</v>
      </c>
      <c r="L52" s="3479">
        <f t="shared" si="2"/>
        <v>8.35</v>
      </c>
      <c r="M52" s="3476">
        <f ca="1">典型户型修正!R73</f>
        <v>2412</v>
      </c>
      <c r="N52" s="3477">
        <f t="shared" ca="1" si="3"/>
        <v>20140</v>
      </c>
    </row>
    <row r="53" spans="1:14" ht="17.55" customHeight="1">
      <c r="A53" s="3461">
        <v>51</v>
      </c>
      <c r="B53" s="3461" t="s">
        <v>3580</v>
      </c>
      <c r="C53" s="3462" t="s">
        <v>3593</v>
      </c>
      <c r="D53" s="3462" t="s">
        <v>3594</v>
      </c>
      <c r="E53" s="3462" t="s">
        <v>4268</v>
      </c>
      <c r="F53" s="3462" t="s">
        <v>3442</v>
      </c>
      <c r="G53" s="3462" t="s">
        <v>3595</v>
      </c>
      <c r="H53" s="3465" t="s">
        <v>4397</v>
      </c>
      <c r="I53" s="3480"/>
      <c r="J53" s="3478">
        <f t="shared" si="4"/>
        <v>51</v>
      </c>
      <c r="K53" s="3479" t="str">
        <f t="shared" si="5"/>
        <v>平谷区兴谷街道寨笆路8号院2号楼-1层B105</v>
      </c>
      <c r="L53" s="3479">
        <f t="shared" si="2"/>
        <v>10.65</v>
      </c>
      <c r="M53" s="3476">
        <f ca="1">典型户型修正!R74</f>
        <v>2388</v>
      </c>
      <c r="N53" s="3477">
        <f t="shared" ca="1" si="3"/>
        <v>25432</v>
      </c>
    </row>
    <row r="54" spans="1:14" ht="17.55" customHeight="1">
      <c r="A54" s="3461">
        <v>52</v>
      </c>
      <c r="B54" s="3461" t="s">
        <v>3580</v>
      </c>
      <c r="C54" s="3462" t="s">
        <v>3596</v>
      </c>
      <c r="D54" s="3462" t="s">
        <v>3597</v>
      </c>
      <c r="E54" s="3462" t="s">
        <v>4268</v>
      </c>
      <c r="F54" s="3462" t="s">
        <v>3442</v>
      </c>
      <c r="G54" s="3462" t="s">
        <v>3598</v>
      </c>
      <c r="H54" s="3465" t="s">
        <v>4397</v>
      </c>
      <c r="I54" s="3480"/>
      <c r="J54" s="3478">
        <f t="shared" si="4"/>
        <v>52</v>
      </c>
      <c r="K54" s="3479" t="str">
        <f t="shared" si="5"/>
        <v>平谷区兴谷街道寨笆路8号院2号楼-1层B106</v>
      </c>
      <c r="L54" s="3479">
        <f t="shared" si="2"/>
        <v>10.65</v>
      </c>
      <c r="M54" s="3476">
        <f ca="1">典型户型修正!R75</f>
        <v>2388</v>
      </c>
      <c r="N54" s="3477">
        <f t="shared" ca="1" si="3"/>
        <v>25432</v>
      </c>
    </row>
    <row r="55" spans="1:14" ht="17.55" customHeight="1">
      <c r="A55" s="3461">
        <v>53</v>
      </c>
      <c r="B55" s="3461" t="s">
        <v>3580</v>
      </c>
      <c r="C55" s="3462" t="s">
        <v>3599</v>
      </c>
      <c r="D55" s="3462" t="s">
        <v>3600</v>
      </c>
      <c r="E55" s="3462" t="s">
        <v>4347</v>
      </c>
      <c r="F55" s="3462" t="s">
        <v>3442</v>
      </c>
      <c r="G55" s="3462" t="s">
        <v>3601</v>
      </c>
      <c r="H55" s="3465" t="s">
        <v>4397</v>
      </c>
      <c r="I55" s="3480"/>
      <c r="J55" s="3478">
        <f t="shared" si="4"/>
        <v>53</v>
      </c>
      <c r="K55" s="3479" t="str">
        <f t="shared" si="5"/>
        <v>平谷区兴谷街道寨笆路8号院2号楼-1层B108</v>
      </c>
      <c r="L55" s="3479">
        <f t="shared" si="2"/>
        <v>4.45</v>
      </c>
      <c r="M55" s="3476">
        <f ca="1">典型户型修正!R76</f>
        <v>2436</v>
      </c>
      <c r="N55" s="3477">
        <f t="shared" ca="1" si="3"/>
        <v>10840</v>
      </c>
    </row>
    <row r="56" spans="1:14" ht="17.55" customHeight="1">
      <c r="A56" s="3461">
        <v>54</v>
      </c>
      <c r="B56" s="3461" t="s">
        <v>3580</v>
      </c>
      <c r="C56" s="3462" t="s">
        <v>3602</v>
      </c>
      <c r="D56" s="3462" t="s">
        <v>3603</v>
      </c>
      <c r="E56" s="3462" t="s">
        <v>4255</v>
      </c>
      <c r="F56" s="3462" t="s">
        <v>3442</v>
      </c>
      <c r="G56" s="3462" t="s">
        <v>3604</v>
      </c>
      <c r="H56" s="3465" t="s">
        <v>4397</v>
      </c>
      <c r="I56" s="3480"/>
      <c r="J56" s="3478">
        <f t="shared" si="4"/>
        <v>54</v>
      </c>
      <c r="K56" s="3479" t="str">
        <f t="shared" si="5"/>
        <v>平谷区兴谷街道寨笆路8号院2号楼-1层B111</v>
      </c>
      <c r="L56" s="3479">
        <f t="shared" si="2"/>
        <v>7.2</v>
      </c>
      <c r="M56" s="3476">
        <f ca="1">典型户型修正!R77</f>
        <v>2412</v>
      </c>
      <c r="N56" s="3477">
        <f t="shared" ca="1" si="3"/>
        <v>17366</v>
      </c>
    </row>
    <row r="57" spans="1:14" ht="17.55" customHeight="1">
      <c r="A57" s="3461">
        <v>55</v>
      </c>
      <c r="B57" s="3461" t="s">
        <v>3580</v>
      </c>
      <c r="C57" s="3462" t="s">
        <v>3605</v>
      </c>
      <c r="D57" s="3462" t="s">
        <v>3606</v>
      </c>
      <c r="E57" s="3462" t="s">
        <v>4259</v>
      </c>
      <c r="F57" s="3462" t="s">
        <v>3442</v>
      </c>
      <c r="G57" s="3462" t="s">
        <v>3607</v>
      </c>
      <c r="H57" s="3465" t="s">
        <v>4397</v>
      </c>
      <c r="I57" s="3480"/>
      <c r="J57" s="3478">
        <f t="shared" si="4"/>
        <v>55</v>
      </c>
      <c r="K57" s="3479" t="str">
        <f t="shared" si="5"/>
        <v>平谷区兴谷街道寨笆路8号院2号楼-1层B112</v>
      </c>
      <c r="L57" s="3479">
        <f t="shared" si="2"/>
        <v>6.98</v>
      </c>
      <c r="M57" s="3476">
        <f ca="1">典型户型修正!R78</f>
        <v>2412</v>
      </c>
      <c r="N57" s="3477">
        <f t="shared" ca="1" si="3"/>
        <v>16836</v>
      </c>
    </row>
    <row r="58" spans="1:14" ht="17.55" customHeight="1">
      <c r="A58" s="3461">
        <v>56</v>
      </c>
      <c r="B58" s="3461" t="s">
        <v>3580</v>
      </c>
      <c r="C58" s="3462" t="s">
        <v>3608</v>
      </c>
      <c r="D58" s="3462" t="s">
        <v>3609</v>
      </c>
      <c r="E58" s="3462" t="s">
        <v>4267</v>
      </c>
      <c r="F58" s="3462" t="s">
        <v>3442</v>
      </c>
      <c r="G58" s="3462" t="s">
        <v>3610</v>
      </c>
      <c r="H58" s="3465" t="s">
        <v>4397</v>
      </c>
      <c r="I58" s="3480"/>
      <c r="J58" s="3478">
        <f t="shared" si="4"/>
        <v>56</v>
      </c>
      <c r="K58" s="3479" t="str">
        <f t="shared" si="5"/>
        <v>平谷区兴谷街道寨笆路8号院2号楼-1层B113</v>
      </c>
      <c r="L58" s="3479">
        <f t="shared" si="2"/>
        <v>7.45</v>
      </c>
      <c r="M58" s="3476">
        <f ca="1">典型户型修正!R79</f>
        <v>2412</v>
      </c>
      <c r="N58" s="3477">
        <f t="shared" ca="1" si="3"/>
        <v>17969</v>
      </c>
    </row>
    <row r="59" spans="1:14" ht="17.55" customHeight="1">
      <c r="A59" s="3461">
        <v>57</v>
      </c>
      <c r="B59" s="3461" t="s">
        <v>3580</v>
      </c>
      <c r="C59" s="3462" t="s">
        <v>3611</v>
      </c>
      <c r="D59" s="3462" t="s">
        <v>3612</v>
      </c>
      <c r="E59" s="3462" t="s">
        <v>4257</v>
      </c>
      <c r="F59" s="3462" t="s">
        <v>3442</v>
      </c>
      <c r="G59" s="3462" t="s">
        <v>3613</v>
      </c>
      <c r="H59" s="3465" t="s">
        <v>4397</v>
      </c>
      <c r="I59" s="3480"/>
      <c r="J59" s="3478">
        <f t="shared" si="4"/>
        <v>57</v>
      </c>
      <c r="K59" s="3479" t="str">
        <f t="shared" si="5"/>
        <v>平谷区兴谷街道寨笆路8号院2号楼-1层B114</v>
      </c>
      <c r="L59" s="3479">
        <f t="shared" si="2"/>
        <v>7.69</v>
      </c>
      <c r="M59" s="3476">
        <f ca="1">典型户型修正!R80</f>
        <v>2412</v>
      </c>
      <c r="N59" s="3477">
        <f t="shared" ca="1" si="3"/>
        <v>18548</v>
      </c>
    </row>
    <row r="60" spans="1:14" ht="17.55" customHeight="1">
      <c r="A60" s="3461">
        <v>58</v>
      </c>
      <c r="B60" s="3461" t="s">
        <v>3580</v>
      </c>
      <c r="C60" s="3462" t="s">
        <v>3614</v>
      </c>
      <c r="D60" s="3462" t="s">
        <v>3615</v>
      </c>
      <c r="E60" s="3462" t="s">
        <v>4307</v>
      </c>
      <c r="F60" s="3462" t="s">
        <v>3524</v>
      </c>
      <c r="G60" s="3462" t="s">
        <v>3616</v>
      </c>
      <c r="H60" s="3465" t="s">
        <v>4397</v>
      </c>
      <c r="I60" s="3480"/>
      <c r="J60" s="3478">
        <f t="shared" si="4"/>
        <v>58</v>
      </c>
      <c r="K60" s="3479" t="str">
        <f t="shared" si="5"/>
        <v>平谷区兴谷街道寨笆路8号院2号楼-2层B201</v>
      </c>
      <c r="L60" s="3479">
        <f t="shared" si="2"/>
        <v>10.38</v>
      </c>
      <c r="M60" s="3476">
        <f ca="1">典型户型修正!R81</f>
        <v>2149</v>
      </c>
      <c r="N60" s="3477">
        <f t="shared" ca="1" si="3"/>
        <v>22307</v>
      </c>
    </row>
    <row r="61" spans="1:14" ht="17.55" customHeight="1">
      <c r="A61" s="3461">
        <v>59</v>
      </c>
      <c r="B61" s="3461" t="s">
        <v>3580</v>
      </c>
      <c r="C61" s="3462" t="s">
        <v>3617</v>
      </c>
      <c r="D61" s="3462" t="s">
        <v>3618</v>
      </c>
      <c r="E61" s="3462" t="s">
        <v>4303</v>
      </c>
      <c r="F61" s="3462" t="s">
        <v>3524</v>
      </c>
      <c r="G61" s="3462" t="s">
        <v>3619</v>
      </c>
      <c r="H61" s="3465" t="s">
        <v>4397</v>
      </c>
      <c r="I61" s="3480"/>
      <c r="J61" s="3478">
        <f t="shared" si="4"/>
        <v>59</v>
      </c>
      <c r="K61" s="3479" t="str">
        <f t="shared" si="5"/>
        <v>平谷区兴谷街道寨笆路8号院2号楼-2层B202</v>
      </c>
      <c r="L61" s="3479">
        <f t="shared" si="2"/>
        <v>9.1</v>
      </c>
      <c r="M61" s="3476">
        <f ca="1">典型户型修正!R82</f>
        <v>2171</v>
      </c>
      <c r="N61" s="3477">
        <f t="shared" ca="1" si="3"/>
        <v>19756</v>
      </c>
    </row>
    <row r="62" spans="1:14" ht="17.55" customHeight="1">
      <c r="A62" s="3461">
        <v>60</v>
      </c>
      <c r="B62" s="3461" t="s">
        <v>3580</v>
      </c>
      <c r="C62" s="3462" t="s">
        <v>3620</v>
      </c>
      <c r="D62" s="3462" t="s">
        <v>3621</v>
      </c>
      <c r="E62" s="3462" t="s">
        <v>4348</v>
      </c>
      <c r="F62" s="3462" t="s">
        <v>3524</v>
      </c>
      <c r="G62" s="3462" t="s">
        <v>3622</v>
      </c>
      <c r="H62" s="3465" t="s">
        <v>4397</v>
      </c>
      <c r="I62" s="3480"/>
      <c r="J62" s="3478">
        <f t="shared" si="4"/>
        <v>60</v>
      </c>
      <c r="K62" s="3479" t="str">
        <f t="shared" si="5"/>
        <v>平谷区兴谷街道寨笆路8号院2号楼-2层B203</v>
      </c>
      <c r="L62" s="3479">
        <f t="shared" si="2"/>
        <v>9.1</v>
      </c>
      <c r="M62" s="3476">
        <f ca="1">典型户型修正!R83</f>
        <v>2171</v>
      </c>
      <c r="N62" s="3477">
        <f t="shared" ca="1" si="3"/>
        <v>19756</v>
      </c>
    </row>
    <row r="63" spans="1:14" ht="17.55" customHeight="1">
      <c r="A63" s="3461">
        <v>61</v>
      </c>
      <c r="B63" s="3461" t="s">
        <v>3580</v>
      </c>
      <c r="C63" s="3462" t="s">
        <v>3623</v>
      </c>
      <c r="D63" s="3462" t="s">
        <v>3624</v>
      </c>
      <c r="E63" s="3462" t="s">
        <v>4348</v>
      </c>
      <c r="F63" s="3462" t="s">
        <v>3524</v>
      </c>
      <c r="G63" s="3462" t="s">
        <v>3625</v>
      </c>
      <c r="H63" s="3465" t="s">
        <v>4397</v>
      </c>
      <c r="I63" s="3480"/>
      <c r="J63" s="3478">
        <f t="shared" si="4"/>
        <v>61</v>
      </c>
      <c r="K63" s="3479" t="str">
        <f t="shared" si="5"/>
        <v>平谷区兴谷街道寨笆路8号院2号楼-2层B204</v>
      </c>
      <c r="L63" s="3479">
        <f t="shared" si="2"/>
        <v>9.1</v>
      </c>
      <c r="M63" s="3476">
        <f ca="1">典型户型修正!R84</f>
        <v>2171</v>
      </c>
      <c r="N63" s="3477">
        <f t="shared" ca="1" si="3"/>
        <v>19756</v>
      </c>
    </row>
    <row r="64" spans="1:14" ht="17.55" customHeight="1">
      <c r="A64" s="3461">
        <v>62</v>
      </c>
      <c r="B64" s="3461" t="s">
        <v>3580</v>
      </c>
      <c r="C64" s="3462" t="s">
        <v>3626</v>
      </c>
      <c r="D64" s="3462" t="s">
        <v>3627</v>
      </c>
      <c r="E64" s="3462" t="s">
        <v>4251</v>
      </c>
      <c r="F64" s="3462" t="s">
        <v>3524</v>
      </c>
      <c r="G64" s="3462" t="s">
        <v>3628</v>
      </c>
      <c r="H64" s="3465" t="s">
        <v>4397</v>
      </c>
      <c r="I64" s="3480"/>
      <c r="J64" s="3478">
        <f t="shared" si="4"/>
        <v>62</v>
      </c>
      <c r="K64" s="3479" t="str">
        <f t="shared" si="5"/>
        <v>平谷区兴谷街道寨笆路8号院2号楼-2层B205</v>
      </c>
      <c r="L64" s="3479">
        <f t="shared" si="2"/>
        <v>8.24</v>
      </c>
      <c r="M64" s="3476">
        <f ca="1">典型户型修正!R85</f>
        <v>2171</v>
      </c>
      <c r="N64" s="3477">
        <f t="shared" ca="1" si="3"/>
        <v>17889</v>
      </c>
    </row>
    <row r="65" spans="1:14" ht="17.55" customHeight="1">
      <c r="A65" s="3461">
        <v>63</v>
      </c>
      <c r="B65" s="3461" t="s">
        <v>3580</v>
      </c>
      <c r="C65" s="3462" t="s">
        <v>3629</v>
      </c>
      <c r="D65" s="3462" t="s">
        <v>3630</v>
      </c>
      <c r="E65" s="3462" t="s">
        <v>4349</v>
      </c>
      <c r="F65" s="3462" t="s">
        <v>3524</v>
      </c>
      <c r="G65" s="3462" t="s">
        <v>3631</v>
      </c>
      <c r="H65" s="3465" t="s">
        <v>4391</v>
      </c>
      <c r="I65" s="3480"/>
      <c r="J65" s="3478">
        <f t="shared" si="4"/>
        <v>63</v>
      </c>
      <c r="K65" s="3479" t="str">
        <f t="shared" si="5"/>
        <v>平谷区兴谷街道寨笆路8号院2号楼-2层B206</v>
      </c>
      <c r="L65" s="3479">
        <f t="shared" si="2"/>
        <v>10.69</v>
      </c>
      <c r="M65" s="3476">
        <f ca="1">典型户型修正!R86</f>
        <v>2579</v>
      </c>
      <c r="N65" s="3477">
        <f t="shared" ca="1" si="3"/>
        <v>27570</v>
      </c>
    </row>
    <row r="66" spans="1:14" ht="17.55" customHeight="1">
      <c r="A66" s="3461">
        <v>64</v>
      </c>
      <c r="B66" s="3461" t="s">
        <v>3580</v>
      </c>
      <c r="C66" s="3462" t="s">
        <v>3632</v>
      </c>
      <c r="D66" s="3462" t="s">
        <v>3633</v>
      </c>
      <c r="E66" s="3462" t="s">
        <v>4350</v>
      </c>
      <c r="F66" s="3462" t="s">
        <v>3524</v>
      </c>
      <c r="G66" s="3462" t="s">
        <v>3634</v>
      </c>
      <c r="H66" s="3465" t="s">
        <v>4397</v>
      </c>
      <c r="I66" s="3480"/>
      <c r="J66" s="3478">
        <f t="shared" si="4"/>
        <v>64</v>
      </c>
      <c r="K66" s="3479" t="str">
        <f t="shared" si="5"/>
        <v>平谷区兴谷街道寨笆路8号院2号楼-2层B208</v>
      </c>
      <c r="L66" s="3479">
        <f t="shared" si="2"/>
        <v>8.2200000000000006</v>
      </c>
      <c r="M66" s="3476">
        <f ca="1">典型户型修正!R87</f>
        <v>2171</v>
      </c>
      <c r="N66" s="3477">
        <f t="shared" ca="1" si="3"/>
        <v>17846</v>
      </c>
    </row>
    <row r="67" spans="1:14" ht="17.55" customHeight="1">
      <c r="A67" s="3461">
        <v>65</v>
      </c>
      <c r="B67" s="3461" t="s">
        <v>3580</v>
      </c>
      <c r="C67" s="3462" t="s">
        <v>3635</v>
      </c>
      <c r="D67" s="3462" t="s">
        <v>3636</v>
      </c>
      <c r="E67" s="3462" t="s">
        <v>4346</v>
      </c>
      <c r="F67" s="3462" t="s">
        <v>3524</v>
      </c>
      <c r="G67" s="3462" t="s">
        <v>3637</v>
      </c>
      <c r="H67" s="3465" t="s">
        <v>4397</v>
      </c>
      <c r="I67" s="3480"/>
      <c r="J67" s="3478">
        <f t="shared" si="4"/>
        <v>65</v>
      </c>
      <c r="K67" s="3479" t="str">
        <f t="shared" si="5"/>
        <v>平谷区兴谷街道寨笆路8号院2号楼-2层B209</v>
      </c>
      <c r="L67" s="3479">
        <f t="shared" si="2"/>
        <v>8.35</v>
      </c>
      <c r="M67" s="3476">
        <f ca="1">典型户型修正!R88</f>
        <v>2171</v>
      </c>
      <c r="N67" s="3477">
        <f t="shared" ca="1" si="3"/>
        <v>18128</v>
      </c>
    </row>
    <row r="68" spans="1:14" ht="17.55" customHeight="1">
      <c r="A68" s="3461">
        <v>66</v>
      </c>
      <c r="B68" s="3461" t="s">
        <v>3580</v>
      </c>
      <c r="C68" s="3462" t="s">
        <v>3638</v>
      </c>
      <c r="D68" s="3462" t="s">
        <v>3639</v>
      </c>
      <c r="E68" s="3462" t="s">
        <v>4268</v>
      </c>
      <c r="F68" s="3462" t="s">
        <v>3524</v>
      </c>
      <c r="G68" s="3462" t="s">
        <v>3640</v>
      </c>
      <c r="H68" s="3465" t="s">
        <v>4397</v>
      </c>
      <c r="I68" s="3480"/>
      <c r="J68" s="3478">
        <f t="shared" si="4"/>
        <v>66</v>
      </c>
      <c r="K68" s="3479" t="str">
        <f t="shared" si="5"/>
        <v>平谷区兴谷街道寨笆路8号院2号楼-2层B210</v>
      </c>
      <c r="L68" s="3479">
        <f t="shared" ref="L68:L131" si="6">E68*$P$3</f>
        <v>10.65</v>
      </c>
      <c r="M68" s="3476">
        <f ca="1">典型户型修正!R89</f>
        <v>2149</v>
      </c>
      <c r="N68" s="3477">
        <f t="shared" ref="N68:N131" ca="1" si="7">ROUND(E68*M68,0)</f>
        <v>22887</v>
      </c>
    </row>
    <row r="69" spans="1:14" ht="17.55" customHeight="1">
      <c r="A69" s="3461">
        <v>67</v>
      </c>
      <c r="B69" s="3461" t="s">
        <v>3580</v>
      </c>
      <c r="C69" s="3462" t="s">
        <v>3641</v>
      </c>
      <c r="D69" s="3462" t="s">
        <v>3642</v>
      </c>
      <c r="E69" s="3462" t="s">
        <v>4268</v>
      </c>
      <c r="F69" s="3462" t="s">
        <v>3524</v>
      </c>
      <c r="G69" s="3462" t="s">
        <v>3643</v>
      </c>
      <c r="H69" s="3465" t="s">
        <v>4397</v>
      </c>
      <c r="I69" s="3480"/>
      <c r="J69" s="3478">
        <f t="shared" si="4"/>
        <v>67</v>
      </c>
      <c r="K69" s="3479" t="str">
        <f t="shared" si="5"/>
        <v>平谷区兴谷街道寨笆路8号院2号楼-2层B213</v>
      </c>
      <c r="L69" s="3479">
        <f t="shared" si="6"/>
        <v>10.65</v>
      </c>
      <c r="M69" s="3476">
        <f ca="1">典型户型修正!R90</f>
        <v>2149</v>
      </c>
      <c r="N69" s="3477">
        <f t="shared" ca="1" si="7"/>
        <v>22887</v>
      </c>
    </row>
    <row r="70" spans="1:14" ht="17.55" customHeight="1">
      <c r="A70" s="3461">
        <v>68</v>
      </c>
      <c r="B70" s="3461" t="s">
        <v>3580</v>
      </c>
      <c r="C70" s="3462" t="s">
        <v>3644</v>
      </c>
      <c r="D70" s="3462" t="s">
        <v>3645</v>
      </c>
      <c r="E70" s="3462" t="s">
        <v>4317</v>
      </c>
      <c r="F70" s="3462" t="s">
        <v>3524</v>
      </c>
      <c r="G70" s="3462" t="s">
        <v>3646</v>
      </c>
      <c r="H70" s="3465" t="s">
        <v>4391</v>
      </c>
      <c r="I70" s="3480"/>
      <c r="J70" s="3478">
        <f t="shared" si="4"/>
        <v>68</v>
      </c>
      <c r="K70" s="3479" t="str">
        <f t="shared" si="5"/>
        <v>平谷区兴谷街道寨笆路8号院2号楼-2层B217</v>
      </c>
      <c r="L70" s="3479">
        <f t="shared" si="6"/>
        <v>7.86</v>
      </c>
      <c r="M70" s="3476">
        <f ca="1">典型户型修正!R91</f>
        <v>2605</v>
      </c>
      <c r="N70" s="3477">
        <f t="shared" ca="1" si="7"/>
        <v>20475</v>
      </c>
    </row>
    <row r="71" spans="1:14" ht="17.55" customHeight="1">
      <c r="A71" s="3461">
        <v>69</v>
      </c>
      <c r="B71" s="3461" t="s">
        <v>3580</v>
      </c>
      <c r="C71" s="3462" t="s">
        <v>3647</v>
      </c>
      <c r="D71" s="3462" t="s">
        <v>3648</v>
      </c>
      <c r="E71" s="3462" t="s">
        <v>4317</v>
      </c>
      <c r="F71" s="3462" t="s">
        <v>3524</v>
      </c>
      <c r="G71" s="3462" t="s">
        <v>3649</v>
      </c>
      <c r="H71" s="3465" t="s">
        <v>4397</v>
      </c>
      <c r="I71" s="3480"/>
      <c r="J71" s="3478">
        <f t="shared" si="4"/>
        <v>69</v>
      </c>
      <c r="K71" s="3479" t="str">
        <f t="shared" si="5"/>
        <v>平谷区兴谷街道寨笆路8号院2号楼-2层B218</v>
      </c>
      <c r="L71" s="3479">
        <f t="shared" si="6"/>
        <v>7.86</v>
      </c>
      <c r="M71" s="3476">
        <f ca="1">典型户型修正!R92</f>
        <v>2171</v>
      </c>
      <c r="N71" s="3477">
        <f t="shared" ca="1" si="7"/>
        <v>17064</v>
      </c>
    </row>
    <row r="72" spans="1:14" ht="17.55" customHeight="1">
      <c r="A72" s="3461">
        <v>70</v>
      </c>
      <c r="B72" s="3461" t="s">
        <v>3580</v>
      </c>
      <c r="C72" s="3462" t="s">
        <v>3650</v>
      </c>
      <c r="D72" s="3462" t="s">
        <v>3651</v>
      </c>
      <c r="E72" s="3462" t="s">
        <v>4255</v>
      </c>
      <c r="F72" s="3462" t="s">
        <v>3524</v>
      </c>
      <c r="G72" s="3462" t="s">
        <v>3652</v>
      </c>
      <c r="H72" s="3465" t="s">
        <v>4397</v>
      </c>
      <c r="I72" s="3480"/>
      <c r="J72" s="3478">
        <f t="shared" si="4"/>
        <v>70</v>
      </c>
      <c r="K72" s="3479" t="str">
        <f t="shared" si="5"/>
        <v>平谷区兴谷街道寨笆路8号院2号楼-2层B219</v>
      </c>
      <c r="L72" s="3479">
        <f t="shared" si="6"/>
        <v>7.2</v>
      </c>
      <c r="M72" s="3476">
        <f ca="1">典型户型修正!R93</f>
        <v>2171</v>
      </c>
      <c r="N72" s="3477">
        <f t="shared" ca="1" si="7"/>
        <v>15631</v>
      </c>
    </row>
    <row r="73" spans="1:14" ht="17.55" customHeight="1">
      <c r="A73" s="3461">
        <v>71</v>
      </c>
      <c r="B73" s="3461" t="s">
        <v>3580</v>
      </c>
      <c r="C73" s="3462" t="s">
        <v>3653</v>
      </c>
      <c r="D73" s="3462" t="s">
        <v>3654</v>
      </c>
      <c r="E73" s="3462" t="s">
        <v>4318</v>
      </c>
      <c r="F73" s="3462" t="s">
        <v>3524</v>
      </c>
      <c r="G73" s="3462" t="s">
        <v>3655</v>
      </c>
      <c r="H73" s="3465" t="s">
        <v>4397</v>
      </c>
      <c r="I73" s="3480"/>
      <c r="J73" s="3478">
        <f t="shared" si="4"/>
        <v>71</v>
      </c>
      <c r="K73" s="3479" t="str">
        <f t="shared" si="5"/>
        <v>平谷区兴谷街道寨笆路8号院2号楼-2层B221</v>
      </c>
      <c r="L73" s="3479">
        <f t="shared" si="6"/>
        <v>7.5</v>
      </c>
      <c r="M73" s="3476">
        <f ca="1">典型户型修正!R94</f>
        <v>2171</v>
      </c>
      <c r="N73" s="3477">
        <f t="shared" ca="1" si="7"/>
        <v>16283</v>
      </c>
    </row>
    <row r="74" spans="1:14" ht="17.55" customHeight="1">
      <c r="A74" s="3461">
        <v>72</v>
      </c>
      <c r="B74" s="3461" t="s">
        <v>3580</v>
      </c>
      <c r="C74" s="3462" t="s">
        <v>3656</v>
      </c>
      <c r="D74" s="3462" t="s">
        <v>3657</v>
      </c>
      <c r="E74" s="3462" t="s">
        <v>4269</v>
      </c>
      <c r="F74" s="3462" t="s">
        <v>3524</v>
      </c>
      <c r="G74" s="3462" t="s">
        <v>3658</v>
      </c>
      <c r="H74" s="3465" t="s">
        <v>4397</v>
      </c>
      <c r="I74" s="3480"/>
      <c r="J74" s="3478">
        <f t="shared" si="4"/>
        <v>72</v>
      </c>
      <c r="K74" s="3479" t="str">
        <f t="shared" si="5"/>
        <v>平谷区兴谷街道寨笆路8号院2号楼-2层B222</v>
      </c>
      <c r="L74" s="3479">
        <f t="shared" si="6"/>
        <v>7.73</v>
      </c>
      <c r="M74" s="3476">
        <f ca="1">典型户型修正!R95</f>
        <v>2171</v>
      </c>
      <c r="N74" s="3477">
        <f t="shared" ca="1" si="7"/>
        <v>16782</v>
      </c>
    </row>
    <row r="75" spans="1:14" ht="17.55" customHeight="1">
      <c r="A75" s="3461">
        <v>73</v>
      </c>
      <c r="B75" s="3461" t="s">
        <v>3580</v>
      </c>
      <c r="C75" s="3462" t="s">
        <v>3659</v>
      </c>
      <c r="D75" s="3462" t="s">
        <v>3660</v>
      </c>
      <c r="E75" s="3462" t="s">
        <v>4309</v>
      </c>
      <c r="F75" s="3462" t="s">
        <v>3524</v>
      </c>
      <c r="G75" s="3462" t="s">
        <v>3661</v>
      </c>
      <c r="H75" s="3465" t="s">
        <v>4397</v>
      </c>
      <c r="I75" s="3480"/>
      <c r="J75" s="3478">
        <f t="shared" si="4"/>
        <v>73</v>
      </c>
      <c r="K75" s="3479" t="str">
        <f t="shared" si="5"/>
        <v>平谷区兴谷街道寨笆路8号院2号楼-2层B223</v>
      </c>
      <c r="L75" s="3479">
        <f t="shared" si="6"/>
        <v>9.8699999999999992</v>
      </c>
      <c r="M75" s="3476">
        <f ca="1">典型户型修正!R96</f>
        <v>2171</v>
      </c>
      <c r="N75" s="3477">
        <f t="shared" ca="1" si="7"/>
        <v>21428</v>
      </c>
    </row>
    <row r="76" spans="1:14" ht="17.55" customHeight="1">
      <c r="A76" s="3461">
        <v>74</v>
      </c>
      <c r="B76" s="3461" t="s">
        <v>3580</v>
      </c>
      <c r="C76" s="3462" t="s">
        <v>3662</v>
      </c>
      <c r="D76" s="3462" t="s">
        <v>3663</v>
      </c>
      <c r="E76" s="3462" t="s">
        <v>4270</v>
      </c>
      <c r="F76" s="3462" t="s">
        <v>3524</v>
      </c>
      <c r="G76" s="3462" t="s">
        <v>3664</v>
      </c>
      <c r="H76" s="3465" t="s">
        <v>4397</v>
      </c>
      <c r="I76" s="3480"/>
      <c r="J76" s="3478">
        <f t="shared" si="4"/>
        <v>74</v>
      </c>
      <c r="K76" s="3479" t="str">
        <f t="shared" si="5"/>
        <v>平谷区兴谷街道寨笆路8号院2号楼-2层B224</v>
      </c>
      <c r="L76" s="3479">
        <f t="shared" si="6"/>
        <v>9.52</v>
      </c>
      <c r="M76" s="3476">
        <f ca="1">典型户型修正!R97</f>
        <v>2171</v>
      </c>
      <c r="N76" s="3477">
        <f t="shared" ca="1" si="7"/>
        <v>20668</v>
      </c>
    </row>
    <row r="77" spans="1:14" ht="17.55" customHeight="1">
      <c r="A77" s="3461">
        <v>75</v>
      </c>
      <c r="B77" s="3461" t="s">
        <v>3665</v>
      </c>
      <c r="C77" s="3462" t="s">
        <v>3666</v>
      </c>
      <c r="D77" s="3462" t="s">
        <v>3667</v>
      </c>
      <c r="E77" s="3462" t="s">
        <v>4240</v>
      </c>
      <c r="F77" s="3462" t="s">
        <v>3442</v>
      </c>
      <c r="G77" s="3462" t="s">
        <v>3668</v>
      </c>
      <c r="H77" s="3465" t="s">
        <v>4397</v>
      </c>
      <c r="I77" s="3480"/>
      <c r="J77" s="3478">
        <f t="shared" si="4"/>
        <v>75</v>
      </c>
      <c r="K77" s="3479" t="str">
        <f t="shared" si="5"/>
        <v>平谷区兴谷街道寨笆路8号院3号楼-1层B101</v>
      </c>
      <c r="L77" s="3479">
        <f t="shared" si="6"/>
        <v>10.56</v>
      </c>
      <c r="M77" s="3476">
        <f ca="1">典型户型修正!R98</f>
        <v>2388</v>
      </c>
      <c r="N77" s="3477">
        <f t="shared" ca="1" si="7"/>
        <v>25217</v>
      </c>
    </row>
    <row r="78" spans="1:14" ht="17.55" customHeight="1">
      <c r="A78" s="3461">
        <v>76</v>
      </c>
      <c r="B78" s="3461" t="s">
        <v>3665</v>
      </c>
      <c r="C78" s="3462" t="s">
        <v>3669</v>
      </c>
      <c r="D78" s="3462" t="s">
        <v>3670</v>
      </c>
      <c r="E78" s="3462" t="s">
        <v>4332</v>
      </c>
      <c r="F78" s="3462" t="s">
        <v>3442</v>
      </c>
      <c r="G78" s="3462" t="s">
        <v>3671</v>
      </c>
      <c r="H78" s="3465" t="s">
        <v>4397</v>
      </c>
      <c r="I78" s="3480"/>
      <c r="J78" s="3478">
        <f t="shared" si="4"/>
        <v>76</v>
      </c>
      <c r="K78" s="3479" t="str">
        <f t="shared" si="5"/>
        <v>平谷区兴谷街道寨笆路8号院3号楼-1层B103</v>
      </c>
      <c r="L78" s="3479">
        <f t="shared" si="6"/>
        <v>8.43</v>
      </c>
      <c r="M78" s="3476">
        <f ca="1">典型户型修正!R99</f>
        <v>2412</v>
      </c>
      <c r="N78" s="3477">
        <f t="shared" ca="1" si="7"/>
        <v>20333</v>
      </c>
    </row>
    <row r="79" spans="1:14" ht="17.55" customHeight="1">
      <c r="A79" s="3461">
        <v>77</v>
      </c>
      <c r="B79" s="3461" t="s">
        <v>3665</v>
      </c>
      <c r="C79" s="3462" t="s">
        <v>3672</v>
      </c>
      <c r="D79" s="3462" t="s">
        <v>3673</v>
      </c>
      <c r="E79" s="3462" t="s">
        <v>4288</v>
      </c>
      <c r="F79" s="3462" t="s">
        <v>3442</v>
      </c>
      <c r="G79" s="3462" t="s">
        <v>3674</v>
      </c>
      <c r="H79" s="3465" t="s">
        <v>4391</v>
      </c>
      <c r="I79" s="3480"/>
      <c r="J79" s="3478">
        <f t="shared" si="4"/>
        <v>77</v>
      </c>
      <c r="K79" s="3479" t="str">
        <f t="shared" si="5"/>
        <v>平谷区兴谷街道寨笆路8号院3号楼-1层B104</v>
      </c>
      <c r="L79" s="3479">
        <f t="shared" si="6"/>
        <v>10.75</v>
      </c>
      <c r="M79" s="3476">
        <f ca="1">典型户型修正!R100</f>
        <v>2866</v>
      </c>
      <c r="N79" s="3477">
        <f t="shared" ca="1" si="7"/>
        <v>30810</v>
      </c>
    </row>
    <row r="80" spans="1:14" ht="17.55" customHeight="1">
      <c r="A80" s="3461">
        <v>78</v>
      </c>
      <c r="B80" s="3461" t="s">
        <v>3665</v>
      </c>
      <c r="C80" s="3462" t="s">
        <v>3675</v>
      </c>
      <c r="D80" s="3462" t="s">
        <v>3676</v>
      </c>
      <c r="E80" s="3462" t="s">
        <v>4284</v>
      </c>
      <c r="F80" s="3462" t="s">
        <v>3442</v>
      </c>
      <c r="G80" s="3462" t="s">
        <v>3677</v>
      </c>
      <c r="H80" s="3465" t="s">
        <v>4397</v>
      </c>
      <c r="I80" s="3480"/>
      <c r="J80" s="3478">
        <f t="shared" si="4"/>
        <v>78</v>
      </c>
      <c r="K80" s="3479" t="str">
        <f t="shared" si="5"/>
        <v>平谷区兴谷街道寨笆路8号院3号楼-1层B105</v>
      </c>
      <c r="L80" s="3479">
        <f t="shared" si="6"/>
        <v>10.64</v>
      </c>
      <c r="M80" s="3476">
        <f ca="1">典型户型修正!R101</f>
        <v>2388</v>
      </c>
      <c r="N80" s="3477">
        <f t="shared" ca="1" si="7"/>
        <v>25408</v>
      </c>
    </row>
    <row r="81" spans="1:14" ht="17.55" customHeight="1">
      <c r="A81" s="3461">
        <v>79</v>
      </c>
      <c r="B81" s="3461" t="s">
        <v>3665</v>
      </c>
      <c r="C81" s="3462" t="s">
        <v>3678</v>
      </c>
      <c r="D81" s="3462" t="s">
        <v>3679</v>
      </c>
      <c r="E81" s="3462" t="s">
        <v>4286</v>
      </c>
      <c r="F81" s="3462" t="s">
        <v>3442</v>
      </c>
      <c r="G81" s="3462" t="s">
        <v>3680</v>
      </c>
      <c r="H81" s="3465" t="s">
        <v>4397</v>
      </c>
      <c r="I81" s="3480"/>
      <c r="J81" s="3478">
        <f t="shared" si="4"/>
        <v>79</v>
      </c>
      <c r="K81" s="3479" t="str">
        <f t="shared" si="5"/>
        <v>平谷区兴谷街道寨笆路8号院3号楼-1层B106</v>
      </c>
      <c r="L81" s="3479">
        <f t="shared" si="6"/>
        <v>10.64</v>
      </c>
      <c r="M81" s="3476">
        <f ca="1">典型户型修正!R102</f>
        <v>2388</v>
      </c>
      <c r="N81" s="3477">
        <f t="shared" ca="1" si="7"/>
        <v>25408</v>
      </c>
    </row>
    <row r="82" spans="1:14" ht="17.55" customHeight="1">
      <c r="A82" s="3461">
        <v>80</v>
      </c>
      <c r="B82" s="3461" t="s">
        <v>3665</v>
      </c>
      <c r="C82" s="3462" t="s">
        <v>3681</v>
      </c>
      <c r="D82" s="3462" t="s">
        <v>3682</v>
      </c>
      <c r="E82" s="3462" t="s">
        <v>4285</v>
      </c>
      <c r="F82" s="3462" t="s">
        <v>3442</v>
      </c>
      <c r="G82" s="3462" t="s">
        <v>3683</v>
      </c>
      <c r="H82" s="3465" t="s">
        <v>4397</v>
      </c>
      <c r="I82" s="3480"/>
      <c r="J82" s="3478">
        <f t="shared" ref="J82:J145" si="8">A82</f>
        <v>80</v>
      </c>
      <c r="K82" s="3479" t="str">
        <f t="shared" ref="K82:K145" si="9">G82</f>
        <v>平谷区兴谷街道寨笆路8号院3号楼-1层B107</v>
      </c>
      <c r="L82" s="3479">
        <f t="shared" si="6"/>
        <v>10.64</v>
      </c>
      <c r="M82" s="3476">
        <f ca="1">典型户型修正!R103</f>
        <v>2388</v>
      </c>
      <c r="N82" s="3477">
        <f t="shared" ca="1" si="7"/>
        <v>25408</v>
      </c>
    </row>
    <row r="83" spans="1:14" ht="17.55" customHeight="1">
      <c r="A83" s="3461">
        <v>81</v>
      </c>
      <c r="B83" s="3461" t="s">
        <v>3665</v>
      </c>
      <c r="C83" s="3462" t="s">
        <v>3684</v>
      </c>
      <c r="D83" s="3462" t="s">
        <v>3685</v>
      </c>
      <c r="E83" s="3462" t="s">
        <v>4286</v>
      </c>
      <c r="F83" s="3462" t="s">
        <v>3442</v>
      </c>
      <c r="G83" s="3462" t="s">
        <v>3686</v>
      </c>
      <c r="H83" s="3465" t="s">
        <v>4397</v>
      </c>
      <c r="I83" s="3480"/>
      <c r="J83" s="3478">
        <f t="shared" si="8"/>
        <v>81</v>
      </c>
      <c r="K83" s="3479" t="str">
        <f t="shared" si="9"/>
        <v>平谷区兴谷街道寨笆路8号院3号楼-1层B108</v>
      </c>
      <c r="L83" s="3479">
        <f t="shared" si="6"/>
        <v>10.64</v>
      </c>
      <c r="M83" s="3476">
        <f ca="1">典型户型修正!R104</f>
        <v>2388</v>
      </c>
      <c r="N83" s="3477">
        <f t="shared" ca="1" si="7"/>
        <v>25408</v>
      </c>
    </row>
    <row r="84" spans="1:14" ht="17.55" customHeight="1">
      <c r="A84" s="3461">
        <v>82</v>
      </c>
      <c r="B84" s="3461" t="s">
        <v>3665</v>
      </c>
      <c r="C84" s="3462" t="s">
        <v>3687</v>
      </c>
      <c r="D84" s="3462" t="s">
        <v>3688</v>
      </c>
      <c r="E84" s="3462" t="s">
        <v>4287</v>
      </c>
      <c r="F84" s="3462" t="s">
        <v>3442</v>
      </c>
      <c r="G84" s="3462" t="s">
        <v>3689</v>
      </c>
      <c r="H84" s="3465" t="s">
        <v>4397</v>
      </c>
      <c r="I84" s="3480"/>
      <c r="J84" s="3478">
        <f t="shared" si="8"/>
        <v>82</v>
      </c>
      <c r="K84" s="3479" t="str">
        <f t="shared" si="9"/>
        <v>平谷区兴谷街道寨笆路8号院3号楼-1层B109</v>
      </c>
      <c r="L84" s="3479">
        <f t="shared" si="6"/>
        <v>8.35</v>
      </c>
      <c r="M84" s="3476">
        <f ca="1">典型户型修正!R105</f>
        <v>2412</v>
      </c>
      <c r="N84" s="3477">
        <f t="shared" ca="1" si="7"/>
        <v>20140</v>
      </c>
    </row>
    <row r="85" spans="1:14" ht="17.55" customHeight="1">
      <c r="A85" s="3461">
        <v>83</v>
      </c>
      <c r="B85" s="3461" t="s">
        <v>3665</v>
      </c>
      <c r="C85" s="3462" t="s">
        <v>3690</v>
      </c>
      <c r="D85" s="3462" t="s">
        <v>3691</v>
      </c>
      <c r="E85" s="3462" t="s">
        <v>4319</v>
      </c>
      <c r="F85" s="3462" t="s">
        <v>3442</v>
      </c>
      <c r="G85" s="3462" t="s">
        <v>3692</v>
      </c>
      <c r="H85" s="3465" t="s">
        <v>4397</v>
      </c>
      <c r="I85" s="3480"/>
      <c r="J85" s="3478">
        <f t="shared" si="8"/>
        <v>83</v>
      </c>
      <c r="K85" s="3479" t="str">
        <f t="shared" si="9"/>
        <v>平谷区兴谷街道寨笆路8号院3号楼-1层B110</v>
      </c>
      <c r="L85" s="3479">
        <f t="shared" si="6"/>
        <v>7.84</v>
      </c>
      <c r="M85" s="3476">
        <f ca="1">典型户型修正!R106</f>
        <v>2412</v>
      </c>
      <c r="N85" s="3477">
        <f t="shared" ca="1" si="7"/>
        <v>18910</v>
      </c>
    </row>
    <row r="86" spans="1:14" ht="17.55" customHeight="1">
      <c r="A86" s="3461">
        <v>84</v>
      </c>
      <c r="B86" s="3461" t="s">
        <v>3665</v>
      </c>
      <c r="C86" s="3462" t="s">
        <v>3693</v>
      </c>
      <c r="D86" s="3462" t="s">
        <v>3694</v>
      </c>
      <c r="E86" s="3462" t="s">
        <v>4238</v>
      </c>
      <c r="F86" s="3462" t="s">
        <v>3442</v>
      </c>
      <c r="G86" s="3462" t="s">
        <v>3695</v>
      </c>
      <c r="H86" s="3465" t="s">
        <v>4397</v>
      </c>
      <c r="I86" s="3480"/>
      <c r="J86" s="3478">
        <f t="shared" si="8"/>
        <v>84</v>
      </c>
      <c r="K86" s="3479" t="str">
        <f t="shared" si="9"/>
        <v>平谷区兴谷街道寨笆路8号院3号楼-1层B111</v>
      </c>
      <c r="L86" s="3479">
        <f t="shared" si="6"/>
        <v>6.43</v>
      </c>
      <c r="M86" s="3476">
        <f ca="1">典型户型修正!R107</f>
        <v>2412</v>
      </c>
      <c r="N86" s="3477">
        <f t="shared" ca="1" si="7"/>
        <v>15509</v>
      </c>
    </row>
    <row r="87" spans="1:14" ht="17.55" customHeight="1">
      <c r="A87" s="3461">
        <v>85</v>
      </c>
      <c r="B87" s="3461" t="s">
        <v>3665</v>
      </c>
      <c r="C87" s="3462" t="s">
        <v>3696</v>
      </c>
      <c r="D87" s="3462" t="s">
        <v>3697</v>
      </c>
      <c r="E87" s="3462" t="s">
        <v>4317</v>
      </c>
      <c r="F87" s="3462" t="s">
        <v>3442</v>
      </c>
      <c r="G87" s="3462" t="s">
        <v>3698</v>
      </c>
      <c r="H87" s="3465" t="s">
        <v>4392</v>
      </c>
      <c r="I87" s="3480"/>
      <c r="J87" s="3478">
        <f t="shared" si="8"/>
        <v>85</v>
      </c>
      <c r="K87" s="3479" t="str">
        <f t="shared" si="9"/>
        <v>平谷区兴谷街道寨笆路8号院3号楼-1层B113</v>
      </c>
      <c r="L87" s="3479">
        <f t="shared" si="6"/>
        <v>7.86</v>
      </c>
      <c r="M87" s="3476">
        <f ca="1">典型户型修正!R108</f>
        <v>2894</v>
      </c>
      <c r="N87" s="3477">
        <f t="shared" ca="1" si="7"/>
        <v>22747</v>
      </c>
    </row>
    <row r="88" spans="1:14" ht="17.55" customHeight="1">
      <c r="A88" s="3461">
        <v>86</v>
      </c>
      <c r="B88" s="3461" t="s">
        <v>3665</v>
      </c>
      <c r="C88" s="3462" t="s">
        <v>3699</v>
      </c>
      <c r="D88" s="3462" t="s">
        <v>3700</v>
      </c>
      <c r="E88" s="3462" t="s">
        <v>4317</v>
      </c>
      <c r="F88" s="3462" t="s">
        <v>3442</v>
      </c>
      <c r="G88" s="3462" t="s">
        <v>3701</v>
      </c>
      <c r="H88" s="3465" t="s">
        <v>4391</v>
      </c>
      <c r="I88" s="3480"/>
      <c r="J88" s="3478">
        <f t="shared" si="8"/>
        <v>86</v>
      </c>
      <c r="K88" s="3479" t="str">
        <f t="shared" si="9"/>
        <v>平谷区兴谷街道寨笆路8号院3号楼-1层B115</v>
      </c>
      <c r="L88" s="3479">
        <f t="shared" si="6"/>
        <v>7.86</v>
      </c>
      <c r="M88" s="3476">
        <f ca="1">典型户型修正!R109</f>
        <v>2894</v>
      </c>
      <c r="N88" s="3477">
        <f t="shared" ca="1" si="7"/>
        <v>22747</v>
      </c>
    </row>
    <row r="89" spans="1:14" ht="17.55" customHeight="1">
      <c r="A89" s="3461">
        <v>87</v>
      </c>
      <c r="B89" s="3461" t="s">
        <v>3665</v>
      </c>
      <c r="C89" s="3462" t="s">
        <v>3702</v>
      </c>
      <c r="D89" s="3462" t="s">
        <v>3703</v>
      </c>
      <c r="E89" s="3462" t="s">
        <v>4317</v>
      </c>
      <c r="F89" s="3462" t="s">
        <v>3442</v>
      </c>
      <c r="G89" s="3462" t="s">
        <v>3704</v>
      </c>
      <c r="H89" s="3465" t="s">
        <v>4392</v>
      </c>
      <c r="I89" s="3480"/>
      <c r="J89" s="3478">
        <f t="shared" si="8"/>
        <v>87</v>
      </c>
      <c r="K89" s="3479" t="str">
        <f t="shared" si="9"/>
        <v>平谷区兴谷街道寨笆路8号院3号楼-1层B116</v>
      </c>
      <c r="L89" s="3479">
        <f t="shared" si="6"/>
        <v>7.86</v>
      </c>
      <c r="M89" s="3476">
        <f ca="1">典型户型修正!R110</f>
        <v>2894</v>
      </c>
      <c r="N89" s="3477">
        <f t="shared" ca="1" si="7"/>
        <v>22747</v>
      </c>
    </row>
    <row r="90" spans="1:14" ht="17.55" customHeight="1">
      <c r="A90" s="3461">
        <v>88</v>
      </c>
      <c r="B90" s="3461" t="s">
        <v>3665</v>
      </c>
      <c r="C90" s="3462" t="s">
        <v>3705</v>
      </c>
      <c r="D90" s="3462" t="s">
        <v>3706</v>
      </c>
      <c r="E90" s="3462" t="s">
        <v>4354</v>
      </c>
      <c r="F90" s="3462" t="s">
        <v>3442</v>
      </c>
      <c r="G90" s="3462" t="s">
        <v>3707</v>
      </c>
      <c r="H90" s="3465" t="s">
        <v>4397</v>
      </c>
      <c r="I90" s="3480"/>
      <c r="J90" s="3478">
        <f t="shared" si="8"/>
        <v>88</v>
      </c>
      <c r="K90" s="3479" t="str">
        <f t="shared" si="9"/>
        <v>平谷区兴谷街道寨笆路8号院3号楼-1层B117</v>
      </c>
      <c r="L90" s="3479">
        <f t="shared" si="6"/>
        <v>10.55</v>
      </c>
      <c r="M90" s="3476">
        <f ca="1">典型户型修正!R111</f>
        <v>2388</v>
      </c>
      <c r="N90" s="3477">
        <f t="shared" ca="1" si="7"/>
        <v>25193</v>
      </c>
    </row>
    <row r="91" spans="1:14" ht="17.55" customHeight="1">
      <c r="A91" s="3461">
        <v>89</v>
      </c>
      <c r="B91" s="3461" t="s">
        <v>3665</v>
      </c>
      <c r="C91" s="3462" t="s">
        <v>3708</v>
      </c>
      <c r="D91" s="3462" t="s">
        <v>3709</v>
      </c>
      <c r="E91" s="3462" t="s">
        <v>4355</v>
      </c>
      <c r="F91" s="3462" t="s">
        <v>3442</v>
      </c>
      <c r="G91" s="3462" t="s">
        <v>3710</v>
      </c>
      <c r="H91" s="3465" t="s">
        <v>4397</v>
      </c>
      <c r="I91" s="3480"/>
      <c r="J91" s="3478">
        <f t="shared" si="8"/>
        <v>89</v>
      </c>
      <c r="K91" s="3479" t="str">
        <f t="shared" si="9"/>
        <v>平谷区兴谷街道寨笆路8号院3号楼-1层B118</v>
      </c>
      <c r="L91" s="3479">
        <f t="shared" si="6"/>
        <v>4.43</v>
      </c>
      <c r="M91" s="3476">
        <f ca="1">典型户型修正!R112</f>
        <v>2436</v>
      </c>
      <c r="N91" s="3477">
        <f t="shared" ca="1" si="7"/>
        <v>10791</v>
      </c>
    </row>
    <row r="92" spans="1:14" ht="17.55" customHeight="1">
      <c r="A92" s="3461">
        <v>90</v>
      </c>
      <c r="B92" s="3461" t="s">
        <v>3665</v>
      </c>
      <c r="C92" s="3462" t="s">
        <v>3711</v>
      </c>
      <c r="D92" s="3462" t="s">
        <v>3712</v>
      </c>
      <c r="E92" s="3462" t="s">
        <v>4238</v>
      </c>
      <c r="F92" s="3462" t="s">
        <v>3442</v>
      </c>
      <c r="G92" s="3462" t="s">
        <v>3713</v>
      </c>
      <c r="H92" s="3465" t="s">
        <v>4397</v>
      </c>
      <c r="I92" s="3480"/>
      <c r="J92" s="3478">
        <f t="shared" si="8"/>
        <v>90</v>
      </c>
      <c r="K92" s="3479" t="str">
        <f t="shared" si="9"/>
        <v>平谷区兴谷街道寨笆路8号院3号楼-1层B119</v>
      </c>
      <c r="L92" s="3479">
        <f t="shared" si="6"/>
        <v>6.43</v>
      </c>
      <c r="M92" s="3476">
        <f ca="1">典型户型修正!R113</f>
        <v>2412</v>
      </c>
      <c r="N92" s="3477">
        <f t="shared" ca="1" si="7"/>
        <v>15509</v>
      </c>
    </row>
    <row r="93" spans="1:14" ht="17.55" customHeight="1">
      <c r="A93" s="3461">
        <v>91</v>
      </c>
      <c r="B93" s="3461" t="s">
        <v>3665</v>
      </c>
      <c r="C93" s="3462" t="s">
        <v>3714</v>
      </c>
      <c r="D93" s="3462" t="s">
        <v>3715</v>
      </c>
      <c r="E93" s="3462" t="s">
        <v>4319</v>
      </c>
      <c r="F93" s="3462" t="s">
        <v>3442</v>
      </c>
      <c r="G93" s="3462" t="s">
        <v>3716</v>
      </c>
      <c r="H93" s="3465" t="s">
        <v>4397</v>
      </c>
      <c r="I93" s="3480"/>
      <c r="J93" s="3478">
        <f t="shared" si="8"/>
        <v>91</v>
      </c>
      <c r="K93" s="3479" t="str">
        <f t="shared" si="9"/>
        <v>平谷区兴谷街道寨笆路8号院3号楼-1层B120</v>
      </c>
      <c r="L93" s="3479">
        <f t="shared" si="6"/>
        <v>7.84</v>
      </c>
      <c r="M93" s="3476">
        <f ca="1">典型户型修正!R114</f>
        <v>2412</v>
      </c>
      <c r="N93" s="3477">
        <f t="shared" ca="1" si="7"/>
        <v>18910</v>
      </c>
    </row>
    <row r="94" spans="1:14" ht="17.55" customHeight="1">
      <c r="A94" s="3461">
        <v>92</v>
      </c>
      <c r="B94" s="3461" t="s">
        <v>3665</v>
      </c>
      <c r="C94" s="3462" t="s">
        <v>3717</v>
      </c>
      <c r="D94" s="3462" t="s">
        <v>3718</v>
      </c>
      <c r="E94" s="3462" t="s">
        <v>4346</v>
      </c>
      <c r="F94" s="3462" t="s">
        <v>3442</v>
      </c>
      <c r="G94" s="3462" t="s">
        <v>3719</v>
      </c>
      <c r="H94" s="3465" t="s">
        <v>4397</v>
      </c>
      <c r="I94" s="3480"/>
      <c r="J94" s="3478">
        <f t="shared" si="8"/>
        <v>92</v>
      </c>
      <c r="K94" s="3479" t="str">
        <f t="shared" si="9"/>
        <v>平谷区兴谷街道寨笆路8号院3号楼-1层B121</v>
      </c>
      <c r="L94" s="3479">
        <f t="shared" si="6"/>
        <v>8.35</v>
      </c>
      <c r="M94" s="3476">
        <f ca="1">典型户型修正!R115</f>
        <v>2412</v>
      </c>
      <c r="N94" s="3477">
        <f t="shared" ca="1" si="7"/>
        <v>20140</v>
      </c>
    </row>
    <row r="95" spans="1:14" ht="17.55" customHeight="1">
      <c r="A95" s="3461">
        <v>93</v>
      </c>
      <c r="B95" s="3461" t="s">
        <v>3665</v>
      </c>
      <c r="C95" s="3462" t="s">
        <v>3720</v>
      </c>
      <c r="D95" s="3462" t="s">
        <v>3721</v>
      </c>
      <c r="E95" s="3462" t="s">
        <v>4356</v>
      </c>
      <c r="F95" s="3462" t="s">
        <v>3442</v>
      </c>
      <c r="G95" s="3462" t="s">
        <v>3722</v>
      </c>
      <c r="H95" s="3465" t="s">
        <v>4397</v>
      </c>
      <c r="I95" s="3480"/>
      <c r="J95" s="3478">
        <f t="shared" si="8"/>
        <v>93</v>
      </c>
      <c r="K95" s="3479" t="str">
        <f t="shared" si="9"/>
        <v>平谷区兴谷街道寨笆路8号院3号楼-1层B122</v>
      </c>
      <c r="L95" s="3479">
        <f t="shared" si="6"/>
        <v>10.64</v>
      </c>
      <c r="M95" s="3476">
        <f ca="1">典型户型修正!R116</f>
        <v>2388</v>
      </c>
      <c r="N95" s="3477">
        <f t="shared" ca="1" si="7"/>
        <v>25408</v>
      </c>
    </row>
    <row r="96" spans="1:14" ht="17.55" customHeight="1">
      <c r="A96" s="3461">
        <v>94</v>
      </c>
      <c r="B96" s="3461" t="s">
        <v>3665</v>
      </c>
      <c r="C96" s="3462" t="s">
        <v>3723</v>
      </c>
      <c r="D96" s="3462" t="s">
        <v>3724</v>
      </c>
      <c r="E96" s="3462" t="s">
        <v>4286</v>
      </c>
      <c r="F96" s="3462" t="s">
        <v>3442</v>
      </c>
      <c r="G96" s="3462" t="s">
        <v>3725</v>
      </c>
      <c r="H96" s="3465" t="s">
        <v>4397</v>
      </c>
      <c r="I96" s="3480"/>
      <c r="J96" s="3478">
        <f t="shared" si="8"/>
        <v>94</v>
      </c>
      <c r="K96" s="3479" t="str">
        <f t="shared" si="9"/>
        <v>平谷区兴谷街道寨笆路8号院3号楼-1层B124</v>
      </c>
      <c r="L96" s="3479">
        <f t="shared" si="6"/>
        <v>10.64</v>
      </c>
      <c r="M96" s="3476">
        <f ca="1">典型户型修正!R117</f>
        <v>2388</v>
      </c>
      <c r="N96" s="3477">
        <f t="shared" ca="1" si="7"/>
        <v>25408</v>
      </c>
    </row>
    <row r="97" spans="1:14" ht="17.55" customHeight="1">
      <c r="A97" s="3461">
        <v>95</v>
      </c>
      <c r="B97" s="3461" t="s">
        <v>3665</v>
      </c>
      <c r="C97" s="3462" t="s">
        <v>3726</v>
      </c>
      <c r="D97" s="3462" t="s">
        <v>3727</v>
      </c>
      <c r="E97" s="3462" t="s">
        <v>4286</v>
      </c>
      <c r="F97" s="3462" t="s">
        <v>3442</v>
      </c>
      <c r="G97" s="3462" t="s">
        <v>3728</v>
      </c>
      <c r="H97" s="3465" t="s">
        <v>4397</v>
      </c>
      <c r="I97" s="3480"/>
      <c r="J97" s="3478">
        <f t="shared" si="8"/>
        <v>95</v>
      </c>
      <c r="K97" s="3479" t="str">
        <f t="shared" si="9"/>
        <v>平谷区兴谷街道寨笆路8号院3号楼-1层B125</v>
      </c>
      <c r="L97" s="3479">
        <f t="shared" si="6"/>
        <v>10.64</v>
      </c>
      <c r="M97" s="3476">
        <f ca="1">典型户型修正!R118</f>
        <v>2388</v>
      </c>
      <c r="N97" s="3477">
        <f t="shared" ca="1" si="7"/>
        <v>25408</v>
      </c>
    </row>
    <row r="98" spans="1:14" ht="17.55" customHeight="1">
      <c r="A98" s="3461">
        <v>96</v>
      </c>
      <c r="B98" s="3461" t="s">
        <v>3665</v>
      </c>
      <c r="C98" s="3462" t="s">
        <v>3729</v>
      </c>
      <c r="D98" s="3462" t="s">
        <v>3730</v>
      </c>
      <c r="E98" s="3462" t="s">
        <v>4346</v>
      </c>
      <c r="F98" s="3462" t="s">
        <v>3442</v>
      </c>
      <c r="G98" s="3462" t="s">
        <v>3731</v>
      </c>
      <c r="H98" s="3465" t="s">
        <v>4397</v>
      </c>
      <c r="I98" s="3480"/>
      <c r="J98" s="3478">
        <f t="shared" si="8"/>
        <v>96</v>
      </c>
      <c r="K98" s="3479" t="str">
        <f t="shared" si="9"/>
        <v>平谷区兴谷街道寨笆路8号院3号楼-1层B126</v>
      </c>
      <c r="L98" s="3479">
        <f t="shared" si="6"/>
        <v>8.35</v>
      </c>
      <c r="M98" s="3476">
        <f ca="1">典型户型修正!R119</f>
        <v>2412</v>
      </c>
      <c r="N98" s="3477">
        <f t="shared" ca="1" si="7"/>
        <v>20140</v>
      </c>
    </row>
    <row r="99" spans="1:14" ht="17.55" customHeight="1">
      <c r="A99" s="3461">
        <v>97</v>
      </c>
      <c r="B99" s="3461" t="s">
        <v>3665</v>
      </c>
      <c r="C99" s="3462" t="s">
        <v>3732</v>
      </c>
      <c r="D99" s="3462" t="s">
        <v>3733</v>
      </c>
      <c r="E99" s="3462" t="s">
        <v>4319</v>
      </c>
      <c r="F99" s="3462" t="s">
        <v>3442</v>
      </c>
      <c r="G99" s="3462" t="s">
        <v>3734</v>
      </c>
      <c r="H99" s="3465" t="s">
        <v>4397</v>
      </c>
      <c r="I99" s="3480"/>
      <c r="J99" s="3478">
        <f t="shared" si="8"/>
        <v>97</v>
      </c>
      <c r="K99" s="3479" t="str">
        <f t="shared" si="9"/>
        <v>平谷区兴谷街道寨笆路8号院3号楼-1层B127</v>
      </c>
      <c r="L99" s="3479">
        <f t="shared" si="6"/>
        <v>7.84</v>
      </c>
      <c r="M99" s="3476">
        <f ca="1">典型户型修正!R120</f>
        <v>2412</v>
      </c>
      <c r="N99" s="3477">
        <f t="shared" ca="1" si="7"/>
        <v>18910</v>
      </c>
    </row>
    <row r="100" spans="1:14" ht="17.55" customHeight="1">
      <c r="A100" s="3461">
        <v>98</v>
      </c>
      <c r="B100" s="3461" t="s">
        <v>3665</v>
      </c>
      <c r="C100" s="3462" t="s">
        <v>3735</v>
      </c>
      <c r="D100" s="3462" t="s">
        <v>3736</v>
      </c>
      <c r="E100" s="3462" t="s">
        <v>4354</v>
      </c>
      <c r="F100" s="3462" t="s">
        <v>3442</v>
      </c>
      <c r="G100" s="3462" t="s">
        <v>3737</v>
      </c>
      <c r="H100" s="3465" t="s">
        <v>4391</v>
      </c>
      <c r="I100" s="3480"/>
      <c r="J100" s="3478">
        <f t="shared" si="8"/>
        <v>98</v>
      </c>
      <c r="K100" s="3479" t="str">
        <f t="shared" si="9"/>
        <v>平谷区兴谷街道寨笆路8号院3号楼-1层B128</v>
      </c>
      <c r="L100" s="3479">
        <f t="shared" si="6"/>
        <v>10.55</v>
      </c>
      <c r="M100" s="3476">
        <f ca="1">典型户型修正!R121</f>
        <v>2866</v>
      </c>
      <c r="N100" s="3477">
        <f t="shared" ca="1" si="7"/>
        <v>30236</v>
      </c>
    </row>
    <row r="101" spans="1:14" ht="17.55" customHeight="1">
      <c r="A101" s="3461">
        <v>99</v>
      </c>
      <c r="B101" s="3461" t="s">
        <v>3665</v>
      </c>
      <c r="C101" s="3462" t="s">
        <v>3738</v>
      </c>
      <c r="D101" s="3462" t="s">
        <v>3739</v>
      </c>
      <c r="E101" s="3462" t="s">
        <v>4288</v>
      </c>
      <c r="F101" s="3462" t="s">
        <v>3442</v>
      </c>
      <c r="G101" s="3462" t="s">
        <v>3740</v>
      </c>
      <c r="H101" s="3465" t="s">
        <v>4391</v>
      </c>
      <c r="I101" s="3480"/>
      <c r="J101" s="3478">
        <f t="shared" si="8"/>
        <v>99</v>
      </c>
      <c r="K101" s="3479" t="str">
        <f t="shared" si="9"/>
        <v>平谷区兴谷街道寨笆路8号院3号楼-1层B129</v>
      </c>
      <c r="L101" s="3479">
        <f t="shared" si="6"/>
        <v>10.75</v>
      </c>
      <c r="M101" s="3476">
        <f ca="1">典型户型修正!R122</f>
        <v>2866</v>
      </c>
      <c r="N101" s="3477">
        <f t="shared" ca="1" si="7"/>
        <v>30810</v>
      </c>
    </row>
    <row r="102" spans="1:14" ht="17.55" customHeight="1">
      <c r="A102" s="3461">
        <v>100</v>
      </c>
      <c r="B102" s="3461" t="s">
        <v>3665</v>
      </c>
      <c r="C102" s="3462" t="s">
        <v>3741</v>
      </c>
      <c r="D102" s="3462" t="s">
        <v>3742</v>
      </c>
      <c r="E102" s="3462" t="s">
        <v>4357</v>
      </c>
      <c r="F102" s="3462" t="s">
        <v>3442</v>
      </c>
      <c r="G102" s="3462" t="s">
        <v>3743</v>
      </c>
      <c r="H102" s="3465" t="s">
        <v>4397</v>
      </c>
      <c r="I102" s="3480"/>
      <c r="J102" s="3478">
        <f t="shared" si="8"/>
        <v>100</v>
      </c>
      <c r="K102" s="3479" t="str">
        <f t="shared" si="9"/>
        <v>平谷区兴谷街道寨笆路8号院3号楼-1层B130</v>
      </c>
      <c r="L102" s="3479">
        <f t="shared" si="6"/>
        <v>8.43</v>
      </c>
      <c r="M102" s="3476">
        <f ca="1">典型户型修正!R123</f>
        <v>2412</v>
      </c>
      <c r="N102" s="3477">
        <f t="shared" ca="1" si="7"/>
        <v>20333</v>
      </c>
    </row>
    <row r="103" spans="1:14" ht="17.55" customHeight="1">
      <c r="A103" s="3461">
        <v>101</v>
      </c>
      <c r="B103" s="3461" t="s">
        <v>3665</v>
      </c>
      <c r="C103" s="3462" t="s">
        <v>3744</v>
      </c>
      <c r="D103" s="3462" t="s">
        <v>3745</v>
      </c>
      <c r="E103" s="3462" t="s">
        <v>4240</v>
      </c>
      <c r="F103" s="3462" t="s">
        <v>3442</v>
      </c>
      <c r="G103" s="3462" t="s">
        <v>3746</v>
      </c>
      <c r="H103" s="3465" t="s">
        <v>4397</v>
      </c>
      <c r="I103" s="3480"/>
      <c r="J103" s="3478">
        <f t="shared" si="8"/>
        <v>101</v>
      </c>
      <c r="K103" s="3479" t="str">
        <f t="shared" si="9"/>
        <v>平谷区兴谷街道寨笆路8号院3号楼-1层B132</v>
      </c>
      <c r="L103" s="3479">
        <f t="shared" si="6"/>
        <v>10.56</v>
      </c>
      <c r="M103" s="3476">
        <f ca="1">典型户型修正!R124</f>
        <v>2388</v>
      </c>
      <c r="N103" s="3477">
        <f t="shared" ca="1" si="7"/>
        <v>25217</v>
      </c>
    </row>
    <row r="104" spans="1:14" ht="17.55" customHeight="1">
      <c r="A104" s="3461">
        <v>102</v>
      </c>
      <c r="B104" s="3461" t="s">
        <v>3665</v>
      </c>
      <c r="C104" s="3462" t="s">
        <v>3747</v>
      </c>
      <c r="D104" s="3462" t="s">
        <v>3748</v>
      </c>
      <c r="E104" s="3462" t="s">
        <v>4302</v>
      </c>
      <c r="F104" s="3462" t="s">
        <v>3524</v>
      </c>
      <c r="G104" s="3462" t="s">
        <v>3749</v>
      </c>
      <c r="H104" s="3465" t="s">
        <v>4397</v>
      </c>
      <c r="I104" s="3480"/>
      <c r="J104" s="3478">
        <f t="shared" si="8"/>
        <v>102</v>
      </c>
      <c r="K104" s="3479" t="str">
        <f t="shared" si="9"/>
        <v>平谷区兴谷街道寨笆路8号院3号楼-2层B202</v>
      </c>
      <c r="L104" s="3479">
        <f t="shared" si="6"/>
        <v>9.0500000000000007</v>
      </c>
      <c r="M104" s="3476">
        <f ca="1">典型户型修正!R125</f>
        <v>2171</v>
      </c>
      <c r="N104" s="3477">
        <f t="shared" ca="1" si="7"/>
        <v>19648</v>
      </c>
    </row>
    <row r="105" spans="1:14" ht="17.55" customHeight="1">
      <c r="A105" s="3461">
        <v>103</v>
      </c>
      <c r="B105" s="3461" t="s">
        <v>3665</v>
      </c>
      <c r="C105" s="3462" t="s">
        <v>3750</v>
      </c>
      <c r="D105" s="3462" t="s">
        <v>3751</v>
      </c>
      <c r="E105" s="3462" t="s">
        <v>4302</v>
      </c>
      <c r="F105" s="3462" t="s">
        <v>3524</v>
      </c>
      <c r="G105" s="3462" t="s">
        <v>3752</v>
      </c>
      <c r="H105" s="3465" t="s">
        <v>4397</v>
      </c>
      <c r="I105" s="3480"/>
      <c r="J105" s="3478">
        <f t="shared" si="8"/>
        <v>103</v>
      </c>
      <c r="K105" s="3479" t="str">
        <f t="shared" si="9"/>
        <v>平谷区兴谷街道寨笆路8号院3号楼-2层B203</v>
      </c>
      <c r="L105" s="3479">
        <f t="shared" si="6"/>
        <v>9.0500000000000007</v>
      </c>
      <c r="M105" s="3476">
        <f ca="1">典型户型修正!R126</f>
        <v>2171</v>
      </c>
      <c r="N105" s="3477">
        <f t="shared" ca="1" si="7"/>
        <v>19648</v>
      </c>
    </row>
    <row r="106" spans="1:14" ht="17.55" customHeight="1">
      <c r="A106" s="3461">
        <v>104</v>
      </c>
      <c r="B106" s="3461" t="s">
        <v>3665</v>
      </c>
      <c r="C106" s="3462" t="s">
        <v>3753</v>
      </c>
      <c r="D106" s="3462" t="s">
        <v>3754</v>
      </c>
      <c r="E106" s="3462" t="s">
        <v>4302</v>
      </c>
      <c r="F106" s="3462" t="s">
        <v>3524</v>
      </c>
      <c r="G106" s="3462" t="s">
        <v>3755</v>
      </c>
      <c r="H106" s="3465" t="s">
        <v>4397</v>
      </c>
      <c r="I106" s="3480"/>
      <c r="J106" s="3478">
        <f t="shared" si="8"/>
        <v>104</v>
      </c>
      <c r="K106" s="3479" t="str">
        <f t="shared" si="9"/>
        <v>平谷区兴谷街道寨笆路8号院3号楼-2层B204</v>
      </c>
      <c r="L106" s="3479">
        <f t="shared" si="6"/>
        <v>9.0500000000000007</v>
      </c>
      <c r="M106" s="3476">
        <f ca="1">典型户型修正!R127</f>
        <v>2171</v>
      </c>
      <c r="N106" s="3477">
        <f t="shared" ca="1" si="7"/>
        <v>19648</v>
      </c>
    </row>
    <row r="107" spans="1:14" ht="17.55" customHeight="1">
      <c r="A107" s="3461">
        <v>105</v>
      </c>
      <c r="B107" s="3461" t="s">
        <v>3665</v>
      </c>
      <c r="C107" s="3462" t="s">
        <v>3756</v>
      </c>
      <c r="D107" s="3462" t="s">
        <v>3757</v>
      </c>
      <c r="E107" s="3462" t="s">
        <v>4271</v>
      </c>
      <c r="F107" s="3462" t="s">
        <v>3524</v>
      </c>
      <c r="G107" s="3462" t="s">
        <v>3758</v>
      </c>
      <c r="H107" s="3465" t="s">
        <v>4397</v>
      </c>
      <c r="I107" s="3480"/>
      <c r="J107" s="3478">
        <f t="shared" si="8"/>
        <v>105</v>
      </c>
      <c r="K107" s="3479" t="str">
        <f t="shared" si="9"/>
        <v>平谷区兴谷街道寨笆路8号院3号楼-2层B205</v>
      </c>
      <c r="L107" s="3479">
        <f t="shared" si="6"/>
        <v>8.1999999999999993</v>
      </c>
      <c r="M107" s="3476">
        <f ca="1">典型户型修正!R128</f>
        <v>2171</v>
      </c>
      <c r="N107" s="3477">
        <f t="shared" ca="1" si="7"/>
        <v>17802</v>
      </c>
    </row>
    <row r="108" spans="1:14" ht="17.55" customHeight="1">
      <c r="A108" s="3461">
        <v>106</v>
      </c>
      <c r="B108" s="3461" t="s">
        <v>3665</v>
      </c>
      <c r="C108" s="3462" t="s">
        <v>3759</v>
      </c>
      <c r="D108" s="3462" t="s">
        <v>3760</v>
      </c>
      <c r="E108" s="3462" t="s">
        <v>4304</v>
      </c>
      <c r="F108" s="3462" t="s">
        <v>3524</v>
      </c>
      <c r="G108" s="3462" t="s">
        <v>3761</v>
      </c>
      <c r="H108" s="3465" t="s">
        <v>4397</v>
      </c>
      <c r="I108" s="3480"/>
      <c r="J108" s="3478">
        <f t="shared" si="8"/>
        <v>106</v>
      </c>
      <c r="K108" s="3479" t="str">
        <f t="shared" si="9"/>
        <v>平谷区兴谷街道寨笆路8号院3号楼-2层B209</v>
      </c>
      <c r="L108" s="3479">
        <f t="shared" si="6"/>
        <v>10.59</v>
      </c>
      <c r="M108" s="3476">
        <f ca="1">典型户型修正!R129</f>
        <v>2149</v>
      </c>
      <c r="N108" s="3477">
        <f t="shared" ca="1" si="7"/>
        <v>22758</v>
      </c>
    </row>
    <row r="109" spans="1:14" ht="17.55" customHeight="1">
      <c r="A109" s="3461">
        <v>107</v>
      </c>
      <c r="B109" s="3461" t="s">
        <v>3665</v>
      </c>
      <c r="C109" s="3462" t="s">
        <v>3762</v>
      </c>
      <c r="D109" s="3462" t="s">
        <v>3763</v>
      </c>
      <c r="E109" s="3462" t="s">
        <v>4304</v>
      </c>
      <c r="F109" s="3462" t="s">
        <v>3524</v>
      </c>
      <c r="G109" s="3462" t="s">
        <v>3764</v>
      </c>
      <c r="H109" s="3465" t="s">
        <v>4397</v>
      </c>
      <c r="I109" s="3480"/>
      <c r="J109" s="3478">
        <f t="shared" si="8"/>
        <v>107</v>
      </c>
      <c r="K109" s="3479" t="str">
        <f t="shared" si="9"/>
        <v>平谷区兴谷街道寨笆路8号院3号楼-2层B210</v>
      </c>
      <c r="L109" s="3479">
        <f t="shared" si="6"/>
        <v>10.59</v>
      </c>
      <c r="M109" s="3476">
        <f ca="1">典型户型修正!R130</f>
        <v>2149</v>
      </c>
      <c r="N109" s="3477">
        <f t="shared" ca="1" si="7"/>
        <v>22758</v>
      </c>
    </row>
    <row r="110" spans="1:14" ht="17.55" customHeight="1">
      <c r="A110" s="3461">
        <v>108</v>
      </c>
      <c r="B110" s="3461" t="s">
        <v>3665</v>
      </c>
      <c r="C110" s="3462" t="s">
        <v>3765</v>
      </c>
      <c r="D110" s="3462" t="s">
        <v>3766</v>
      </c>
      <c r="E110" s="3462" t="s">
        <v>4304</v>
      </c>
      <c r="F110" s="3462" t="s">
        <v>3524</v>
      </c>
      <c r="G110" s="3462" t="s">
        <v>3767</v>
      </c>
      <c r="H110" s="3465" t="s">
        <v>4397</v>
      </c>
      <c r="I110" s="3480"/>
      <c r="J110" s="3478">
        <f t="shared" si="8"/>
        <v>108</v>
      </c>
      <c r="K110" s="3479" t="str">
        <f t="shared" si="9"/>
        <v>平谷区兴谷街道寨笆路8号院3号楼-2层B211</v>
      </c>
      <c r="L110" s="3479">
        <f t="shared" si="6"/>
        <v>10.59</v>
      </c>
      <c r="M110" s="3476">
        <f ca="1">典型户型修正!R131</f>
        <v>2149</v>
      </c>
      <c r="N110" s="3477">
        <f t="shared" ca="1" si="7"/>
        <v>22758</v>
      </c>
    </row>
    <row r="111" spans="1:14" ht="17.55" customHeight="1">
      <c r="A111" s="3461">
        <v>109</v>
      </c>
      <c r="B111" s="3461" t="s">
        <v>3665</v>
      </c>
      <c r="C111" s="3462" t="s">
        <v>3768</v>
      </c>
      <c r="D111" s="3462" t="s">
        <v>3769</v>
      </c>
      <c r="E111" s="3462" t="s">
        <v>4237</v>
      </c>
      <c r="F111" s="3462" t="s">
        <v>3524</v>
      </c>
      <c r="G111" s="3462" t="s">
        <v>3770</v>
      </c>
      <c r="H111" s="3465" t="s">
        <v>4397</v>
      </c>
      <c r="I111" s="3480"/>
      <c r="J111" s="3478">
        <f t="shared" si="8"/>
        <v>109</v>
      </c>
      <c r="K111" s="3479" t="str">
        <f t="shared" si="9"/>
        <v>平谷区兴谷街道寨笆路8号院3号楼-2层B212</v>
      </c>
      <c r="L111" s="3479">
        <f t="shared" si="6"/>
        <v>8.31</v>
      </c>
      <c r="M111" s="3476">
        <f ca="1">典型户型修正!R132</f>
        <v>2171</v>
      </c>
      <c r="N111" s="3477">
        <f t="shared" ca="1" si="7"/>
        <v>18041</v>
      </c>
    </row>
    <row r="112" spans="1:14" ht="17.55" customHeight="1">
      <c r="A112" s="3461">
        <v>110</v>
      </c>
      <c r="B112" s="3461" t="s">
        <v>3665</v>
      </c>
      <c r="C112" s="3462" t="s">
        <v>3771</v>
      </c>
      <c r="D112" s="3462" t="s">
        <v>3772</v>
      </c>
      <c r="E112" s="3462" t="s">
        <v>4320</v>
      </c>
      <c r="F112" s="3462" t="s">
        <v>3524</v>
      </c>
      <c r="G112" s="3462" t="s">
        <v>3773</v>
      </c>
      <c r="H112" s="3465" t="s">
        <v>4397</v>
      </c>
      <c r="I112" s="3480"/>
      <c r="J112" s="3478">
        <f t="shared" si="8"/>
        <v>110</v>
      </c>
      <c r="K112" s="3479" t="str">
        <f t="shared" si="9"/>
        <v>平谷区兴谷街道寨笆路8号院3号楼-2层B213</v>
      </c>
      <c r="L112" s="3479">
        <f t="shared" si="6"/>
        <v>8.18</v>
      </c>
      <c r="M112" s="3476">
        <f ca="1">典型户型修正!R133</f>
        <v>2171</v>
      </c>
      <c r="N112" s="3477">
        <f t="shared" ca="1" si="7"/>
        <v>17759</v>
      </c>
    </row>
    <row r="113" spans="1:14" ht="17.55" customHeight="1">
      <c r="A113" s="3461">
        <v>111</v>
      </c>
      <c r="B113" s="3461" t="s">
        <v>3665</v>
      </c>
      <c r="C113" s="3462" t="s">
        <v>3774</v>
      </c>
      <c r="D113" s="3462" t="s">
        <v>3775</v>
      </c>
      <c r="E113" s="3462" t="s">
        <v>4245</v>
      </c>
      <c r="F113" s="3462" t="s">
        <v>3524</v>
      </c>
      <c r="G113" s="3462" t="s">
        <v>3776</v>
      </c>
      <c r="H113" s="3465" t="s">
        <v>4391</v>
      </c>
      <c r="I113" s="3480"/>
      <c r="J113" s="3478">
        <f t="shared" si="8"/>
        <v>111</v>
      </c>
      <c r="K113" s="3479" t="str">
        <f t="shared" si="9"/>
        <v>平谷区兴谷街道寨笆路8号院3号楼-2层B219</v>
      </c>
      <c r="L113" s="3479">
        <f t="shared" si="6"/>
        <v>7.82</v>
      </c>
      <c r="M113" s="3476">
        <f ca="1">典型户型修正!R134</f>
        <v>2605</v>
      </c>
      <c r="N113" s="3477">
        <f t="shared" ca="1" si="7"/>
        <v>20371</v>
      </c>
    </row>
    <row r="114" spans="1:14" ht="17.55" customHeight="1">
      <c r="A114" s="3461">
        <v>112</v>
      </c>
      <c r="B114" s="3461" t="s">
        <v>3665</v>
      </c>
      <c r="C114" s="3462" t="s">
        <v>3777</v>
      </c>
      <c r="D114" s="3462" t="s">
        <v>3778</v>
      </c>
      <c r="E114" s="3462" t="s">
        <v>4245</v>
      </c>
      <c r="F114" s="3462" t="s">
        <v>3524</v>
      </c>
      <c r="G114" s="3462" t="s">
        <v>3779</v>
      </c>
      <c r="H114" s="3465" t="s">
        <v>4391</v>
      </c>
      <c r="I114" s="3480"/>
      <c r="J114" s="3478">
        <f t="shared" si="8"/>
        <v>112</v>
      </c>
      <c r="K114" s="3479" t="str">
        <f t="shared" si="9"/>
        <v>平谷区兴谷街道寨笆路8号院3号楼-2层B220</v>
      </c>
      <c r="L114" s="3479">
        <f t="shared" si="6"/>
        <v>7.82</v>
      </c>
      <c r="M114" s="3476">
        <f ca="1">典型户型修正!R135</f>
        <v>2605</v>
      </c>
      <c r="N114" s="3477">
        <f t="shared" ca="1" si="7"/>
        <v>20371</v>
      </c>
    </row>
    <row r="115" spans="1:14" ht="17.55" customHeight="1">
      <c r="A115" s="3461">
        <v>113</v>
      </c>
      <c r="B115" s="3461" t="s">
        <v>3665</v>
      </c>
      <c r="C115" s="3462" t="s">
        <v>3780</v>
      </c>
      <c r="D115" s="3462" t="s">
        <v>3781</v>
      </c>
      <c r="E115" s="3462" t="s">
        <v>4258</v>
      </c>
      <c r="F115" s="3462" t="s">
        <v>3524</v>
      </c>
      <c r="G115" s="3462" t="s">
        <v>3782</v>
      </c>
      <c r="H115" s="3465" t="s">
        <v>4397</v>
      </c>
      <c r="I115" s="3480"/>
      <c r="J115" s="3478">
        <f t="shared" si="8"/>
        <v>113</v>
      </c>
      <c r="K115" s="3479" t="str">
        <f t="shared" si="9"/>
        <v>平谷区兴谷街道寨笆路8号院3号楼-2层B221</v>
      </c>
      <c r="L115" s="3479">
        <f t="shared" si="6"/>
        <v>9.82</v>
      </c>
      <c r="M115" s="3476">
        <f ca="1">典型户型修正!R136</f>
        <v>2171</v>
      </c>
      <c r="N115" s="3477">
        <f t="shared" ca="1" si="7"/>
        <v>21319</v>
      </c>
    </row>
    <row r="116" spans="1:14" ht="17.55" customHeight="1">
      <c r="A116" s="3461">
        <v>114</v>
      </c>
      <c r="B116" s="3461" t="s">
        <v>3665</v>
      </c>
      <c r="C116" s="3462" t="s">
        <v>3783</v>
      </c>
      <c r="D116" s="3462" t="s">
        <v>3784</v>
      </c>
      <c r="E116" s="3462" t="s">
        <v>4257</v>
      </c>
      <c r="F116" s="3462" t="s">
        <v>3524</v>
      </c>
      <c r="G116" s="3462" t="s">
        <v>3785</v>
      </c>
      <c r="H116" s="3465" t="s">
        <v>4397</v>
      </c>
      <c r="I116" s="3480"/>
      <c r="J116" s="3478">
        <f t="shared" si="8"/>
        <v>114</v>
      </c>
      <c r="K116" s="3479" t="str">
        <f t="shared" si="9"/>
        <v>平谷区兴谷街道寨笆路8号院3号楼-2层B222</v>
      </c>
      <c r="L116" s="3479">
        <f t="shared" si="6"/>
        <v>7.69</v>
      </c>
      <c r="M116" s="3476">
        <f ca="1">典型户型修正!R137</f>
        <v>2171</v>
      </c>
      <c r="N116" s="3477">
        <f t="shared" ca="1" si="7"/>
        <v>16695</v>
      </c>
    </row>
    <row r="117" spans="1:14" ht="17.55" customHeight="1">
      <c r="A117" s="3461">
        <v>115</v>
      </c>
      <c r="B117" s="3461" t="s">
        <v>3665</v>
      </c>
      <c r="C117" s="3462" t="s">
        <v>3786</v>
      </c>
      <c r="D117" s="3462" t="s">
        <v>3787</v>
      </c>
      <c r="E117" s="3462" t="s">
        <v>4257</v>
      </c>
      <c r="F117" s="3462" t="s">
        <v>3524</v>
      </c>
      <c r="G117" s="3462" t="s">
        <v>3788</v>
      </c>
      <c r="H117" s="3465" t="s">
        <v>4397</v>
      </c>
      <c r="I117" s="3480"/>
      <c r="J117" s="3478">
        <f t="shared" si="8"/>
        <v>115</v>
      </c>
      <c r="K117" s="3479" t="str">
        <f t="shared" si="9"/>
        <v>平谷区兴谷街道寨笆路8号院3号楼-2层B225</v>
      </c>
      <c r="L117" s="3479">
        <f t="shared" si="6"/>
        <v>7.69</v>
      </c>
      <c r="M117" s="3476">
        <f ca="1">典型户型修正!R138</f>
        <v>2171</v>
      </c>
      <c r="N117" s="3477">
        <f t="shared" ca="1" si="7"/>
        <v>16695</v>
      </c>
    </row>
    <row r="118" spans="1:14" ht="17.55" customHeight="1">
      <c r="A118" s="3461">
        <v>116</v>
      </c>
      <c r="B118" s="3461" t="s">
        <v>3665</v>
      </c>
      <c r="C118" s="3462" t="s">
        <v>3789</v>
      </c>
      <c r="D118" s="3462" t="s">
        <v>3790</v>
      </c>
      <c r="E118" s="3462" t="s">
        <v>4257</v>
      </c>
      <c r="F118" s="3462" t="s">
        <v>3524</v>
      </c>
      <c r="G118" s="3462" t="s">
        <v>3791</v>
      </c>
      <c r="H118" s="3465" t="s">
        <v>4397</v>
      </c>
      <c r="I118" s="3480"/>
      <c r="J118" s="3478">
        <f t="shared" si="8"/>
        <v>116</v>
      </c>
      <c r="K118" s="3479" t="str">
        <f t="shared" si="9"/>
        <v>平谷区兴谷街道寨笆路8号院3号楼-2层B226</v>
      </c>
      <c r="L118" s="3479">
        <f t="shared" si="6"/>
        <v>7.69</v>
      </c>
      <c r="M118" s="3476">
        <f ca="1">典型户型修正!R139</f>
        <v>2171</v>
      </c>
      <c r="N118" s="3477">
        <f t="shared" ca="1" si="7"/>
        <v>16695</v>
      </c>
    </row>
    <row r="119" spans="1:14" ht="17.55" customHeight="1">
      <c r="A119" s="3461">
        <v>117</v>
      </c>
      <c r="B119" s="3461" t="s">
        <v>3665</v>
      </c>
      <c r="C119" s="3462" t="s">
        <v>3792</v>
      </c>
      <c r="D119" s="3462" t="s">
        <v>3793</v>
      </c>
      <c r="E119" s="3462" t="s">
        <v>4351</v>
      </c>
      <c r="F119" s="3462" t="s">
        <v>3524</v>
      </c>
      <c r="G119" s="3462" t="s">
        <v>3794</v>
      </c>
      <c r="H119" s="3465" t="s">
        <v>4397</v>
      </c>
      <c r="I119" s="3480"/>
      <c r="J119" s="3478">
        <f t="shared" si="8"/>
        <v>117</v>
      </c>
      <c r="K119" s="3479" t="str">
        <f t="shared" si="9"/>
        <v>平谷区兴谷街道寨笆路8号院3号楼-2层B229</v>
      </c>
      <c r="L119" s="3479">
        <f t="shared" si="6"/>
        <v>7.69</v>
      </c>
      <c r="M119" s="3476">
        <f ca="1">典型户型修正!R140</f>
        <v>2171</v>
      </c>
      <c r="N119" s="3477">
        <f t="shared" ca="1" si="7"/>
        <v>16695</v>
      </c>
    </row>
    <row r="120" spans="1:14" ht="17.55" customHeight="1">
      <c r="A120" s="3461">
        <v>118</v>
      </c>
      <c r="B120" s="3461" t="s">
        <v>3665</v>
      </c>
      <c r="C120" s="3462" t="s">
        <v>3795</v>
      </c>
      <c r="D120" s="3462" t="s">
        <v>3796</v>
      </c>
      <c r="E120" s="3462" t="s">
        <v>4321</v>
      </c>
      <c r="F120" s="3462" t="s">
        <v>3524</v>
      </c>
      <c r="G120" s="3462" t="s">
        <v>3797</v>
      </c>
      <c r="H120" s="3465" t="s">
        <v>4397</v>
      </c>
      <c r="I120" s="3480"/>
      <c r="J120" s="3478">
        <f t="shared" si="8"/>
        <v>118</v>
      </c>
      <c r="K120" s="3479" t="str">
        <f t="shared" si="9"/>
        <v>平谷区兴谷街道寨笆路8号院3号楼-2层B230</v>
      </c>
      <c r="L120" s="3479">
        <f t="shared" si="6"/>
        <v>9.82</v>
      </c>
      <c r="M120" s="3476">
        <f ca="1">典型户型修正!R141</f>
        <v>2171</v>
      </c>
      <c r="N120" s="3477">
        <f t="shared" ca="1" si="7"/>
        <v>21319</v>
      </c>
    </row>
    <row r="121" spans="1:14" ht="17.55" customHeight="1">
      <c r="A121" s="3461">
        <v>119</v>
      </c>
      <c r="B121" s="3461" t="s">
        <v>3665</v>
      </c>
      <c r="C121" s="3462" t="s">
        <v>3798</v>
      </c>
      <c r="D121" s="3462" t="s">
        <v>3799</v>
      </c>
      <c r="E121" s="3462" t="s">
        <v>4322</v>
      </c>
      <c r="F121" s="3462" t="s">
        <v>3524</v>
      </c>
      <c r="G121" s="3462" t="s">
        <v>3800</v>
      </c>
      <c r="H121" s="3465" t="s">
        <v>4391</v>
      </c>
      <c r="I121" s="3480"/>
      <c r="J121" s="3478">
        <f t="shared" si="8"/>
        <v>119</v>
      </c>
      <c r="K121" s="3479" t="str">
        <f t="shared" si="9"/>
        <v>平谷区兴谷街道寨笆路8号院3号楼-2层B231</v>
      </c>
      <c r="L121" s="3479">
        <f t="shared" si="6"/>
        <v>7.82</v>
      </c>
      <c r="M121" s="3476">
        <f ca="1">典型户型修正!R142</f>
        <v>2605</v>
      </c>
      <c r="N121" s="3477">
        <f t="shared" ca="1" si="7"/>
        <v>20371</v>
      </c>
    </row>
    <row r="122" spans="1:14" ht="17.55" customHeight="1">
      <c r="A122" s="3461">
        <v>120</v>
      </c>
      <c r="B122" s="3461" t="s">
        <v>3665</v>
      </c>
      <c r="C122" s="3462" t="s">
        <v>3801</v>
      </c>
      <c r="D122" s="3462" t="s">
        <v>3802</v>
      </c>
      <c r="E122" s="3462" t="s">
        <v>4323</v>
      </c>
      <c r="F122" s="3462" t="s">
        <v>3524</v>
      </c>
      <c r="G122" s="3462" t="s">
        <v>3803</v>
      </c>
      <c r="H122" s="3465" t="s">
        <v>4391</v>
      </c>
      <c r="I122" s="3480"/>
      <c r="J122" s="3478">
        <f t="shared" si="8"/>
        <v>120</v>
      </c>
      <c r="K122" s="3479" t="str">
        <f t="shared" si="9"/>
        <v>平谷区兴谷街道寨笆路8号院3号楼-2层B232</v>
      </c>
      <c r="L122" s="3479">
        <f t="shared" si="6"/>
        <v>7.82</v>
      </c>
      <c r="M122" s="3476">
        <f ca="1">典型户型修正!R143</f>
        <v>2605</v>
      </c>
      <c r="N122" s="3477">
        <f t="shared" ca="1" si="7"/>
        <v>20371</v>
      </c>
    </row>
    <row r="123" spans="1:14" ht="17.55" customHeight="1">
      <c r="A123" s="3461">
        <v>121</v>
      </c>
      <c r="B123" s="3461" t="s">
        <v>3665</v>
      </c>
      <c r="C123" s="3462" t="s">
        <v>3804</v>
      </c>
      <c r="D123" s="3462" t="s">
        <v>3805</v>
      </c>
      <c r="E123" s="3462" t="s">
        <v>4272</v>
      </c>
      <c r="F123" s="3462" t="s">
        <v>3524</v>
      </c>
      <c r="G123" s="3462" t="s">
        <v>3806</v>
      </c>
      <c r="H123" s="3465" t="s">
        <v>4397</v>
      </c>
      <c r="I123" s="3480"/>
      <c r="J123" s="3478">
        <f t="shared" si="8"/>
        <v>121</v>
      </c>
      <c r="K123" s="3479" t="str">
        <f t="shared" si="9"/>
        <v>平谷区兴谷街道寨笆路8号院3号楼-2层B237</v>
      </c>
      <c r="L123" s="3479">
        <f t="shared" si="6"/>
        <v>6.79</v>
      </c>
      <c r="M123" s="3476">
        <f ca="1">典型户型修正!R144</f>
        <v>2171</v>
      </c>
      <c r="N123" s="3477">
        <f t="shared" ca="1" si="7"/>
        <v>14741</v>
      </c>
    </row>
    <row r="124" spans="1:14" ht="17.55" customHeight="1">
      <c r="A124" s="3461">
        <v>122</v>
      </c>
      <c r="B124" s="3461" t="s">
        <v>3665</v>
      </c>
      <c r="C124" s="3462" t="s">
        <v>3807</v>
      </c>
      <c r="D124" s="3462" t="s">
        <v>3808</v>
      </c>
      <c r="E124" s="3462" t="s">
        <v>4352</v>
      </c>
      <c r="F124" s="3462" t="s">
        <v>3524</v>
      </c>
      <c r="G124" s="3462" t="s">
        <v>3809</v>
      </c>
      <c r="H124" s="3465" t="s">
        <v>4397</v>
      </c>
      <c r="I124" s="3480"/>
      <c r="J124" s="3478">
        <f t="shared" si="8"/>
        <v>122</v>
      </c>
      <c r="K124" s="3479" t="str">
        <f t="shared" si="9"/>
        <v>平谷区兴谷街道寨笆路8号院3号楼-2层B238</v>
      </c>
      <c r="L124" s="3479">
        <f t="shared" si="6"/>
        <v>8.18</v>
      </c>
      <c r="M124" s="3476">
        <f ca="1">典型户型修正!R145</f>
        <v>2171</v>
      </c>
      <c r="N124" s="3477">
        <f t="shared" ca="1" si="7"/>
        <v>17759</v>
      </c>
    </row>
    <row r="125" spans="1:14" ht="17.55" customHeight="1">
      <c r="A125" s="3461">
        <v>123</v>
      </c>
      <c r="B125" s="3461" t="s">
        <v>3665</v>
      </c>
      <c r="C125" s="3462" t="s">
        <v>3810</v>
      </c>
      <c r="D125" s="3462" t="s">
        <v>3811</v>
      </c>
      <c r="E125" s="3462" t="s">
        <v>4237</v>
      </c>
      <c r="F125" s="3462" t="s">
        <v>3524</v>
      </c>
      <c r="G125" s="3462" t="s">
        <v>3812</v>
      </c>
      <c r="H125" s="3465" t="s">
        <v>4397</v>
      </c>
      <c r="I125" s="3480"/>
      <c r="J125" s="3478">
        <f t="shared" si="8"/>
        <v>123</v>
      </c>
      <c r="K125" s="3479" t="str">
        <f t="shared" si="9"/>
        <v>平谷区兴谷街道寨笆路8号院3号楼-2层B239</v>
      </c>
      <c r="L125" s="3479">
        <f t="shared" si="6"/>
        <v>8.31</v>
      </c>
      <c r="M125" s="3476">
        <f ca="1">典型户型修正!R146</f>
        <v>2171</v>
      </c>
      <c r="N125" s="3477">
        <f t="shared" ca="1" si="7"/>
        <v>18041</v>
      </c>
    </row>
    <row r="126" spans="1:14" ht="17.55" customHeight="1">
      <c r="A126" s="3461">
        <v>124</v>
      </c>
      <c r="B126" s="3461" t="s">
        <v>3665</v>
      </c>
      <c r="C126" s="3462" t="s">
        <v>3813</v>
      </c>
      <c r="D126" s="3462" t="s">
        <v>3814</v>
      </c>
      <c r="E126" s="3462" t="s">
        <v>4304</v>
      </c>
      <c r="F126" s="3462" t="s">
        <v>3524</v>
      </c>
      <c r="G126" s="3462" t="s">
        <v>3815</v>
      </c>
      <c r="H126" s="3465" t="s">
        <v>4397</v>
      </c>
      <c r="I126" s="3480"/>
      <c r="J126" s="3478">
        <f t="shared" si="8"/>
        <v>124</v>
      </c>
      <c r="K126" s="3479" t="str">
        <f t="shared" si="9"/>
        <v>平谷区兴谷街道寨笆路8号院3号楼-2层B240</v>
      </c>
      <c r="L126" s="3479">
        <f t="shared" si="6"/>
        <v>10.59</v>
      </c>
      <c r="M126" s="3476">
        <f ca="1">典型户型修正!R147</f>
        <v>2149</v>
      </c>
      <c r="N126" s="3477">
        <f t="shared" ca="1" si="7"/>
        <v>22758</v>
      </c>
    </row>
    <row r="127" spans="1:14" ht="17.55" customHeight="1">
      <c r="A127" s="3461">
        <v>125</v>
      </c>
      <c r="B127" s="3461" t="s">
        <v>3665</v>
      </c>
      <c r="C127" s="3462" t="s">
        <v>3816</v>
      </c>
      <c r="D127" s="3462" t="s">
        <v>3817</v>
      </c>
      <c r="E127" s="3462" t="s">
        <v>4304</v>
      </c>
      <c r="F127" s="3462" t="s">
        <v>3524</v>
      </c>
      <c r="G127" s="3462" t="s">
        <v>3818</v>
      </c>
      <c r="H127" s="3465" t="s">
        <v>4397</v>
      </c>
      <c r="I127" s="3480"/>
      <c r="J127" s="3478">
        <f t="shared" si="8"/>
        <v>125</v>
      </c>
      <c r="K127" s="3479" t="str">
        <f t="shared" si="9"/>
        <v>平谷区兴谷街道寨笆路8号院3号楼-2层B241</v>
      </c>
      <c r="L127" s="3479">
        <f t="shared" si="6"/>
        <v>10.59</v>
      </c>
      <c r="M127" s="3476">
        <f ca="1">典型户型修正!R148</f>
        <v>2149</v>
      </c>
      <c r="N127" s="3477">
        <f t="shared" ca="1" si="7"/>
        <v>22758</v>
      </c>
    </row>
    <row r="128" spans="1:14" ht="17.55" customHeight="1">
      <c r="A128" s="3461">
        <v>126</v>
      </c>
      <c r="B128" s="3461" t="s">
        <v>3665</v>
      </c>
      <c r="C128" s="3462" t="s">
        <v>3819</v>
      </c>
      <c r="D128" s="3462" t="s">
        <v>3820</v>
      </c>
      <c r="E128" s="3462" t="s">
        <v>4304</v>
      </c>
      <c r="F128" s="3462" t="s">
        <v>3524</v>
      </c>
      <c r="G128" s="3462" t="s">
        <v>3821</v>
      </c>
      <c r="H128" s="3465" t="s">
        <v>4397</v>
      </c>
      <c r="I128" s="3480"/>
      <c r="J128" s="3478">
        <f t="shared" si="8"/>
        <v>126</v>
      </c>
      <c r="K128" s="3479" t="str">
        <f t="shared" si="9"/>
        <v>平谷区兴谷街道寨笆路8号院3号楼-2层B243</v>
      </c>
      <c r="L128" s="3479">
        <f t="shared" si="6"/>
        <v>10.59</v>
      </c>
      <c r="M128" s="3476">
        <f ca="1">典型户型修正!R149</f>
        <v>2149</v>
      </c>
      <c r="N128" s="3477">
        <f t="shared" ca="1" si="7"/>
        <v>22758</v>
      </c>
    </row>
    <row r="129" spans="1:14" ht="17.55" customHeight="1">
      <c r="A129" s="3461">
        <v>127</v>
      </c>
      <c r="B129" s="3461" t="s">
        <v>3665</v>
      </c>
      <c r="C129" s="3462" t="s">
        <v>3822</v>
      </c>
      <c r="D129" s="3462" t="s">
        <v>3823</v>
      </c>
      <c r="E129" s="3462" t="s">
        <v>4237</v>
      </c>
      <c r="F129" s="3462" t="s">
        <v>3524</v>
      </c>
      <c r="G129" s="3462" t="s">
        <v>3824</v>
      </c>
      <c r="H129" s="3465" t="s">
        <v>4397</v>
      </c>
      <c r="I129" s="3480"/>
      <c r="J129" s="3478">
        <f t="shared" si="8"/>
        <v>127</v>
      </c>
      <c r="K129" s="3479" t="str">
        <f t="shared" si="9"/>
        <v>平谷区兴谷街道寨笆路8号院3号楼-2层B244</v>
      </c>
      <c r="L129" s="3479">
        <f t="shared" si="6"/>
        <v>8.31</v>
      </c>
      <c r="M129" s="3476">
        <f ca="1">典型户型修正!R150</f>
        <v>2171</v>
      </c>
      <c r="N129" s="3477">
        <f t="shared" ca="1" si="7"/>
        <v>18041</v>
      </c>
    </row>
    <row r="130" spans="1:14" ht="17.55" customHeight="1">
      <c r="A130" s="3461">
        <v>128</v>
      </c>
      <c r="B130" s="3461" t="s">
        <v>3665</v>
      </c>
      <c r="C130" s="3462" t="s">
        <v>3825</v>
      </c>
      <c r="D130" s="3462" t="s">
        <v>3826</v>
      </c>
      <c r="E130" s="3462" t="s">
        <v>4320</v>
      </c>
      <c r="F130" s="3462" t="s">
        <v>3524</v>
      </c>
      <c r="G130" s="3462" t="s">
        <v>3827</v>
      </c>
      <c r="H130" s="3465" t="s">
        <v>4397</v>
      </c>
      <c r="I130" s="3480"/>
      <c r="J130" s="3478">
        <f t="shared" si="8"/>
        <v>128</v>
      </c>
      <c r="K130" s="3479" t="str">
        <f t="shared" si="9"/>
        <v>平谷区兴谷街道寨笆路8号院3号楼-2层B245</v>
      </c>
      <c r="L130" s="3479">
        <f t="shared" si="6"/>
        <v>8.18</v>
      </c>
      <c r="M130" s="3476">
        <f ca="1">典型户型修正!R151</f>
        <v>2171</v>
      </c>
      <c r="N130" s="3477">
        <f t="shared" ca="1" si="7"/>
        <v>17759</v>
      </c>
    </row>
    <row r="131" spans="1:14" ht="17.55" customHeight="1">
      <c r="A131" s="3461">
        <v>129</v>
      </c>
      <c r="B131" s="3461" t="s">
        <v>3665</v>
      </c>
      <c r="C131" s="3462" t="s">
        <v>3828</v>
      </c>
      <c r="D131" s="3462" t="s">
        <v>3829</v>
      </c>
      <c r="E131" s="3462" t="s">
        <v>4302</v>
      </c>
      <c r="F131" s="3462" t="s">
        <v>3524</v>
      </c>
      <c r="G131" s="3462" t="s">
        <v>3830</v>
      </c>
      <c r="H131" s="3465" t="s">
        <v>4397</v>
      </c>
      <c r="I131" s="3480"/>
      <c r="J131" s="3478">
        <f t="shared" si="8"/>
        <v>129</v>
      </c>
      <c r="K131" s="3479" t="str">
        <f t="shared" si="9"/>
        <v>平谷区兴谷街道寨笆路8号院3号楼-2层B247</v>
      </c>
      <c r="L131" s="3479">
        <f t="shared" si="6"/>
        <v>9.0500000000000007</v>
      </c>
      <c r="M131" s="3476">
        <f ca="1">典型户型修正!R152</f>
        <v>2171</v>
      </c>
      <c r="N131" s="3477">
        <f t="shared" ca="1" si="7"/>
        <v>19648</v>
      </c>
    </row>
    <row r="132" spans="1:14" ht="17.55" customHeight="1">
      <c r="A132" s="3461">
        <v>130</v>
      </c>
      <c r="B132" s="3461" t="s">
        <v>3665</v>
      </c>
      <c r="C132" s="3462" t="s">
        <v>3831</v>
      </c>
      <c r="D132" s="3462" t="s">
        <v>3832</v>
      </c>
      <c r="E132" s="3462" t="s">
        <v>4302</v>
      </c>
      <c r="F132" s="3462" t="s">
        <v>3524</v>
      </c>
      <c r="G132" s="3462" t="s">
        <v>3833</v>
      </c>
      <c r="H132" s="3465" t="s">
        <v>4397</v>
      </c>
      <c r="I132" s="3480"/>
      <c r="J132" s="3478">
        <f t="shared" si="8"/>
        <v>130</v>
      </c>
      <c r="K132" s="3479" t="str">
        <f t="shared" si="9"/>
        <v>平谷区兴谷街道寨笆路8号院3号楼-2层B248</v>
      </c>
      <c r="L132" s="3479">
        <f t="shared" ref="L132:L195" si="10">E132*$P$3</f>
        <v>9.0500000000000007</v>
      </c>
      <c r="M132" s="3476">
        <f ca="1">典型户型修正!R153</f>
        <v>2171</v>
      </c>
      <c r="N132" s="3477">
        <f t="shared" ref="N132:N195" ca="1" si="11">ROUND(E132*M132,0)</f>
        <v>19648</v>
      </c>
    </row>
    <row r="133" spans="1:14" ht="17.55" customHeight="1">
      <c r="A133" s="3461">
        <v>131</v>
      </c>
      <c r="B133" s="3461" t="s">
        <v>3665</v>
      </c>
      <c r="C133" s="3462" t="s">
        <v>3834</v>
      </c>
      <c r="D133" s="3462" t="s">
        <v>3835</v>
      </c>
      <c r="E133" s="3462" t="s">
        <v>4302</v>
      </c>
      <c r="F133" s="3462" t="s">
        <v>3524</v>
      </c>
      <c r="G133" s="3462" t="s">
        <v>3836</v>
      </c>
      <c r="H133" s="3465" t="s">
        <v>4397</v>
      </c>
      <c r="I133" s="3480"/>
      <c r="J133" s="3478">
        <f t="shared" si="8"/>
        <v>131</v>
      </c>
      <c r="K133" s="3479" t="str">
        <f t="shared" si="9"/>
        <v>平谷区兴谷街道寨笆路8号院3号楼-2层B249</v>
      </c>
      <c r="L133" s="3479">
        <f t="shared" si="10"/>
        <v>9.0500000000000007</v>
      </c>
      <c r="M133" s="3476">
        <f ca="1">典型户型修正!R154</f>
        <v>2171</v>
      </c>
      <c r="N133" s="3477">
        <f t="shared" ca="1" si="11"/>
        <v>19648</v>
      </c>
    </row>
    <row r="134" spans="1:14" ht="17.55" customHeight="1">
      <c r="A134" s="3461">
        <v>132</v>
      </c>
      <c r="B134" s="3461" t="s">
        <v>3665</v>
      </c>
      <c r="C134" s="3462" t="s">
        <v>3837</v>
      </c>
      <c r="D134" s="3462" t="s">
        <v>3838</v>
      </c>
      <c r="E134" s="3462" t="s">
        <v>4295</v>
      </c>
      <c r="F134" s="3462" t="s">
        <v>3524</v>
      </c>
      <c r="G134" s="3462" t="s">
        <v>3839</v>
      </c>
      <c r="H134" s="3465" t="s">
        <v>4391</v>
      </c>
      <c r="I134" s="3480"/>
      <c r="J134" s="3478">
        <f t="shared" si="8"/>
        <v>132</v>
      </c>
      <c r="K134" s="3479" t="str">
        <f t="shared" si="9"/>
        <v>平谷区兴谷街道寨笆路8号院3号楼-2层B250</v>
      </c>
      <c r="L134" s="3479">
        <f t="shared" si="10"/>
        <v>10.63</v>
      </c>
      <c r="M134" s="3476">
        <f ca="1">典型户型修正!R155</f>
        <v>2579</v>
      </c>
      <c r="N134" s="3477">
        <f t="shared" ca="1" si="11"/>
        <v>27415</v>
      </c>
    </row>
    <row r="135" spans="1:14" ht="17.55" customHeight="1">
      <c r="A135" s="3461">
        <v>133</v>
      </c>
      <c r="B135" s="3461" t="s">
        <v>3665</v>
      </c>
      <c r="C135" s="3462" t="s">
        <v>3840</v>
      </c>
      <c r="D135" s="3462" t="s">
        <v>3841</v>
      </c>
      <c r="E135" s="3462" t="s">
        <v>4271</v>
      </c>
      <c r="F135" s="3462" t="s">
        <v>3524</v>
      </c>
      <c r="G135" s="3462" t="s">
        <v>3842</v>
      </c>
      <c r="H135" s="3465" t="s">
        <v>4397</v>
      </c>
      <c r="I135" s="3480"/>
      <c r="J135" s="3478">
        <f t="shared" si="8"/>
        <v>133</v>
      </c>
      <c r="K135" s="3479" t="str">
        <f t="shared" si="9"/>
        <v>平谷区兴谷街道寨笆路8号院3号楼-2层B251</v>
      </c>
      <c r="L135" s="3479">
        <f t="shared" si="10"/>
        <v>8.1999999999999993</v>
      </c>
      <c r="M135" s="3476">
        <f ca="1">典型户型修正!R156</f>
        <v>2171</v>
      </c>
      <c r="N135" s="3477">
        <f t="shared" ca="1" si="11"/>
        <v>17802</v>
      </c>
    </row>
    <row r="136" spans="1:14" ht="17.55" customHeight="1">
      <c r="A136" s="3461">
        <v>134</v>
      </c>
      <c r="B136" s="3461" t="s">
        <v>3665</v>
      </c>
      <c r="C136" s="3462" t="s">
        <v>3843</v>
      </c>
      <c r="D136" s="3462" t="s">
        <v>3844</v>
      </c>
      <c r="E136" s="3462" t="s">
        <v>4241</v>
      </c>
      <c r="F136" s="3462" t="s">
        <v>3524</v>
      </c>
      <c r="G136" s="3462" t="s">
        <v>3845</v>
      </c>
      <c r="H136" s="3465" t="s">
        <v>4397</v>
      </c>
      <c r="I136" s="3480"/>
      <c r="J136" s="3478">
        <f t="shared" si="8"/>
        <v>134</v>
      </c>
      <c r="K136" s="3479" t="str">
        <f t="shared" si="9"/>
        <v>平谷区兴谷街道寨笆路8号院3号楼-2层B252</v>
      </c>
      <c r="L136" s="3479">
        <f t="shared" si="10"/>
        <v>10.32</v>
      </c>
      <c r="M136" s="3476">
        <f ca="1">典型户型修正!R157</f>
        <v>2149</v>
      </c>
      <c r="N136" s="3477">
        <f t="shared" ca="1" si="11"/>
        <v>22178</v>
      </c>
    </row>
    <row r="137" spans="1:14" ht="17.55" customHeight="1">
      <c r="A137" s="3461">
        <v>135</v>
      </c>
      <c r="B137" s="3461" t="s">
        <v>3846</v>
      </c>
      <c r="C137" s="3462" t="s">
        <v>3847</v>
      </c>
      <c r="D137" s="3462" t="s">
        <v>3848</v>
      </c>
      <c r="E137" s="3462" t="s">
        <v>4290</v>
      </c>
      <c r="F137" s="3462" t="s">
        <v>3442</v>
      </c>
      <c r="G137" s="3462" t="s">
        <v>3849</v>
      </c>
      <c r="H137" s="3465" t="s">
        <v>4397</v>
      </c>
      <c r="I137" s="3480"/>
      <c r="J137" s="3478">
        <f t="shared" si="8"/>
        <v>135</v>
      </c>
      <c r="K137" s="3479" t="str">
        <f t="shared" si="9"/>
        <v>平谷区兴谷街道寨笆路8号院4号楼-1层B104</v>
      </c>
      <c r="L137" s="3479">
        <f t="shared" si="10"/>
        <v>6.94</v>
      </c>
      <c r="M137" s="3476">
        <f ca="1">典型户型修正!R158</f>
        <v>2412</v>
      </c>
      <c r="N137" s="3477">
        <f t="shared" ca="1" si="11"/>
        <v>16739</v>
      </c>
    </row>
    <row r="138" spans="1:14" ht="17.55" customHeight="1">
      <c r="A138" s="3461">
        <v>136</v>
      </c>
      <c r="B138" s="3461" t="s">
        <v>3846</v>
      </c>
      <c r="C138" s="3462" t="s">
        <v>3850</v>
      </c>
      <c r="D138" s="3462" t="s">
        <v>3851</v>
      </c>
      <c r="E138" s="3462" t="s">
        <v>4260</v>
      </c>
      <c r="F138" s="3462" t="s">
        <v>3442</v>
      </c>
      <c r="G138" s="3462" t="s">
        <v>3852</v>
      </c>
      <c r="H138" s="3465" t="s">
        <v>4397</v>
      </c>
      <c r="I138" s="3480"/>
      <c r="J138" s="3478">
        <f t="shared" si="8"/>
        <v>136</v>
      </c>
      <c r="K138" s="3479" t="str">
        <f t="shared" si="9"/>
        <v>平谷区兴谷街道寨笆路8号院4号楼-1层B106</v>
      </c>
      <c r="L138" s="3479">
        <f t="shared" si="10"/>
        <v>8.3000000000000007</v>
      </c>
      <c r="M138" s="3476">
        <f ca="1">典型户型修正!R159</f>
        <v>2412</v>
      </c>
      <c r="N138" s="3477">
        <f t="shared" ca="1" si="11"/>
        <v>20020</v>
      </c>
    </row>
    <row r="139" spans="1:14" ht="17.55" customHeight="1">
      <c r="A139" s="3461">
        <v>137</v>
      </c>
      <c r="B139" s="3461" t="s">
        <v>3846</v>
      </c>
      <c r="C139" s="3462" t="s">
        <v>3850</v>
      </c>
      <c r="D139" s="3462" t="s">
        <v>3853</v>
      </c>
      <c r="E139" s="3462" t="s">
        <v>4326</v>
      </c>
      <c r="F139" s="3462" t="s">
        <v>3442</v>
      </c>
      <c r="G139" s="3462" t="s">
        <v>3854</v>
      </c>
      <c r="H139" s="3465" t="s">
        <v>4397</v>
      </c>
      <c r="I139" s="3480"/>
      <c r="J139" s="3478">
        <f t="shared" si="8"/>
        <v>137</v>
      </c>
      <c r="K139" s="3479" t="str">
        <f t="shared" si="9"/>
        <v>平谷区兴谷街道寨笆路8号院4号楼-1层B107</v>
      </c>
      <c r="L139" s="3479">
        <f t="shared" si="10"/>
        <v>8.42</v>
      </c>
      <c r="M139" s="3476">
        <f ca="1">典型户型修正!R160</f>
        <v>2412</v>
      </c>
      <c r="N139" s="3477">
        <f t="shared" ca="1" si="11"/>
        <v>20309</v>
      </c>
    </row>
    <row r="140" spans="1:14" ht="17.55" customHeight="1">
      <c r="A140" s="3461">
        <v>138</v>
      </c>
      <c r="B140" s="3461" t="s">
        <v>3846</v>
      </c>
      <c r="C140" s="3462" t="s">
        <v>3850</v>
      </c>
      <c r="D140" s="3462" t="s">
        <v>3855</v>
      </c>
      <c r="E140" s="3462" t="s">
        <v>4326</v>
      </c>
      <c r="F140" s="3462" t="s">
        <v>3442</v>
      </c>
      <c r="G140" s="3462" t="s">
        <v>3856</v>
      </c>
      <c r="H140" s="3465" t="s">
        <v>4397</v>
      </c>
      <c r="I140" s="3480"/>
      <c r="J140" s="3478">
        <f t="shared" si="8"/>
        <v>138</v>
      </c>
      <c r="K140" s="3479" t="str">
        <f t="shared" si="9"/>
        <v>平谷区兴谷街道寨笆路8号院4号楼-1层B108</v>
      </c>
      <c r="L140" s="3479">
        <f t="shared" si="10"/>
        <v>8.42</v>
      </c>
      <c r="M140" s="3476">
        <f ca="1">典型户型修正!R161</f>
        <v>2412</v>
      </c>
      <c r="N140" s="3477">
        <f t="shared" ca="1" si="11"/>
        <v>20309</v>
      </c>
    </row>
    <row r="141" spans="1:14" ht="17.55" customHeight="1">
      <c r="A141" s="3461">
        <v>139</v>
      </c>
      <c r="B141" s="3461" t="s">
        <v>3846</v>
      </c>
      <c r="C141" s="3462" t="s">
        <v>3850</v>
      </c>
      <c r="D141" s="3462" t="s">
        <v>3857</v>
      </c>
      <c r="E141" s="3462" t="s">
        <v>4260</v>
      </c>
      <c r="F141" s="3462" t="s">
        <v>3442</v>
      </c>
      <c r="G141" s="3462" t="s">
        <v>3858</v>
      </c>
      <c r="H141" s="3465" t="s">
        <v>4397</v>
      </c>
      <c r="I141" s="3480"/>
      <c r="J141" s="3478">
        <f t="shared" si="8"/>
        <v>139</v>
      </c>
      <c r="K141" s="3479" t="str">
        <f t="shared" si="9"/>
        <v>平谷区兴谷街道寨笆路8号院4号楼-1层B109</v>
      </c>
      <c r="L141" s="3479">
        <f t="shared" si="10"/>
        <v>8.3000000000000007</v>
      </c>
      <c r="M141" s="3476">
        <f ca="1">典型户型修正!R162</f>
        <v>2412</v>
      </c>
      <c r="N141" s="3477">
        <f t="shared" ca="1" si="11"/>
        <v>20020</v>
      </c>
    </row>
    <row r="142" spans="1:14" ht="17.55" customHeight="1">
      <c r="A142" s="3461">
        <v>140</v>
      </c>
      <c r="B142" s="3461" t="s">
        <v>3846</v>
      </c>
      <c r="C142" s="3462" t="s">
        <v>3859</v>
      </c>
      <c r="D142" s="3462" t="s">
        <v>3860</v>
      </c>
      <c r="E142" s="3462" t="s">
        <v>4273</v>
      </c>
      <c r="F142" s="3462" t="s">
        <v>3442</v>
      </c>
      <c r="G142" s="3462" t="s">
        <v>3861</v>
      </c>
      <c r="H142" s="3465" t="s">
        <v>4392</v>
      </c>
      <c r="I142" s="3480"/>
      <c r="J142" s="3478">
        <f t="shared" si="8"/>
        <v>140</v>
      </c>
      <c r="K142" s="3479" t="str">
        <f t="shared" si="9"/>
        <v>平谷区兴谷街道寨笆路8号院4号楼-1层B111</v>
      </c>
      <c r="L142" s="3479">
        <f t="shared" si="10"/>
        <v>11.48</v>
      </c>
      <c r="M142" s="3476">
        <f ca="1">典型户型修正!R163</f>
        <v>2866</v>
      </c>
      <c r="N142" s="3477">
        <f t="shared" ca="1" si="11"/>
        <v>32902</v>
      </c>
    </row>
    <row r="143" spans="1:14" ht="17.55" customHeight="1">
      <c r="A143" s="3461">
        <v>141</v>
      </c>
      <c r="B143" s="3461" t="s">
        <v>3846</v>
      </c>
      <c r="C143" s="3462" t="s">
        <v>3862</v>
      </c>
      <c r="D143" s="3462" t="s">
        <v>3863</v>
      </c>
      <c r="E143" s="3462" t="s">
        <v>4291</v>
      </c>
      <c r="F143" s="3462" t="s">
        <v>3442</v>
      </c>
      <c r="G143" s="3462" t="s">
        <v>3864</v>
      </c>
      <c r="H143" s="3465" t="s">
        <v>4397</v>
      </c>
      <c r="I143" s="3480"/>
      <c r="J143" s="3478">
        <f t="shared" si="8"/>
        <v>141</v>
      </c>
      <c r="K143" s="3479" t="str">
        <f t="shared" si="9"/>
        <v>平谷区兴谷街道寨笆路8号院4号楼-1层B112</v>
      </c>
      <c r="L143" s="3479">
        <f t="shared" si="10"/>
        <v>8.86</v>
      </c>
      <c r="M143" s="3476">
        <f ca="1">典型户型修正!R164</f>
        <v>2412</v>
      </c>
      <c r="N143" s="3477">
        <f t="shared" ca="1" si="11"/>
        <v>21370</v>
      </c>
    </row>
    <row r="144" spans="1:14" ht="17.55" customHeight="1">
      <c r="A144" s="3461">
        <v>142</v>
      </c>
      <c r="B144" s="3461" t="s">
        <v>3865</v>
      </c>
      <c r="C144" s="3462" t="s">
        <v>3866</v>
      </c>
      <c r="D144" s="3462" t="s">
        <v>3867</v>
      </c>
      <c r="E144" s="3462" t="s">
        <v>4254</v>
      </c>
      <c r="F144" s="3462" t="s">
        <v>3442</v>
      </c>
      <c r="G144" s="3462" t="s">
        <v>3868</v>
      </c>
      <c r="H144" s="3465" t="s">
        <v>4397</v>
      </c>
      <c r="I144" s="3480"/>
      <c r="J144" s="3478">
        <f t="shared" si="8"/>
        <v>142</v>
      </c>
      <c r="K144" s="3479" t="str">
        <f t="shared" si="9"/>
        <v>平谷区兴谷街道寨笆路8号院5号楼-1层B101</v>
      </c>
      <c r="L144" s="3479">
        <f t="shared" si="10"/>
        <v>8.1300000000000008</v>
      </c>
      <c r="M144" s="3476">
        <f ca="1">典型户型修正!R165</f>
        <v>2412</v>
      </c>
      <c r="N144" s="3477">
        <f t="shared" ca="1" si="11"/>
        <v>19610</v>
      </c>
    </row>
    <row r="145" spans="1:14" ht="17.55" customHeight="1">
      <c r="A145" s="3461">
        <v>143</v>
      </c>
      <c r="B145" s="3461" t="s">
        <v>3865</v>
      </c>
      <c r="C145" s="3462" t="s">
        <v>3869</v>
      </c>
      <c r="D145" s="3462" t="s">
        <v>3870</v>
      </c>
      <c r="E145" s="3462" t="s">
        <v>4250</v>
      </c>
      <c r="F145" s="3462" t="s">
        <v>3442</v>
      </c>
      <c r="G145" s="3462" t="s">
        <v>3871</v>
      </c>
      <c r="H145" s="3465" t="s">
        <v>4391</v>
      </c>
      <c r="I145" s="3480"/>
      <c r="J145" s="3478">
        <f t="shared" si="8"/>
        <v>143</v>
      </c>
      <c r="K145" s="3479" t="str">
        <f t="shared" si="9"/>
        <v>平谷区兴谷街道寨笆路8号院5号楼-1层B102</v>
      </c>
      <c r="L145" s="3479">
        <f t="shared" si="10"/>
        <v>10.54</v>
      </c>
      <c r="M145" s="3476">
        <f ca="1">典型户型修正!R166</f>
        <v>2866</v>
      </c>
      <c r="N145" s="3477">
        <f t="shared" ca="1" si="11"/>
        <v>30208</v>
      </c>
    </row>
    <row r="146" spans="1:14" ht="17.55" customHeight="1">
      <c r="A146" s="3461">
        <v>144</v>
      </c>
      <c r="B146" s="3461" t="s">
        <v>3865</v>
      </c>
      <c r="C146" s="3462" t="s">
        <v>3872</v>
      </c>
      <c r="D146" s="3462" t="s">
        <v>3873</v>
      </c>
      <c r="E146" s="3462" t="s">
        <v>4249</v>
      </c>
      <c r="F146" s="3462" t="s">
        <v>3442</v>
      </c>
      <c r="G146" s="3462" t="s">
        <v>3874</v>
      </c>
      <c r="H146" s="3465" t="s">
        <v>4397</v>
      </c>
      <c r="I146" s="3480"/>
      <c r="J146" s="3478">
        <f t="shared" ref="J146:J209" si="12">A146</f>
        <v>144</v>
      </c>
      <c r="K146" s="3479" t="str">
        <f t="shared" ref="K146:K209" si="13">G146</f>
        <v>平谷区兴谷街道寨笆路8号院5号楼-1层B103</v>
      </c>
      <c r="L146" s="3479">
        <f t="shared" si="10"/>
        <v>7.61</v>
      </c>
      <c r="M146" s="3476">
        <f ca="1">典型户型修正!R167</f>
        <v>2412</v>
      </c>
      <c r="N146" s="3477">
        <f t="shared" ca="1" si="11"/>
        <v>18355</v>
      </c>
    </row>
    <row r="147" spans="1:14" ht="17.55" customHeight="1">
      <c r="A147" s="3461">
        <v>145</v>
      </c>
      <c r="B147" s="3461" t="s">
        <v>3865</v>
      </c>
      <c r="C147" s="3462" t="s">
        <v>3875</v>
      </c>
      <c r="D147" s="3462" t="s">
        <v>3876</v>
      </c>
      <c r="E147" s="3462" t="s">
        <v>4251</v>
      </c>
      <c r="F147" s="3462" t="s">
        <v>3442</v>
      </c>
      <c r="G147" s="3462" t="s">
        <v>3877</v>
      </c>
      <c r="H147" s="3465" t="s">
        <v>4397</v>
      </c>
      <c r="I147" s="3480"/>
      <c r="J147" s="3478">
        <f t="shared" si="12"/>
        <v>145</v>
      </c>
      <c r="K147" s="3479" t="str">
        <f t="shared" si="13"/>
        <v>平谷区兴谷街道寨笆路8号院5号楼-1层B104</v>
      </c>
      <c r="L147" s="3479">
        <f t="shared" si="10"/>
        <v>8.24</v>
      </c>
      <c r="M147" s="3476">
        <f ca="1">典型户型修正!R168</f>
        <v>2412</v>
      </c>
      <c r="N147" s="3477">
        <f t="shared" ca="1" si="11"/>
        <v>19875</v>
      </c>
    </row>
    <row r="148" spans="1:14" ht="17.55" customHeight="1">
      <c r="A148" s="3461">
        <v>146</v>
      </c>
      <c r="B148" s="3461" t="s">
        <v>3865</v>
      </c>
      <c r="C148" s="3462" t="s">
        <v>3878</v>
      </c>
      <c r="D148" s="3462" t="s">
        <v>3879</v>
      </c>
      <c r="E148" s="3462" t="s">
        <v>4363</v>
      </c>
      <c r="F148" s="3462" t="s">
        <v>3442</v>
      </c>
      <c r="G148" s="3462" t="s">
        <v>3880</v>
      </c>
      <c r="H148" s="3465" t="s">
        <v>4397</v>
      </c>
      <c r="I148" s="3480"/>
      <c r="J148" s="3478">
        <f t="shared" si="12"/>
        <v>146</v>
      </c>
      <c r="K148" s="3479" t="str">
        <f t="shared" si="13"/>
        <v>平谷区兴谷街道寨笆路8号院5号楼-1层B105</v>
      </c>
      <c r="L148" s="3479">
        <f t="shared" si="10"/>
        <v>10.51</v>
      </c>
      <c r="M148" s="3476">
        <f ca="1">典型户型修正!R169</f>
        <v>2388</v>
      </c>
      <c r="N148" s="3477">
        <f t="shared" ca="1" si="11"/>
        <v>25098</v>
      </c>
    </row>
    <row r="149" spans="1:14" ht="17.55" customHeight="1">
      <c r="A149" s="3461">
        <v>147</v>
      </c>
      <c r="B149" s="3461" t="s">
        <v>3865</v>
      </c>
      <c r="C149" s="3462" t="s">
        <v>3881</v>
      </c>
      <c r="D149" s="3462" t="s">
        <v>3882</v>
      </c>
      <c r="E149" s="3462" t="s">
        <v>4363</v>
      </c>
      <c r="F149" s="3462" t="s">
        <v>3442</v>
      </c>
      <c r="G149" s="3462" t="s">
        <v>3883</v>
      </c>
      <c r="H149" s="3465" t="s">
        <v>4397</v>
      </c>
      <c r="I149" s="3480"/>
      <c r="J149" s="3478">
        <f t="shared" si="12"/>
        <v>147</v>
      </c>
      <c r="K149" s="3479" t="str">
        <f t="shared" si="13"/>
        <v>平谷区兴谷街道寨笆路8号院5号楼-1层B106</v>
      </c>
      <c r="L149" s="3479">
        <f t="shared" si="10"/>
        <v>10.51</v>
      </c>
      <c r="M149" s="3476">
        <f ca="1">典型户型修正!R170</f>
        <v>2388</v>
      </c>
      <c r="N149" s="3477">
        <f t="shared" ca="1" si="11"/>
        <v>25098</v>
      </c>
    </row>
    <row r="150" spans="1:14" ht="17.55" customHeight="1">
      <c r="A150" s="3461">
        <v>148</v>
      </c>
      <c r="B150" s="3461" t="s">
        <v>3865</v>
      </c>
      <c r="C150" s="3462" t="s">
        <v>3884</v>
      </c>
      <c r="D150" s="3462" t="s">
        <v>3885</v>
      </c>
      <c r="E150" s="3462" t="s">
        <v>4364</v>
      </c>
      <c r="F150" s="3462" t="s">
        <v>3442</v>
      </c>
      <c r="G150" s="3462" t="s">
        <v>3886</v>
      </c>
      <c r="H150" s="3465" t="s">
        <v>4397</v>
      </c>
      <c r="I150" s="3480"/>
      <c r="J150" s="3478">
        <f t="shared" si="12"/>
        <v>148</v>
      </c>
      <c r="K150" s="3479" t="str">
        <f t="shared" si="13"/>
        <v>平谷区兴谷街道寨笆路8号院5号楼-1层B107</v>
      </c>
      <c r="L150" s="3479">
        <f t="shared" si="10"/>
        <v>6.38</v>
      </c>
      <c r="M150" s="3476">
        <f ca="1">典型户型修正!R171</f>
        <v>2412</v>
      </c>
      <c r="N150" s="3477">
        <f t="shared" ca="1" si="11"/>
        <v>15389</v>
      </c>
    </row>
    <row r="151" spans="1:14" ht="17.55" customHeight="1">
      <c r="A151" s="3461">
        <v>149</v>
      </c>
      <c r="B151" s="3461" t="s">
        <v>3865</v>
      </c>
      <c r="C151" s="3462" t="s">
        <v>3887</v>
      </c>
      <c r="D151" s="3462" t="s">
        <v>3888</v>
      </c>
      <c r="E151" s="3462" t="s">
        <v>4365</v>
      </c>
      <c r="F151" s="3462" t="s">
        <v>3442</v>
      </c>
      <c r="G151" s="3462" t="s">
        <v>3889</v>
      </c>
      <c r="H151" s="3465" t="s">
        <v>4397</v>
      </c>
      <c r="I151" s="3480"/>
      <c r="J151" s="3478">
        <f t="shared" si="12"/>
        <v>149</v>
      </c>
      <c r="K151" s="3479" t="str">
        <f t="shared" si="13"/>
        <v>平谷区兴谷街道寨笆路8号院5号楼-1层B108</v>
      </c>
      <c r="L151" s="3479">
        <f t="shared" si="10"/>
        <v>4.3899999999999997</v>
      </c>
      <c r="M151" s="3476">
        <f ca="1">典型户型修正!R172</f>
        <v>2436</v>
      </c>
      <c r="N151" s="3477">
        <f t="shared" ca="1" si="11"/>
        <v>10694</v>
      </c>
    </row>
    <row r="152" spans="1:14" ht="17.55" customHeight="1">
      <c r="A152" s="3461">
        <v>150</v>
      </c>
      <c r="B152" s="3461" t="s">
        <v>3865</v>
      </c>
      <c r="C152" s="3462" t="s">
        <v>3890</v>
      </c>
      <c r="D152" s="3462" t="s">
        <v>3891</v>
      </c>
      <c r="E152" s="3462" t="s">
        <v>4310</v>
      </c>
      <c r="F152" s="3462" t="s">
        <v>3442</v>
      </c>
      <c r="G152" s="3462" t="s">
        <v>3892</v>
      </c>
      <c r="H152" s="3465" t="s">
        <v>4397</v>
      </c>
      <c r="I152" s="3480"/>
      <c r="J152" s="3478">
        <f t="shared" si="12"/>
        <v>150</v>
      </c>
      <c r="K152" s="3479" t="str">
        <f t="shared" si="13"/>
        <v>平谷区兴谷街道寨笆路8号院5号楼-1层B111</v>
      </c>
      <c r="L152" s="3479">
        <f t="shared" si="10"/>
        <v>7.1</v>
      </c>
      <c r="M152" s="3476">
        <f ca="1">典型户型修正!R173</f>
        <v>2412</v>
      </c>
      <c r="N152" s="3477">
        <f t="shared" ca="1" si="11"/>
        <v>17125</v>
      </c>
    </row>
    <row r="153" spans="1:14" ht="17.55" customHeight="1">
      <c r="A153" s="3461">
        <v>151</v>
      </c>
      <c r="B153" s="3461" t="s">
        <v>3865</v>
      </c>
      <c r="C153" s="3462" t="s">
        <v>3893</v>
      </c>
      <c r="D153" s="3462" t="s">
        <v>3894</v>
      </c>
      <c r="E153" s="3462" t="s">
        <v>4312</v>
      </c>
      <c r="F153" s="3462" t="s">
        <v>3442</v>
      </c>
      <c r="G153" s="3462" t="s">
        <v>3895</v>
      </c>
      <c r="H153" s="3465" t="s">
        <v>4397</v>
      </c>
      <c r="I153" s="3480"/>
      <c r="J153" s="3478">
        <f t="shared" si="12"/>
        <v>151</v>
      </c>
      <c r="K153" s="3479" t="str">
        <f t="shared" si="13"/>
        <v>平谷区兴谷街道寨笆路8号院5号楼-1层B112</v>
      </c>
      <c r="L153" s="3479">
        <f t="shared" si="10"/>
        <v>6.88</v>
      </c>
      <c r="M153" s="3476">
        <f ca="1">典型户型修正!R174</f>
        <v>2412</v>
      </c>
      <c r="N153" s="3477">
        <f t="shared" ca="1" si="11"/>
        <v>16595</v>
      </c>
    </row>
    <row r="154" spans="1:14" ht="17.55" customHeight="1">
      <c r="A154" s="3461">
        <v>152</v>
      </c>
      <c r="B154" s="3461" t="s">
        <v>3865</v>
      </c>
      <c r="C154" s="3462" t="s">
        <v>3896</v>
      </c>
      <c r="D154" s="3462" t="s">
        <v>3897</v>
      </c>
      <c r="E154" s="3462" t="s">
        <v>4252</v>
      </c>
      <c r="F154" s="3462" t="s">
        <v>3524</v>
      </c>
      <c r="G154" s="3462" t="s">
        <v>3898</v>
      </c>
      <c r="H154" s="3465" t="s">
        <v>4397</v>
      </c>
      <c r="I154" s="3480"/>
      <c r="J154" s="3478">
        <f t="shared" si="12"/>
        <v>152</v>
      </c>
      <c r="K154" s="3479" t="str">
        <f t="shared" si="13"/>
        <v>平谷区兴谷街道寨笆路8号院5号楼-2层B201</v>
      </c>
      <c r="L154" s="3479">
        <f t="shared" si="10"/>
        <v>10.23</v>
      </c>
      <c r="M154" s="3476">
        <f ca="1">典型户型修正!R175</f>
        <v>2149</v>
      </c>
      <c r="N154" s="3477">
        <f t="shared" ca="1" si="11"/>
        <v>21984</v>
      </c>
    </row>
    <row r="155" spans="1:14" ht="17.55" customHeight="1">
      <c r="A155" s="3461">
        <v>153</v>
      </c>
      <c r="B155" s="3461" t="s">
        <v>3865</v>
      </c>
      <c r="C155" s="3462" t="s">
        <v>3899</v>
      </c>
      <c r="D155" s="3462" t="s">
        <v>3900</v>
      </c>
      <c r="E155" s="3462" t="s">
        <v>4253</v>
      </c>
      <c r="F155" s="3462" t="s">
        <v>3524</v>
      </c>
      <c r="G155" s="3462" t="s">
        <v>3901</v>
      </c>
      <c r="H155" s="3465" t="s">
        <v>4397</v>
      </c>
      <c r="I155" s="3480"/>
      <c r="J155" s="3478">
        <f t="shared" si="12"/>
        <v>153</v>
      </c>
      <c r="K155" s="3479" t="str">
        <f t="shared" si="13"/>
        <v>平谷区兴谷街道寨笆路8号院5号楼-2层B202</v>
      </c>
      <c r="L155" s="3479">
        <f t="shared" si="10"/>
        <v>8.9700000000000006</v>
      </c>
      <c r="M155" s="3476">
        <f ca="1">典型户型修正!R176</f>
        <v>2171</v>
      </c>
      <c r="N155" s="3477">
        <f t="shared" ca="1" si="11"/>
        <v>19474</v>
      </c>
    </row>
    <row r="156" spans="1:14" ht="17.55" customHeight="1">
      <c r="A156" s="3461">
        <v>154</v>
      </c>
      <c r="B156" s="3461" t="s">
        <v>3865</v>
      </c>
      <c r="C156" s="3462" t="s">
        <v>3902</v>
      </c>
      <c r="D156" s="3462" t="s">
        <v>3903</v>
      </c>
      <c r="E156" s="3462" t="s">
        <v>4253</v>
      </c>
      <c r="F156" s="3462" t="s">
        <v>3524</v>
      </c>
      <c r="G156" s="3462" t="s">
        <v>3904</v>
      </c>
      <c r="H156" s="3465" t="s">
        <v>4397</v>
      </c>
      <c r="I156" s="3480"/>
      <c r="J156" s="3478">
        <f t="shared" si="12"/>
        <v>154</v>
      </c>
      <c r="K156" s="3479" t="str">
        <f t="shared" si="13"/>
        <v>平谷区兴谷街道寨笆路8号院5号楼-2层B203</v>
      </c>
      <c r="L156" s="3479">
        <f t="shared" si="10"/>
        <v>8.9700000000000006</v>
      </c>
      <c r="M156" s="3476">
        <f ca="1">典型户型修正!R177</f>
        <v>2171</v>
      </c>
      <c r="N156" s="3477">
        <f t="shared" ca="1" si="11"/>
        <v>19474</v>
      </c>
    </row>
    <row r="157" spans="1:14" ht="17.55" customHeight="1">
      <c r="A157" s="3461">
        <v>155</v>
      </c>
      <c r="B157" s="3461" t="s">
        <v>3865</v>
      </c>
      <c r="C157" s="3462" t="s">
        <v>3905</v>
      </c>
      <c r="D157" s="3462" t="s">
        <v>3906</v>
      </c>
      <c r="E157" s="3462" t="s">
        <v>4253</v>
      </c>
      <c r="F157" s="3462" t="s">
        <v>3524</v>
      </c>
      <c r="G157" s="3462" t="s">
        <v>3907</v>
      </c>
      <c r="H157" s="3465" t="s">
        <v>4392</v>
      </c>
      <c r="I157" s="3480"/>
      <c r="J157" s="3478">
        <f t="shared" si="12"/>
        <v>155</v>
      </c>
      <c r="K157" s="3479" t="str">
        <f t="shared" si="13"/>
        <v>平谷区兴谷街道寨笆路8号院5号楼-2层B204</v>
      </c>
      <c r="L157" s="3479">
        <f t="shared" si="10"/>
        <v>8.9700000000000006</v>
      </c>
      <c r="M157" s="3476">
        <f ca="1">典型户型修正!R178</f>
        <v>2605</v>
      </c>
      <c r="N157" s="3477">
        <f t="shared" ca="1" si="11"/>
        <v>23367</v>
      </c>
    </row>
    <row r="158" spans="1:14" ht="17.55" customHeight="1">
      <c r="A158" s="3461">
        <v>156</v>
      </c>
      <c r="B158" s="3461" t="s">
        <v>3865</v>
      </c>
      <c r="C158" s="3462" t="s">
        <v>3908</v>
      </c>
      <c r="D158" s="3462" t="s">
        <v>3909</v>
      </c>
      <c r="E158" s="3462" t="s">
        <v>4254</v>
      </c>
      <c r="F158" s="3462" t="s">
        <v>3524</v>
      </c>
      <c r="G158" s="3462" t="s">
        <v>3910</v>
      </c>
      <c r="H158" s="3465" t="s">
        <v>4397</v>
      </c>
      <c r="I158" s="3480"/>
      <c r="J158" s="3478">
        <f t="shared" si="12"/>
        <v>156</v>
      </c>
      <c r="K158" s="3479" t="str">
        <f t="shared" si="13"/>
        <v>平谷区兴谷街道寨笆路8号院5号楼-2层B205</v>
      </c>
      <c r="L158" s="3479">
        <f t="shared" si="10"/>
        <v>8.1300000000000008</v>
      </c>
      <c r="M158" s="3476">
        <f ca="1">典型户型修正!R179</f>
        <v>2171</v>
      </c>
      <c r="N158" s="3477">
        <f t="shared" ca="1" si="11"/>
        <v>17650</v>
      </c>
    </row>
    <row r="159" spans="1:14" ht="17.55" customHeight="1">
      <c r="A159" s="3461">
        <v>157</v>
      </c>
      <c r="B159" s="3461" t="s">
        <v>3865</v>
      </c>
      <c r="C159" s="3462" t="s">
        <v>3911</v>
      </c>
      <c r="D159" s="3462" t="s">
        <v>3912</v>
      </c>
      <c r="E159" s="3462" t="s">
        <v>4250</v>
      </c>
      <c r="F159" s="3462" t="s">
        <v>3524</v>
      </c>
      <c r="G159" s="3462" t="s">
        <v>3913</v>
      </c>
      <c r="H159" s="3465" t="s">
        <v>4391</v>
      </c>
      <c r="I159" s="3480"/>
      <c r="J159" s="3478">
        <f t="shared" si="12"/>
        <v>157</v>
      </c>
      <c r="K159" s="3479" t="str">
        <f t="shared" si="13"/>
        <v>平谷区兴谷街道寨笆路8号院5号楼-2层B206</v>
      </c>
      <c r="L159" s="3479">
        <f t="shared" si="10"/>
        <v>10.54</v>
      </c>
      <c r="M159" s="3476">
        <f ca="1">典型户型修正!R180</f>
        <v>2579</v>
      </c>
      <c r="N159" s="3477">
        <f t="shared" ca="1" si="11"/>
        <v>27183</v>
      </c>
    </row>
    <row r="160" spans="1:14" ht="17.55" customHeight="1">
      <c r="A160" s="3461">
        <v>158</v>
      </c>
      <c r="B160" s="3461" t="s">
        <v>3865</v>
      </c>
      <c r="C160" s="3462" t="s">
        <v>3914</v>
      </c>
      <c r="D160" s="3462" t="s">
        <v>3915</v>
      </c>
      <c r="E160" s="3462" t="s">
        <v>4327</v>
      </c>
      <c r="F160" s="3462" t="s">
        <v>3524</v>
      </c>
      <c r="G160" s="3462" t="s">
        <v>3916</v>
      </c>
      <c r="H160" s="3465" t="s">
        <v>4397</v>
      </c>
      <c r="I160" s="3480"/>
      <c r="J160" s="3478">
        <f t="shared" si="12"/>
        <v>158</v>
      </c>
      <c r="K160" s="3479" t="str">
        <f t="shared" si="13"/>
        <v>平谷区兴谷街道寨笆路8号院5号楼-2层B208</v>
      </c>
      <c r="L160" s="3479">
        <f t="shared" si="10"/>
        <v>9.2200000000000006</v>
      </c>
      <c r="M160" s="3476">
        <f ca="1">典型户型修正!R181</f>
        <v>2171</v>
      </c>
      <c r="N160" s="3477">
        <f t="shared" ca="1" si="11"/>
        <v>20017</v>
      </c>
    </row>
    <row r="161" spans="1:14" ht="17.55" customHeight="1">
      <c r="A161" s="3461">
        <v>159</v>
      </c>
      <c r="B161" s="3461" t="s">
        <v>3865</v>
      </c>
      <c r="C161" s="3462" t="s">
        <v>3917</v>
      </c>
      <c r="D161" s="3462" t="s">
        <v>3918</v>
      </c>
      <c r="E161" s="3462" t="s">
        <v>4328</v>
      </c>
      <c r="F161" s="3462" t="s">
        <v>3524</v>
      </c>
      <c r="G161" s="3462" t="s">
        <v>3919</v>
      </c>
      <c r="H161" s="3465" t="s">
        <v>4397</v>
      </c>
      <c r="I161" s="3480"/>
      <c r="J161" s="3478">
        <f t="shared" si="12"/>
        <v>159</v>
      </c>
      <c r="K161" s="3479" t="str">
        <f t="shared" si="13"/>
        <v>平谷区兴谷街道寨笆路8号院5号楼-2层B209</v>
      </c>
      <c r="L161" s="3479">
        <f t="shared" si="10"/>
        <v>6.46</v>
      </c>
      <c r="M161" s="3476">
        <f ca="1">典型户型修正!R182</f>
        <v>2171</v>
      </c>
      <c r="N161" s="3477">
        <f t="shared" ca="1" si="11"/>
        <v>14025</v>
      </c>
    </row>
    <row r="162" spans="1:14" ht="17.55" customHeight="1">
      <c r="A162" s="3461">
        <v>160</v>
      </c>
      <c r="B162" s="3461" t="s">
        <v>3865</v>
      </c>
      <c r="C162" s="3462" t="s">
        <v>3920</v>
      </c>
      <c r="D162" s="3462" t="s">
        <v>3921</v>
      </c>
      <c r="E162" s="3462" t="s">
        <v>4313</v>
      </c>
      <c r="F162" s="3462" t="s">
        <v>3524</v>
      </c>
      <c r="G162" s="3462" t="s">
        <v>3922</v>
      </c>
      <c r="H162" s="3465" t="s">
        <v>4397</v>
      </c>
      <c r="I162" s="3480"/>
      <c r="J162" s="3478">
        <f t="shared" si="12"/>
        <v>160</v>
      </c>
      <c r="K162" s="3479" t="str">
        <f t="shared" si="13"/>
        <v>平谷区兴谷街道寨笆路8号院5号楼-2层B211</v>
      </c>
      <c r="L162" s="3479">
        <f t="shared" si="10"/>
        <v>6.74</v>
      </c>
      <c r="M162" s="3476">
        <f ca="1">典型户型修正!R183</f>
        <v>2171</v>
      </c>
      <c r="N162" s="3477">
        <f t="shared" ca="1" si="11"/>
        <v>14633</v>
      </c>
    </row>
    <row r="163" spans="1:14" ht="17.55" customHeight="1">
      <c r="A163" s="3461">
        <v>161</v>
      </c>
      <c r="B163" s="3461" t="s">
        <v>3865</v>
      </c>
      <c r="C163" s="3462" t="s">
        <v>3923</v>
      </c>
      <c r="D163" s="3462" t="s">
        <v>3924</v>
      </c>
      <c r="E163" s="3462" t="s">
        <v>4335</v>
      </c>
      <c r="F163" s="3462" t="s">
        <v>3524</v>
      </c>
      <c r="G163" s="3462" t="s">
        <v>3925</v>
      </c>
      <c r="H163" s="3465" t="s">
        <v>4397</v>
      </c>
      <c r="I163" s="3480"/>
      <c r="J163" s="3478">
        <f t="shared" si="12"/>
        <v>161</v>
      </c>
      <c r="K163" s="3479" t="str">
        <f t="shared" si="13"/>
        <v>平谷区兴谷街道寨笆路8号院5号楼-2层B213</v>
      </c>
      <c r="L163" s="3479">
        <f t="shared" si="10"/>
        <v>8.07</v>
      </c>
      <c r="M163" s="3476">
        <f ca="1">典型户型修正!R184</f>
        <v>2171</v>
      </c>
      <c r="N163" s="3477">
        <f t="shared" ca="1" si="11"/>
        <v>17520</v>
      </c>
    </row>
    <row r="164" spans="1:14" ht="17.55" customHeight="1">
      <c r="A164" s="3461">
        <v>162</v>
      </c>
      <c r="B164" s="3461" t="s">
        <v>3865</v>
      </c>
      <c r="C164" s="3462" t="s">
        <v>3926</v>
      </c>
      <c r="D164" s="3462" t="s">
        <v>3927</v>
      </c>
      <c r="E164" s="3462" t="s">
        <v>4336</v>
      </c>
      <c r="F164" s="3462" t="s">
        <v>3524</v>
      </c>
      <c r="G164" s="3462" t="s">
        <v>3928</v>
      </c>
      <c r="H164" s="3465" t="s">
        <v>4397</v>
      </c>
      <c r="I164" s="3480"/>
      <c r="J164" s="3478">
        <f t="shared" si="12"/>
        <v>162</v>
      </c>
      <c r="K164" s="3479" t="str">
        <f t="shared" si="13"/>
        <v>平谷区兴谷街道寨笆路8号院5号楼-2层B214</v>
      </c>
      <c r="L164" s="3479">
        <f t="shared" si="10"/>
        <v>5.23</v>
      </c>
      <c r="M164" s="3476">
        <f ca="1">典型户型修正!R185</f>
        <v>2171</v>
      </c>
      <c r="N164" s="3477">
        <f t="shared" ca="1" si="11"/>
        <v>11354</v>
      </c>
    </row>
    <row r="165" spans="1:14" ht="17.55" customHeight="1">
      <c r="A165" s="3461">
        <v>163</v>
      </c>
      <c r="B165" s="3461" t="s">
        <v>3865</v>
      </c>
      <c r="C165" s="3462" t="s">
        <v>3929</v>
      </c>
      <c r="D165" s="3462" t="s">
        <v>3930</v>
      </c>
      <c r="E165" s="3462" t="s">
        <v>4337</v>
      </c>
      <c r="F165" s="3462" t="s">
        <v>3524</v>
      </c>
      <c r="G165" s="3462" t="s">
        <v>3931</v>
      </c>
      <c r="H165" s="3465" t="s">
        <v>4391</v>
      </c>
      <c r="I165" s="3480"/>
      <c r="J165" s="3478">
        <f t="shared" si="12"/>
        <v>163</v>
      </c>
      <c r="K165" s="3479" t="str">
        <f t="shared" si="13"/>
        <v>平谷区兴谷街道寨笆路8号院5号楼-2层B215</v>
      </c>
      <c r="L165" s="3479">
        <f t="shared" si="10"/>
        <v>7.75</v>
      </c>
      <c r="M165" s="3476">
        <f ca="1">典型户型修正!R186</f>
        <v>2605</v>
      </c>
      <c r="N165" s="3477">
        <f t="shared" ca="1" si="11"/>
        <v>20189</v>
      </c>
    </row>
    <row r="166" spans="1:14" ht="17.55" customHeight="1">
      <c r="A166" s="3461">
        <v>164</v>
      </c>
      <c r="B166" s="3461" t="s">
        <v>3865</v>
      </c>
      <c r="C166" s="3462" t="s">
        <v>3932</v>
      </c>
      <c r="D166" s="3462" t="s">
        <v>3933</v>
      </c>
      <c r="E166" s="3462" t="s">
        <v>4338</v>
      </c>
      <c r="F166" s="3462" t="s">
        <v>3524</v>
      </c>
      <c r="G166" s="3462" t="s">
        <v>3934</v>
      </c>
      <c r="H166" s="3465" t="s">
        <v>4397</v>
      </c>
      <c r="I166" s="3480"/>
      <c r="J166" s="3478">
        <f t="shared" si="12"/>
        <v>164</v>
      </c>
      <c r="K166" s="3479" t="str">
        <f t="shared" si="13"/>
        <v>平谷区兴谷街道寨笆路8号院5号楼-2层B216</v>
      </c>
      <c r="L166" s="3479">
        <f t="shared" si="10"/>
        <v>8.2100000000000009</v>
      </c>
      <c r="M166" s="3476">
        <f ca="1">典型户型修正!R187</f>
        <v>2171</v>
      </c>
      <c r="N166" s="3477">
        <f t="shared" ca="1" si="11"/>
        <v>17824</v>
      </c>
    </row>
    <row r="167" spans="1:14" ht="17.55" customHeight="1">
      <c r="A167" s="3461">
        <v>165</v>
      </c>
      <c r="B167" s="3461" t="s">
        <v>3865</v>
      </c>
      <c r="C167" s="3462" t="s">
        <v>3935</v>
      </c>
      <c r="D167" s="3462" t="s">
        <v>3936</v>
      </c>
      <c r="E167" s="3462" t="s">
        <v>4339</v>
      </c>
      <c r="F167" s="3462" t="s">
        <v>3524</v>
      </c>
      <c r="G167" s="3462" t="s">
        <v>3937</v>
      </c>
      <c r="H167" s="3465" t="s">
        <v>4391</v>
      </c>
      <c r="I167" s="3480"/>
      <c r="J167" s="3478">
        <f t="shared" si="12"/>
        <v>165</v>
      </c>
      <c r="K167" s="3479" t="str">
        <f t="shared" si="13"/>
        <v>平谷区兴谷街道寨笆路8号院5号楼-2层B218</v>
      </c>
      <c r="L167" s="3479">
        <f t="shared" si="10"/>
        <v>7.83</v>
      </c>
      <c r="M167" s="3476">
        <f ca="1">典型户型修正!R188</f>
        <v>2605</v>
      </c>
      <c r="N167" s="3477">
        <f t="shared" ca="1" si="11"/>
        <v>20397</v>
      </c>
    </row>
    <row r="168" spans="1:14" ht="17.55" customHeight="1">
      <c r="A168" s="3461">
        <v>166</v>
      </c>
      <c r="B168" s="3461" t="s">
        <v>3865</v>
      </c>
      <c r="C168" s="3462" t="s">
        <v>3938</v>
      </c>
      <c r="D168" s="3462" t="s">
        <v>3939</v>
      </c>
      <c r="E168" s="3462" t="s">
        <v>4340</v>
      </c>
      <c r="F168" s="3462" t="s">
        <v>3524</v>
      </c>
      <c r="G168" s="3462" t="s">
        <v>3940</v>
      </c>
      <c r="H168" s="3465" t="s">
        <v>4397</v>
      </c>
      <c r="I168" s="3480"/>
      <c r="J168" s="3478">
        <f t="shared" si="12"/>
        <v>166</v>
      </c>
      <c r="K168" s="3479" t="str">
        <f t="shared" si="13"/>
        <v>平谷区兴谷街道寨笆路8号院5号楼-2层B219</v>
      </c>
      <c r="L168" s="3479">
        <f t="shared" si="10"/>
        <v>7.59</v>
      </c>
      <c r="M168" s="3476">
        <f ca="1">典型户型修正!R189</f>
        <v>2171</v>
      </c>
      <c r="N168" s="3477">
        <f t="shared" ca="1" si="11"/>
        <v>16478</v>
      </c>
    </row>
    <row r="169" spans="1:14" ht="17.55" customHeight="1">
      <c r="A169" s="3461">
        <v>167</v>
      </c>
      <c r="B169" s="3461" t="s">
        <v>3941</v>
      </c>
      <c r="C169" s="3462" t="s">
        <v>3942</v>
      </c>
      <c r="D169" s="3462" t="s">
        <v>3943</v>
      </c>
      <c r="E169" s="3462" t="s">
        <v>4329</v>
      </c>
      <c r="F169" s="3462" t="s">
        <v>3524</v>
      </c>
      <c r="G169" s="3462" t="s">
        <v>3944</v>
      </c>
      <c r="H169" s="3465" t="s">
        <v>4397</v>
      </c>
      <c r="I169" s="3480"/>
      <c r="J169" s="3478">
        <f t="shared" si="12"/>
        <v>167</v>
      </c>
      <c r="K169" s="3479" t="str">
        <f t="shared" si="13"/>
        <v>平谷区兴谷街道寨笆路8号院6号楼-2层B201</v>
      </c>
      <c r="L169" s="3479">
        <f t="shared" si="10"/>
        <v>10.11</v>
      </c>
      <c r="M169" s="3476">
        <f ca="1">典型户型修正!R190</f>
        <v>2149</v>
      </c>
      <c r="N169" s="3477">
        <f t="shared" ca="1" si="11"/>
        <v>21726</v>
      </c>
    </row>
    <row r="170" spans="1:14" ht="17.55" customHeight="1">
      <c r="A170" s="3461">
        <v>168</v>
      </c>
      <c r="B170" s="3461" t="s">
        <v>3941</v>
      </c>
      <c r="C170" s="3462" t="s">
        <v>3945</v>
      </c>
      <c r="D170" s="3462" t="s">
        <v>3946</v>
      </c>
      <c r="E170" s="3462" t="s">
        <v>4330</v>
      </c>
      <c r="F170" s="3462" t="s">
        <v>3524</v>
      </c>
      <c r="G170" s="3462" t="s">
        <v>3947</v>
      </c>
      <c r="H170" s="3465" t="s">
        <v>4397</v>
      </c>
      <c r="I170" s="3480"/>
      <c r="J170" s="3478">
        <f t="shared" si="12"/>
        <v>168</v>
      </c>
      <c r="K170" s="3479" t="str">
        <f t="shared" si="13"/>
        <v>平谷区兴谷街道寨笆路8号院6号楼-2层B202</v>
      </c>
      <c r="L170" s="3479">
        <f t="shared" si="10"/>
        <v>8.8699999999999992</v>
      </c>
      <c r="M170" s="3476">
        <f ca="1">典型户型修正!R191</f>
        <v>2171</v>
      </c>
      <c r="N170" s="3477">
        <f t="shared" ca="1" si="11"/>
        <v>19257</v>
      </c>
    </row>
    <row r="171" spans="1:14" ht="17.55" customHeight="1">
      <c r="A171" s="3461">
        <v>169</v>
      </c>
      <c r="B171" s="3461" t="s">
        <v>3941</v>
      </c>
      <c r="C171" s="3462" t="s">
        <v>3948</v>
      </c>
      <c r="D171" s="3462" t="s">
        <v>3949</v>
      </c>
      <c r="E171" s="3462" t="s">
        <v>4281</v>
      </c>
      <c r="F171" s="3462" t="s">
        <v>3524</v>
      </c>
      <c r="G171" s="3462" t="s">
        <v>3950</v>
      </c>
      <c r="H171" s="3465" t="s">
        <v>4397</v>
      </c>
      <c r="I171" s="3480"/>
      <c r="J171" s="3478">
        <f t="shared" si="12"/>
        <v>169</v>
      </c>
      <c r="K171" s="3479" t="str">
        <f t="shared" si="13"/>
        <v>平谷区兴谷街道寨笆路8号院6号楼-2层B203</v>
      </c>
      <c r="L171" s="3479">
        <f t="shared" si="10"/>
        <v>8.8699999999999992</v>
      </c>
      <c r="M171" s="3476">
        <f ca="1">典型户型修正!R192</f>
        <v>2171</v>
      </c>
      <c r="N171" s="3477">
        <f t="shared" ca="1" si="11"/>
        <v>19257</v>
      </c>
    </row>
    <row r="172" spans="1:14" ht="17.55" customHeight="1">
      <c r="A172" s="3461">
        <v>170</v>
      </c>
      <c r="B172" s="3461" t="s">
        <v>3941</v>
      </c>
      <c r="C172" s="3462" t="s">
        <v>3951</v>
      </c>
      <c r="D172" s="3462" t="s">
        <v>3952</v>
      </c>
      <c r="E172" s="3462" t="s">
        <v>4281</v>
      </c>
      <c r="F172" s="3462" t="s">
        <v>3524</v>
      </c>
      <c r="G172" s="3462" t="s">
        <v>3953</v>
      </c>
      <c r="H172" s="3465" t="s">
        <v>4397</v>
      </c>
      <c r="I172" s="3480"/>
      <c r="J172" s="3478">
        <f t="shared" si="12"/>
        <v>170</v>
      </c>
      <c r="K172" s="3479" t="str">
        <f t="shared" si="13"/>
        <v>平谷区兴谷街道寨笆路8号院6号楼-2层B204</v>
      </c>
      <c r="L172" s="3479">
        <f t="shared" si="10"/>
        <v>8.8699999999999992</v>
      </c>
      <c r="M172" s="3476">
        <f ca="1">典型户型修正!R193</f>
        <v>2171</v>
      </c>
      <c r="N172" s="3477">
        <f t="shared" ca="1" si="11"/>
        <v>19257</v>
      </c>
    </row>
    <row r="173" spans="1:14" ht="17.55" customHeight="1">
      <c r="A173" s="3461">
        <v>171</v>
      </c>
      <c r="B173" s="3461" t="s">
        <v>3941</v>
      </c>
      <c r="C173" s="3462" t="s">
        <v>3954</v>
      </c>
      <c r="D173" s="3462" t="s">
        <v>3955</v>
      </c>
      <c r="E173" s="3462" t="s">
        <v>4333</v>
      </c>
      <c r="F173" s="3462" t="s">
        <v>3524</v>
      </c>
      <c r="G173" s="3462" t="s">
        <v>3956</v>
      </c>
      <c r="H173" s="3465" t="s">
        <v>4397</v>
      </c>
      <c r="I173" s="3480"/>
      <c r="J173" s="3478">
        <f t="shared" si="12"/>
        <v>171</v>
      </c>
      <c r="K173" s="3479" t="str">
        <f t="shared" si="13"/>
        <v>平谷区兴谷街道寨笆路8号院6号楼-2层B205</v>
      </c>
      <c r="L173" s="3479">
        <f t="shared" si="10"/>
        <v>8.0399999999999991</v>
      </c>
      <c r="M173" s="3476">
        <f ca="1">典型户型修正!R194</f>
        <v>2171</v>
      </c>
      <c r="N173" s="3477">
        <f t="shared" ca="1" si="11"/>
        <v>17455</v>
      </c>
    </row>
    <row r="174" spans="1:14" ht="17.55" customHeight="1">
      <c r="A174" s="3461">
        <v>172</v>
      </c>
      <c r="B174" s="3461" t="s">
        <v>3941</v>
      </c>
      <c r="C174" s="3462" t="s">
        <v>3957</v>
      </c>
      <c r="D174" s="3462" t="s">
        <v>3958</v>
      </c>
      <c r="E174" s="3462" t="s">
        <v>4334</v>
      </c>
      <c r="F174" s="3462" t="s">
        <v>3524</v>
      </c>
      <c r="G174" s="3462" t="s">
        <v>3959</v>
      </c>
      <c r="H174" s="3465" t="s">
        <v>4391</v>
      </c>
      <c r="I174" s="3480"/>
      <c r="J174" s="3478">
        <f t="shared" si="12"/>
        <v>172</v>
      </c>
      <c r="K174" s="3479" t="str">
        <f t="shared" si="13"/>
        <v>平谷区兴谷街道寨笆路8号院6号楼-2层B206</v>
      </c>
      <c r="L174" s="3479">
        <f t="shared" si="10"/>
        <v>10.42</v>
      </c>
      <c r="M174" s="3476">
        <f ca="1">典型户型修正!R195</f>
        <v>2579</v>
      </c>
      <c r="N174" s="3477">
        <f t="shared" ca="1" si="11"/>
        <v>26873</v>
      </c>
    </row>
    <row r="175" spans="1:14" ht="17.55" customHeight="1">
      <c r="A175" s="3461">
        <v>173</v>
      </c>
      <c r="B175" s="3461" t="s">
        <v>3941</v>
      </c>
      <c r="C175" s="3462" t="s">
        <v>3960</v>
      </c>
      <c r="D175" s="3462" t="s">
        <v>3961</v>
      </c>
      <c r="E175" s="3462" t="s">
        <v>4341</v>
      </c>
      <c r="F175" s="3462" t="s">
        <v>3524</v>
      </c>
      <c r="G175" s="3462" t="s">
        <v>3962</v>
      </c>
      <c r="H175" s="3465" t="s">
        <v>4397</v>
      </c>
      <c r="I175" s="3480"/>
      <c r="J175" s="3478">
        <f t="shared" si="12"/>
        <v>173</v>
      </c>
      <c r="K175" s="3479" t="str">
        <f t="shared" si="13"/>
        <v>平谷区兴谷街道寨笆路8号院6号楼-2层B209</v>
      </c>
      <c r="L175" s="3479">
        <f t="shared" si="10"/>
        <v>8.1</v>
      </c>
      <c r="M175" s="3476">
        <f ca="1">典型户型修正!R196</f>
        <v>2171</v>
      </c>
      <c r="N175" s="3477">
        <f t="shared" ca="1" si="11"/>
        <v>17585</v>
      </c>
    </row>
    <row r="176" spans="1:14" ht="17.55" customHeight="1">
      <c r="A176" s="3461">
        <v>174</v>
      </c>
      <c r="B176" s="3461" t="s">
        <v>3941</v>
      </c>
      <c r="C176" s="3462" t="s">
        <v>3963</v>
      </c>
      <c r="D176" s="3462" t="s">
        <v>3964</v>
      </c>
      <c r="E176" s="3462" t="s">
        <v>4261</v>
      </c>
      <c r="F176" s="3462" t="s">
        <v>3524</v>
      </c>
      <c r="G176" s="3462" t="s">
        <v>3965</v>
      </c>
      <c r="H176" s="3465" t="s">
        <v>4397</v>
      </c>
      <c r="I176" s="3480"/>
      <c r="J176" s="3478">
        <f t="shared" si="12"/>
        <v>174</v>
      </c>
      <c r="K176" s="3479" t="str">
        <f t="shared" si="13"/>
        <v>平谷区兴谷街道寨笆路8号院6号楼-2层B213</v>
      </c>
      <c r="L176" s="3479">
        <f t="shared" si="10"/>
        <v>7.97</v>
      </c>
      <c r="M176" s="3476">
        <f ca="1">典型户型修正!R197</f>
        <v>2171</v>
      </c>
      <c r="N176" s="3477">
        <f t="shared" ca="1" si="11"/>
        <v>17303</v>
      </c>
    </row>
    <row r="177" spans="1:14" ht="17.55" customHeight="1">
      <c r="A177" s="3461">
        <v>175</v>
      </c>
      <c r="B177" s="3461" t="s">
        <v>3941</v>
      </c>
      <c r="C177" s="3462" t="s">
        <v>3966</v>
      </c>
      <c r="D177" s="3462" t="s">
        <v>3967</v>
      </c>
      <c r="E177" s="3462" t="s">
        <v>4297</v>
      </c>
      <c r="F177" s="3462" t="s">
        <v>3524</v>
      </c>
      <c r="G177" s="3462" t="s">
        <v>3968</v>
      </c>
      <c r="H177" s="3465" t="s">
        <v>4397</v>
      </c>
      <c r="I177" s="3480"/>
      <c r="J177" s="3478">
        <f t="shared" si="12"/>
        <v>175</v>
      </c>
      <c r="K177" s="3479" t="str">
        <f t="shared" si="13"/>
        <v>平谷区兴谷街道寨笆路8号院6号楼-2层B230</v>
      </c>
      <c r="L177" s="3479">
        <f t="shared" si="10"/>
        <v>9.6199999999999992</v>
      </c>
      <c r="M177" s="3476">
        <f ca="1">典型户型修正!R198</f>
        <v>2171</v>
      </c>
      <c r="N177" s="3477">
        <f t="shared" ca="1" si="11"/>
        <v>20885</v>
      </c>
    </row>
    <row r="178" spans="1:14" ht="17.55" customHeight="1">
      <c r="A178" s="3461">
        <v>176</v>
      </c>
      <c r="B178" s="3461" t="s">
        <v>3941</v>
      </c>
      <c r="C178" s="3462" t="s">
        <v>3969</v>
      </c>
      <c r="D178" s="3462" t="s">
        <v>3970</v>
      </c>
      <c r="E178" s="3462" t="s">
        <v>4298</v>
      </c>
      <c r="F178" s="3462" t="s">
        <v>3524</v>
      </c>
      <c r="G178" s="3462" t="s">
        <v>3971</v>
      </c>
      <c r="H178" s="3465" t="s">
        <v>4397</v>
      </c>
      <c r="I178" s="3480"/>
      <c r="J178" s="3478">
        <f t="shared" si="12"/>
        <v>176</v>
      </c>
      <c r="K178" s="3479" t="str">
        <f t="shared" si="13"/>
        <v>平谷区兴谷街道寨笆路8号院6号楼-2层B233</v>
      </c>
      <c r="L178" s="3479">
        <f t="shared" si="10"/>
        <v>9.2799999999999994</v>
      </c>
      <c r="M178" s="3476">
        <f ca="1">典型户型修正!R199</f>
        <v>2171</v>
      </c>
      <c r="N178" s="3477">
        <f t="shared" ca="1" si="11"/>
        <v>20147</v>
      </c>
    </row>
    <row r="179" spans="1:14" ht="17.55" customHeight="1">
      <c r="A179" s="3461">
        <v>177</v>
      </c>
      <c r="B179" s="3461" t="s">
        <v>3941</v>
      </c>
      <c r="C179" s="3462" t="s">
        <v>3972</v>
      </c>
      <c r="D179" s="3462" t="s">
        <v>3973</v>
      </c>
      <c r="E179" s="3462" t="s">
        <v>4262</v>
      </c>
      <c r="F179" s="3462" t="s">
        <v>3524</v>
      </c>
      <c r="G179" s="3462" t="s">
        <v>3974</v>
      </c>
      <c r="H179" s="3465" t="s">
        <v>4397</v>
      </c>
      <c r="I179" s="3480"/>
      <c r="J179" s="3478">
        <f t="shared" si="12"/>
        <v>177</v>
      </c>
      <c r="K179" s="3479" t="str">
        <f t="shared" si="13"/>
        <v>平谷区兴谷街道寨笆路8号院6号楼-2层B238</v>
      </c>
      <c r="L179" s="3479">
        <f t="shared" si="10"/>
        <v>8.02</v>
      </c>
      <c r="M179" s="3476">
        <f ca="1">典型户型修正!R200</f>
        <v>2171</v>
      </c>
      <c r="N179" s="3477">
        <f t="shared" ca="1" si="11"/>
        <v>17411</v>
      </c>
    </row>
    <row r="180" spans="1:14" ht="17.55" customHeight="1">
      <c r="A180" s="3461">
        <v>178</v>
      </c>
      <c r="B180" s="3461" t="s">
        <v>3941</v>
      </c>
      <c r="C180" s="3462" t="s">
        <v>3975</v>
      </c>
      <c r="D180" s="3462" t="s">
        <v>3976</v>
      </c>
      <c r="E180" s="3462" t="s">
        <v>4289</v>
      </c>
      <c r="F180" s="3462" t="s">
        <v>3524</v>
      </c>
      <c r="G180" s="3462" t="s">
        <v>3977</v>
      </c>
      <c r="H180" s="3465" t="s">
        <v>4397</v>
      </c>
      <c r="I180" s="3480"/>
      <c r="J180" s="3478">
        <f t="shared" si="12"/>
        <v>178</v>
      </c>
      <c r="K180" s="3479" t="str">
        <f t="shared" si="13"/>
        <v>平谷区兴谷街道寨笆路8号院6号楼-2层B239</v>
      </c>
      <c r="L180" s="3479">
        <f t="shared" si="10"/>
        <v>8.14</v>
      </c>
      <c r="M180" s="3476">
        <f ca="1">典型户型修正!R201</f>
        <v>2171</v>
      </c>
      <c r="N180" s="3477">
        <f t="shared" ca="1" si="11"/>
        <v>17672</v>
      </c>
    </row>
    <row r="181" spans="1:14" ht="17.55" customHeight="1">
      <c r="A181" s="3461">
        <v>179</v>
      </c>
      <c r="B181" s="3461" t="s">
        <v>3941</v>
      </c>
      <c r="C181" s="3462" t="s">
        <v>3978</v>
      </c>
      <c r="D181" s="3462" t="s">
        <v>3979</v>
      </c>
      <c r="E181" s="3462" t="s">
        <v>4289</v>
      </c>
      <c r="F181" s="3462" t="s">
        <v>3524</v>
      </c>
      <c r="G181" s="3462" t="s">
        <v>3980</v>
      </c>
      <c r="H181" s="3465" t="s">
        <v>4397</v>
      </c>
      <c r="I181" s="3480"/>
      <c r="J181" s="3478">
        <f t="shared" si="12"/>
        <v>179</v>
      </c>
      <c r="K181" s="3479" t="str">
        <f t="shared" si="13"/>
        <v>平谷区兴谷街道寨笆路8号院6号楼-2层B242</v>
      </c>
      <c r="L181" s="3479">
        <f t="shared" si="10"/>
        <v>8.14</v>
      </c>
      <c r="M181" s="3476">
        <f ca="1">典型户型修正!R202</f>
        <v>2171</v>
      </c>
      <c r="N181" s="3477">
        <f t="shared" ca="1" si="11"/>
        <v>17672</v>
      </c>
    </row>
    <row r="182" spans="1:14" ht="17.55" customHeight="1">
      <c r="A182" s="3461">
        <v>180</v>
      </c>
      <c r="B182" s="3461" t="s">
        <v>3941</v>
      </c>
      <c r="C182" s="3462" t="s">
        <v>3981</v>
      </c>
      <c r="D182" s="3462" t="s">
        <v>3982</v>
      </c>
      <c r="E182" s="3462" t="s">
        <v>4262</v>
      </c>
      <c r="F182" s="3462" t="s">
        <v>3524</v>
      </c>
      <c r="G182" s="3462" t="s">
        <v>3983</v>
      </c>
      <c r="H182" s="3465" t="s">
        <v>4397</v>
      </c>
      <c r="I182" s="3480"/>
      <c r="J182" s="3478">
        <f t="shared" si="12"/>
        <v>180</v>
      </c>
      <c r="K182" s="3479" t="str">
        <f t="shared" si="13"/>
        <v>平谷区兴谷街道寨笆路8号院6号楼-2层B243</v>
      </c>
      <c r="L182" s="3479">
        <f t="shared" si="10"/>
        <v>8.02</v>
      </c>
      <c r="M182" s="3476">
        <f ca="1">典型户型修正!R203</f>
        <v>2171</v>
      </c>
      <c r="N182" s="3477">
        <f t="shared" ca="1" si="11"/>
        <v>17411</v>
      </c>
    </row>
    <row r="183" spans="1:14" ht="17.55" customHeight="1">
      <c r="A183" s="3461">
        <v>181</v>
      </c>
      <c r="B183" s="3461" t="s">
        <v>3941</v>
      </c>
      <c r="C183" s="3462" t="s">
        <v>3984</v>
      </c>
      <c r="D183" s="3462" t="s">
        <v>3985</v>
      </c>
      <c r="E183" s="3462" t="s">
        <v>4294</v>
      </c>
      <c r="F183" s="3462" t="s">
        <v>3524</v>
      </c>
      <c r="G183" s="3462" t="s">
        <v>3986</v>
      </c>
      <c r="H183" s="3465" t="s">
        <v>4392</v>
      </c>
      <c r="I183" s="3480"/>
      <c r="J183" s="3478">
        <f t="shared" si="12"/>
        <v>181</v>
      </c>
      <c r="K183" s="3479" t="str">
        <f t="shared" si="13"/>
        <v>平谷区兴谷街道寨笆路8号院6号楼-2层B244</v>
      </c>
      <c r="L183" s="3479">
        <f t="shared" si="10"/>
        <v>11.06</v>
      </c>
      <c r="M183" s="3476">
        <f ca="1">典型户型修正!R204</f>
        <v>2579</v>
      </c>
      <c r="N183" s="3477">
        <f t="shared" ca="1" si="11"/>
        <v>28524</v>
      </c>
    </row>
    <row r="184" spans="1:14" ht="17.55" customHeight="1">
      <c r="A184" s="3461">
        <v>182</v>
      </c>
      <c r="B184" s="3461" t="s">
        <v>3941</v>
      </c>
      <c r="C184" s="3462" t="s">
        <v>3987</v>
      </c>
      <c r="D184" s="3462" t="s">
        <v>3988</v>
      </c>
      <c r="E184" s="3462" t="s">
        <v>4281</v>
      </c>
      <c r="F184" s="3462" t="s">
        <v>3524</v>
      </c>
      <c r="G184" s="3462" t="s">
        <v>3989</v>
      </c>
      <c r="H184" s="3465" t="s">
        <v>4397</v>
      </c>
      <c r="I184" s="3480"/>
      <c r="J184" s="3478">
        <f t="shared" si="12"/>
        <v>182</v>
      </c>
      <c r="K184" s="3479" t="str">
        <f t="shared" si="13"/>
        <v>平谷区兴谷街道寨笆路8号院6号楼-2层B246</v>
      </c>
      <c r="L184" s="3479">
        <f t="shared" si="10"/>
        <v>8.8699999999999992</v>
      </c>
      <c r="M184" s="3476">
        <f ca="1">典型户型修正!R205</f>
        <v>2171</v>
      </c>
      <c r="N184" s="3477">
        <f t="shared" ca="1" si="11"/>
        <v>19257</v>
      </c>
    </row>
    <row r="185" spans="1:14" ht="17.55" customHeight="1">
      <c r="A185" s="3461">
        <v>183</v>
      </c>
      <c r="B185" s="3461" t="s">
        <v>3941</v>
      </c>
      <c r="C185" s="3462" t="s">
        <v>3990</v>
      </c>
      <c r="D185" s="3462" t="s">
        <v>3991</v>
      </c>
      <c r="E185" s="3462" t="s">
        <v>4281</v>
      </c>
      <c r="F185" s="3462" t="s">
        <v>3524</v>
      </c>
      <c r="G185" s="3462" t="s">
        <v>3992</v>
      </c>
      <c r="H185" s="3465" t="s">
        <v>4397</v>
      </c>
      <c r="I185" s="3480"/>
      <c r="J185" s="3478">
        <f t="shared" si="12"/>
        <v>183</v>
      </c>
      <c r="K185" s="3479" t="str">
        <f t="shared" si="13"/>
        <v>平谷区兴谷街道寨笆路8号院6号楼-2层B247</v>
      </c>
      <c r="L185" s="3479">
        <f t="shared" si="10"/>
        <v>8.8699999999999992</v>
      </c>
      <c r="M185" s="3476">
        <f ca="1">典型户型修正!R206</f>
        <v>2171</v>
      </c>
      <c r="N185" s="3477">
        <f t="shared" ca="1" si="11"/>
        <v>19257</v>
      </c>
    </row>
    <row r="186" spans="1:14" ht="17.55" customHeight="1">
      <c r="A186" s="3461">
        <v>184</v>
      </c>
      <c r="B186" s="3461" t="s">
        <v>3941</v>
      </c>
      <c r="C186" s="3462" t="s">
        <v>3993</v>
      </c>
      <c r="D186" s="3462" t="s">
        <v>3994</v>
      </c>
      <c r="E186" s="3462" t="s">
        <v>4281</v>
      </c>
      <c r="F186" s="3462" t="s">
        <v>3524</v>
      </c>
      <c r="G186" s="3462" t="s">
        <v>3995</v>
      </c>
      <c r="H186" s="3465" t="s">
        <v>4397</v>
      </c>
      <c r="I186" s="3480"/>
      <c r="J186" s="3478">
        <f t="shared" si="12"/>
        <v>184</v>
      </c>
      <c r="K186" s="3479" t="str">
        <f t="shared" si="13"/>
        <v>平谷区兴谷街道寨笆路8号院6号楼-2层B248</v>
      </c>
      <c r="L186" s="3479">
        <f t="shared" si="10"/>
        <v>8.8699999999999992</v>
      </c>
      <c r="M186" s="3476">
        <f ca="1">典型户型修正!R207</f>
        <v>2171</v>
      </c>
      <c r="N186" s="3477">
        <f t="shared" ca="1" si="11"/>
        <v>19257</v>
      </c>
    </row>
    <row r="187" spans="1:14" ht="17.55" customHeight="1">
      <c r="A187" s="3461">
        <v>185</v>
      </c>
      <c r="B187" s="3461" t="s">
        <v>3941</v>
      </c>
      <c r="C187" s="3462" t="s">
        <v>3996</v>
      </c>
      <c r="D187" s="3462" t="s">
        <v>3997</v>
      </c>
      <c r="E187" s="3462" t="s">
        <v>4282</v>
      </c>
      <c r="F187" s="3462" t="s">
        <v>3524</v>
      </c>
      <c r="G187" s="3462" t="s">
        <v>3998</v>
      </c>
      <c r="H187" s="3465" t="s">
        <v>4397</v>
      </c>
      <c r="I187" s="3480"/>
      <c r="J187" s="3478">
        <f t="shared" si="12"/>
        <v>185</v>
      </c>
      <c r="K187" s="3479" t="str">
        <f t="shared" si="13"/>
        <v>平谷区兴谷街道寨笆路8号院6号楼-2层B249</v>
      </c>
      <c r="L187" s="3479">
        <f t="shared" si="10"/>
        <v>9.18</v>
      </c>
      <c r="M187" s="3476">
        <f ca="1">典型户型修正!R208</f>
        <v>2171</v>
      </c>
      <c r="N187" s="3477">
        <f t="shared" ca="1" si="11"/>
        <v>19930</v>
      </c>
    </row>
    <row r="188" spans="1:14" ht="17.55" customHeight="1">
      <c r="A188" s="3461">
        <v>186</v>
      </c>
      <c r="B188" s="3461" t="s">
        <v>3941</v>
      </c>
      <c r="C188" s="3462" t="s">
        <v>3999</v>
      </c>
      <c r="D188" s="3462" t="s">
        <v>4000</v>
      </c>
      <c r="E188" s="3462" t="s">
        <v>4324</v>
      </c>
      <c r="F188" s="3462" t="s">
        <v>3524</v>
      </c>
      <c r="G188" s="3462" t="s">
        <v>4001</v>
      </c>
      <c r="H188" s="3465" t="s">
        <v>4397</v>
      </c>
      <c r="I188" s="3480"/>
      <c r="J188" s="3478">
        <f t="shared" si="12"/>
        <v>186</v>
      </c>
      <c r="K188" s="3479" t="str">
        <f t="shared" si="13"/>
        <v>平谷区兴谷街道寨笆路8号院6号楼-2层B250</v>
      </c>
      <c r="L188" s="3479">
        <f t="shared" si="10"/>
        <v>10.92</v>
      </c>
      <c r="M188" s="3476">
        <f ca="1">典型户型修正!R209</f>
        <v>2149</v>
      </c>
      <c r="N188" s="3477">
        <f t="shared" ca="1" si="11"/>
        <v>23467</v>
      </c>
    </row>
    <row r="189" spans="1:14" ht="17.55" customHeight="1">
      <c r="A189" s="3461">
        <v>187</v>
      </c>
      <c r="B189" s="3461" t="s">
        <v>4002</v>
      </c>
      <c r="C189" s="3462" t="s">
        <v>4003</v>
      </c>
      <c r="D189" s="3462" t="s">
        <v>4004</v>
      </c>
      <c r="E189" s="3462" t="s">
        <v>4278</v>
      </c>
      <c r="F189" s="3462" t="s">
        <v>3442</v>
      </c>
      <c r="G189" s="3462" t="s">
        <v>4005</v>
      </c>
      <c r="H189" s="3465" t="s">
        <v>4397</v>
      </c>
      <c r="I189" s="3480"/>
      <c r="J189" s="3478">
        <f t="shared" si="12"/>
        <v>187</v>
      </c>
      <c r="K189" s="3479" t="str">
        <f t="shared" si="13"/>
        <v>平谷区兴谷街道寨笆路8号院7号楼-1层B101</v>
      </c>
      <c r="L189" s="3479">
        <f t="shared" si="10"/>
        <v>8.94</v>
      </c>
      <c r="M189" s="3476">
        <f ca="1">典型户型修正!R210</f>
        <v>2412</v>
      </c>
      <c r="N189" s="3477">
        <f t="shared" ca="1" si="11"/>
        <v>21563</v>
      </c>
    </row>
    <row r="190" spans="1:14" ht="17.55" customHeight="1">
      <c r="A190" s="3461">
        <v>188</v>
      </c>
      <c r="B190" s="3461" t="s">
        <v>4002</v>
      </c>
      <c r="C190" s="3462" t="s">
        <v>4006</v>
      </c>
      <c r="D190" s="3462" t="s">
        <v>4007</v>
      </c>
      <c r="E190" s="3462" t="s">
        <v>4274</v>
      </c>
      <c r="F190" s="3462" t="s">
        <v>3442</v>
      </c>
      <c r="G190" s="3462" t="s">
        <v>4008</v>
      </c>
      <c r="H190" s="3465" t="s">
        <v>4392</v>
      </c>
      <c r="I190" s="3480"/>
      <c r="J190" s="3478">
        <f t="shared" si="12"/>
        <v>188</v>
      </c>
      <c r="K190" s="3479" t="str">
        <f t="shared" si="13"/>
        <v>平谷区兴谷街道寨笆路8号院7号楼-1层B102</v>
      </c>
      <c r="L190" s="3479">
        <f t="shared" si="10"/>
        <v>10.65</v>
      </c>
      <c r="M190" s="3476">
        <f ca="1">典型户型修正!R211</f>
        <v>2866</v>
      </c>
      <c r="N190" s="3477">
        <f t="shared" ca="1" si="11"/>
        <v>30523</v>
      </c>
    </row>
    <row r="191" spans="1:14" ht="17.55" customHeight="1">
      <c r="A191" s="3461">
        <v>189</v>
      </c>
      <c r="B191" s="3461" t="s">
        <v>4002</v>
      </c>
      <c r="C191" s="3462" t="s">
        <v>4009</v>
      </c>
      <c r="D191" s="3462" t="s">
        <v>4010</v>
      </c>
      <c r="E191" s="3462" t="s">
        <v>4265</v>
      </c>
      <c r="F191" s="3462" t="s">
        <v>3442</v>
      </c>
      <c r="G191" s="3462" t="s">
        <v>4011</v>
      </c>
      <c r="H191" s="3465" t="s">
        <v>4397</v>
      </c>
      <c r="I191" s="3480"/>
      <c r="J191" s="3478">
        <f t="shared" si="12"/>
        <v>189</v>
      </c>
      <c r="K191" s="3479" t="str">
        <f t="shared" si="13"/>
        <v>平谷区兴谷街道寨笆路8号院7号楼-1层B104</v>
      </c>
      <c r="L191" s="3479">
        <f t="shared" si="10"/>
        <v>7.6</v>
      </c>
      <c r="M191" s="3476">
        <f ca="1">典型户型修正!R212</f>
        <v>2412</v>
      </c>
      <c r="N191" s="3477">
        <f t="shared" ca="1" si="11"/>
        <v>18331</v>
      </c>
    </row>
    <row r="192" spans="1:14" ht="17.55" customHeight="1">
      <c r="A192" s="3461">
        <v>190</v>
      </c>
      <c r="B192" s="3461" t="s">
        <v>4002</v>
      </c>
      <c r="C192" s="3462" t="s">
        <v>4012</v>
      </c>
      <c r="D192" s="3462" t="s">
        <v>4013</v>
      </c>
      <c r="E192" s="3462" t="s">
        <v>4263</v>
      </c>
      <c r="F192" s="3462" t="s">
        <v>3442</v>
      </c>
      <c r="G192" s="3462" t="s">
        <v>4014</v>
      </c>
      <c r="H192" s="3465" t="s">
        <v>4397</v>
      </c>
      <c r="I192" s="3480"/>
      <c r="J192" s="3478">
        <f t="shared" si="12"/>
        <v>190</v>
      </c>
      <c r="K192" s="3479" t="str">
        <f t="shared" si="13"/>
        <v>平谷区兴谷街道寨笆路8号院7号楼-1层B105</v>
      </c>
      <c r="L192" s="3479">
        <f t="shared" si="10"/>
        <v>7.72</v>
      </c>
      <c r="M192" s="3476">
        <f ca="1">典型户型修正!R213</f>
        <v>2412</v>
      </c>
      <c r="N192" s="3477">
        <f t="shared" ca="1" si="11"/>
        <v>18621</v>
      </c>
    </row>
    <row r="193" spans="1:14" ht="17.55" customHeight="1">
      <c r="A193" s="3461">
        <v>191</v>
      </c>
      <c r="B193" s="3461" t="s">
        <v>4002</v>
      </c>
      <c r="C193" s="3462" t="s">
        <v>3850</v>
      </c>
      <c r="D193" s="3462" t="s">
        <v>4015</v>
      </c>
      <c r="E193" s="3462" t="s">
        <v>4264</v>
      </c>
      <c r="F193" s="3462" t="s">
        <v>3442</v>
      </c>
      <c r="G193" s="3462" t="s">
        <v>4016</v>
      </c>
      <c r="H193" s="3465" t="s">
        <v>4397</v>
      </c>
      <c r="I193" s="3480"/>
      <c r="J193" s="3478">
        <f t="shared" si="12"/>
        <v>191</v>
      </c>
      <c r="K193" s="3479" t="str">
        <f t="shared" si="13"/>
        <v>平谷区兴谷街道寨笆路8号院7号楼-1层B106</v>
      </c>
      <c r="L193" s="3479">
        <f t="shared" si="10"/>
        <v>7.72</v>
      </c>
      <c r="M193" s="3476">
        <f ca="1">典型户型修正!R214</f>
        <v>2412</v>
      </c>
      <c r="N193" s="3477">
        <f t="shared" ca="1" si="11"/>
        <v>18621</v>
      </c>
    </row>
    <row r="194" spans="1:14" ht="17.55" customHeight="1">
      <c r="A194" s="3461">
        <v>192</v>
      </c>
      <c r="B194" s="3461" t="s">
        <v>4002</v>
      </c>
      <c r="C194" s="3462" t="s">
        <v>3850</v>
      </c>
      <c r="D194" s="3462" t="s">
        <v>4017</v>
      </c>
      <c r="E194" s="3462" t="s">
        <v>4265</v>
      </c>
      <c r="F194" s="3462" t="s">
        <v>3442</v>
      </c>
      <c r="G194" s="3462" t="s">
        <v>4018</v>
      </c>
      <c r="H194" s="3465" t="s">
        <v>4397</v>
      </c>
      <c r="I194" s="3480"/>
      <c r="J194" s="3478">
        <f t="shared" si="12"/>
        <v>192</v>
      </c>
      <c r="K194" s="3479" t="str">
        <f t="shared" si="13"/>
        <v>平谷区兴谷街道寨笆路8号院7号楼-1层B107</v>
      </c>
      <c r="L194" s="3479">
        <f t="shared" si="10"/>
        <v>7.6</v>
      </c>
      <c r="M194" s="3476">
        <f ca="1">典型户型修正!R215</f>
        <v>2412</v>
      </c>
      <c r="N194" s="3477">
        <f t="shared" ca="1" si="11"/>
        <v>18331</v>
      </c>
    </row>
    <row r="195" spans="1:14" ht="17.55" customHeight="1">
      <c r="A195" s="3461">
        <v>193</v>
      </c>
      <c r="B195" s="3461" t="s">
        <v>4002</v>
      </c>
      <c r="C195" s="3462" t="s">
        <v>4019</v>
      </c>
      <c r="D195" s="3462" t="s">
        <v>4020</v>
      </c>
      <c r="E195" s="3462" t="s">
        <v>4266</v>
      </c>
      <c r="F195" s="3462" t="s">
        <v>3442</v>
      </c>
      <c r="G195" s="3462" t="s">
        <v>4021</v>
      </c>
      <c r="H195" s="3465" t="s">
        <v>4397</v>
      </c>
      <c r="I195" s="3480"/>
      <c r="J195" s="3478">
        <f t="shared" si="12"/>
        <v>193</v>
      </c>
      <c r="K195" s="3479" t="str">
        <f t="shared" si="13"/>
        <v>平谷区兴谷街道寨笆路8号院7号楼-1层B108</v>
      </c>
      <c r="L195" s="3479">
        <f t="shared" si="10"/>
        <v>4.3499999999999996</v>
      </c>
      <c r="M195" s="3476">
        <f ca="1">典型户型修正!R216</f>
        <v>2436</v>
      </c>
      <c r="N195" s="3477">
        <f t="shared" ca="1" si="11"/>
        <v>10597</v>
      </c>
    </row>
    <row r="196" spans="1:14" ht="17.55" customHeight="1">
      <c r="A196" s="3461">
        <v>194</v>
      </c>
      <c r="B196" s="3461" t="s">
        <v>4002</v>
      </c>
      <c r="C196" s="3462" t="s">
        <v>4022</v>
      </c>
      <c r="D196" s="3462" t="s">
        <v>4023</v>
      </c>
      <c r="E196" s="3462" t="s">
        <v>4275</v>
      </c>
      <c r="F196" s="3462" t="s">
        <v>3442</v>
      </c>
      <c r="G196" s="3462" t="s">
        <v>4024</v>
      </c>
      <c r="H196" s="3465" t="s">
        <v>4397</v>
      </c>
      <c r="I196" s="3480"/>
      <c r="J196" s="3478">
        <f t="shared" si="12"/>
        <v>194</v>
      </c>
      <c r="K196" s="3479" t="str">
        <f t="shared" si="13"/>
        <v>平谷区兴谷街道寨笆路8号院7号楼-1层B112</v>
      </c>
      <c r="L196" s="3479">
        <f t="shared" ref="L196:L259" si="14">E196*$P$3</f>
        <v>8.1999999999999993</v>
      </c>
      <c r="M196" s="3476">
        <f ca="1">典型户型修正!R217</f>
        <v>2412</v>
      </c>
      <c r="N196" s="3477">
        <f t="shared" ref="N196:N259" ca="1" si="15">ROUND(E196*M196,0)</f>
        <v>19778</v>
      </c>
    </row>
    <row r="197" spans="1:14" ht="17.55" customHeight="1">
      <c r="A197" s="3461">
        <v>195</v>
      </c>
      <c r="B197" s="3461" t="s">
        <v>4002</v>
      </c>
      <c r="C197" s="3462" t="s">
        <v>4025</v>
      </c>
      <c r="D197" s="3462" t="s">
        <v>4026</v>
      </c>
      <c r="E197" s="3462" t="s">
        <v>4276</v>
      </c>
      <c r="F197" s="3462" t="s">
        <v>3442</v>
      </c>
      <c r="G197" s="3462" t="s">
        <v>4027</v>
      </c>
      <c r="H197" s="3465" t="s">
        <v>4397</v>
      </c>
      <c r="I197" s="3480"/>
      <c r="J197" s="3478">
        <f t="shared" si="12"/>
        <v>195</v>
      </c>
      <c r="K197" s="3479" t="str">
        <f t="shared" si="13"/>
        <v>平谷区兴谷街道寨笆路8号院7号楼-1层B113</v>
      </c>
      <c r="L197" s="3479">
        <f t="shared" si="14"/>
        <v>7.58</v>
      </c>
      <c r="M197" s="3476">
        <f ca="1">典型户型修正!R218</f>
        <v>2412</v>
      </c>
      <c r="N197" s="3477">
        <f t="shared" ca="1" si="15"/>
        <v>18283</v>
      </c>
    </row>
    <row r="198" spans="1:14" ht="17.55" customHeight="1">
      <c r="A198" s="3461">
        <v>196</v>
      </c>
      <c r="B198" s="3461" t="s">
        <v>4002</v>
      </c>
      <c r="C198" s="3462" t="s">
        <v>4028</v>
      </c>
      <c r="D198" s="3462" t="s">
        <v>4029</v>
      </c>
      <c r="E198" s="3462" t="s">
        <v>4277</v>
      </c>
      <c r="F198" s="3462" t="s">
        <v>3524</v>
      </c>
      <c r="G198" s="3462" t="s">
        <v>4030</v>
      </c>
      <c r="H198" s="3465" t="s">
        <v>4397</v>
      </c>
      <c r="I198" s="3480"/>
      <c r="J198" s="3478">
        <f t="shared" si="12"/>
        <v>196</v>
      </c>
      <c r="K198" s="3479" t="str">
        <f t="shared" si="13"/>
        <v>平谷区兴谷街道寨笆路8号院7号楼-2层B201</v>
      </c>
      <c r="L198" s="3479">
        <f t="shared" si="14"/>
        <v>11.03</v>
      </c>
      <c r="M198" s="3476">
        <f ca="1">典型户型修正!R219</f>
        <v>2149</v>
      </c>
      <c r="N198" s="3477">
        <f t="shared" ca="1" si="15"/>
        <v>23703</v>
      </c>
    </row>
    <row r="199" spans="1:14" ht="17.55" customHeight="1">
      <c r="A199" s="3461">
        <v>197</v>
      </c>
      <c r="B199" s="3461" t="s">
        <v>4002</v>
      </c>
      <c r="C199" s="3462" t="s">
        <v>4031</v>
      </c>
      <c r="D199" s="3462" t="s">
        <v>4032</v>
      </c>
      <c r="E199" s="3462" t="s">
        <v>4278</v>
      </c>
      <c r="F199" s="3462" t="s">
        <v>3524</v>
      </c>
      <c r="G199" s="3462" t="s">
        <v>4033</v>
      </c>
      <c r="H199" s="3465" t="s">
        <v>4397</v>
      </c>
      <c r="I199" s="3480"/>
      <c r="J199" s="3478">
        <f t="shared" si="12"/>
        <v>197</v>
      </c>
      <c r="K199" s="3479" t="str">
        <f t="shared" si="13"/>
        <v>平谷区兴谷街道寨笆路8号院7号楼-2层B202</v>
      </c>
      <c r="L199" s="3479">
        <f t="shared" si="14"/>
        <v>8.94</v>
      </c>
      <c r="M199" s="3476">
        <f ca="1">典型户型修正!R220</f>
        <v>2171</v>
      </c>
      <c r="N199" s="3477">
        <f t="shared" ca="1" si="15"/>
        <v>19409</v>
      </c>
    </row>
    <row r="200" spans="1:14" ht="17.55" customHeight="1">
      <c r="A200" s="3461">
        <v>198</v>
      </c>
      <c r="B200" s="3461" t="s">
        <v>4002</v>
      </c>
      <c r="C200" s="3462" t="s">
        <v>4034</v>
      </c>
      <c r="D200" s="3462" t="s">
        <v>4035</v>
      </c>
      <c r="E200" s="3462" t="s">
        <v>4268</v>
      </c>
      <c r="F200" s="3462" t="s">
        <v>3524</v>
      </c>
      <c r="G200" s="3462" t="s">
        <v>4036</v>
      </c>
      <c r="H200" s="3465" t="s">
        <v>4391</v>
      </c>
      <c r="I200" s="3480"/>
      <c r="J200" s="3478">
        <f t="shared" si="12"/>
        <v>198</v>
      </c>
      <c r="K200" s="3479" t="str">
        <f t="shared" si="13"/>
        <v>平谷区兴谷街道寨笆路8号院7号楼-2层B203</v>
      </c>
      <c r="L200" s="3479">
        <f t="shared" si="14"/>
        <v>10.65</v>
      </c>
      <c r="M200" s="3476">
        <f ca="1">典型户型修正!R221</f>
        <v>2579</v>
      </c>
      <c r="N200" s="3477">
        <f t="shared" ca="1" si="15"/>
        <v>27466</v>
      </c>
    </row>
    <row r="201" spans="1:14" ht="17.55" customHeight="1">
      <c r="A201" s="3461">
        <v>199</v>
      </c>
      <c r="B201" s="3461" t="s">
        <v>4002</v>
      </c>
      <c r="C201" s="3462" t="s">
        <v>4037</v>
      </c>
      <c r="D201" s="3462" t="s">
        <v>4038</v>
      </c>
      <c r="E201" s="3462" t="s">
        <v>4279</v>
      </c>
      <c r="F201" s="3462" t="s">
        <v>3524</v>
      </c>
      <c r="G201" s="3462" t="s">
        <v>4039</v>
      </c>
      <c r="H201" s="3465" t="s">
        <v>4397</v>
      </c>
      <c r="I201" s="3480"/>
      <c r="J201" s="3478">
        <f t="shared" si="12"/>
        <v>199</v>
      </c>
      <c r="K201" s="3479" t="str">
        <f t="shared" si="13"/>
        <v>平谷区兴谷街道寨笆路8号院7号楼-2层B204</v>
      </c>
      <c r="L201" s="3479">
        <f t="shared" si="14"/>
        <v>9.07</v>
      </c>
      <c r="M201" s="3476">
        <f ca="1">典型户型修正!R222</f>
        <v>2171</v>
      </c>
      <c r="N201" s="3477">
        <f t="shared" ca="1" si="15"/>
        <v>19691</v>
      </c>
    </row>
    <row r="202" spans="1:14" ht="17.55" customHeight="1">
      <c r="A202" s="3461">
        <v>200</v>
      </c>
      <c r="B202" s="3461" t="s">
        <v>4002</v>
      </c>
      <c r="C202" s="3462" t="s">
        <v>4040</v>
      </c>
      <c r="D202" s="3462" t="s">
        <v>4041</v>
      </c>
      <c r="E202" s="3462" t="s">
        <v>4279</v>
      </c>
      <c r="F202" s="3462" t="s">
        <v>3524</v>
      </c>
      <c r="G202" s="3462" t="s">
        <v>4042</v>
      </c>
      <c r="H202" s="3465" t="s">
        <v>4397</v>
      </c>
      <c r="I202" s="3480"/>
      <c r="J202" s="3478">
        <f t="shared" si="12"/>
        <v>200</v>
      </c>
      <c r="K202" s="3479" t="str">
        <f t="shared" si="13"/>
        <v>平谷区兴谷街道寨笆路8号院7号楼-2层B205</v>
      </c>
      <c r="L202" s="3479">
        <f t="shared" si="14"/>
        <v>9.07</v>
      </c>
      <c r="M202" s="3476">
        <f ca="1">典型户型修正!R223</f>
        <v>2171</v>
      </c>
      <c r="N202" s="3477">
        <f t="shared" ca="1" si="15"/>
        <v>19691</v>
      </c>
    </row>
    <row r="203" spans="1:14" ht="17.55" customHeight="1">
      <c r="A203" s="3461">
        <v>201</v>
      </c>
      <c r="B203" s="3461" t="s">
        <v>4002</v>
      </c>
      <c r="C203" s="3462" t="s">
        <v>4043</v>
      </c>
      <c r="D203" s="3462" t="s">
        <v>4044</v>
      </c>
      <c r="E203" s="3462" t="s">
        <v>4279</v>
      </c>
      <c r="F203" s="3462" t="s">
        <v>3524</v>
      </c>
      <c r="G203" s="3462" t="s">
        <v>4045</v>
      </c>
      <c r="H203" s="3465" t="s">
        <v>4397</v>
      </c>
      <c r="I203" s="3480"/>
      <c r="J203" s="3478">
        <f t="shared" si="12"/>
        <v>201</v>
      </c>
      <c r="K203" s="3479" t="str">
        <f t="shared" si="13"/>
        <v>平谷区兴谷街道寨笆路8号院7号楼-2层B206</v>
      </c>
      <c r="L203" s="3479">
        <f t="shared" si="14"/>
        <v>9.07</v>
      </c>
      <c r="M203" s="3476">
        <f ca="1">典型户型修正!R224</f>
        <v>2171</v>
      </c>
      <c r="N203" s="3477">
        <f t="shared" ca="1" si="15"/>
        <v>19691</v>
      </c>
    </row>
    <row r="204" spans="1:14" ht="17.55" customHeight="1">
      <c r="A204" s="3461">
        <v>202</v>
      </c>
      <c r="B204" s="3461" t="s">
        <v>4002</v>
      </c>
      <c r="C204" s="3462" t="s">
        <v>4046</v>
      </c>
      <c r="D204" s="3462" t="s">
        <v>4047</v>
      </c>
      <c r="E204" s="3462" t="s">
        <v>4265</v>
      </c>
      <c r="F204" s="3462" t="s">
        <v>3524</v>
      </c>
      <c r="G204" s="3462" t="s">
        <v>4048</v>
      </c>
      <c r="H204" s="3465" t="s">
        <v>4397</v>
      </c>
      <c r="I204" s="3480"/>
      <c r="J204" s="3478">
        <f t="shared" si="12"/>
        <v>202</v>
      </c>
      <c r="K204" s="3479" t="str">
        <f t="shared" si="13"/>
        <v>平谷区兴谷街道寨笆路8号院7号楼-2层B207</v>
      </c>
      <c r="L204" s="3479">
        <f t="shared" si="14"/>
        <v>7.6</v>
      </c>
      <c r="M204" s="3476">
        <f ca="1">典型户型修正!R225</f>
        <v>2171</v>
      </c>
      <c r="N204" s="3477">
        <f t="shared" ca="1" si="15"/>
        <v>16500</v>
      </c>
    </row>
    <row r="205" spans="1:14" ht="17.55" customHeight="1">
      <c r="A205" s="3461">
        <v>203</v>
      </c>
      <c r="B205" s="3461" t="s">
        <v>4002</v>
      </c>
      <c r="C205" s="3462" t="s">
        <v>4049</v>
      </c>
      <c r="D205" s="3462" t="s">
        <v>4050</v>
      </c>
      <c r="E205" s="3462" t="s">
        <v>4264</v>
      </c>
      <c r="F205" s="3462" t="s">
        <v>3524</v>
      </c>
      <c r="G205" s="3462" t="s">
        <v>4051</v>
      </c>
      <c r="H205" s="3465" t="s">
        <v>4397</v>
      </c>
      <c r="I205" s="3480"/>
      <c r="J205" s="3478">
        <f t="shared" si="12"/>
        <v>203</v>
      </c>
      <c r="K205" s="3479" t="str">
        <f t="shared" si="13"/>
        <v>平谷区兴谷街道寨笆路8号院7号楼-2层B208</v>
      </c>
      <c r="L205" s="3479">
        <f t="shared" si="14"/>
        <v>7.72</v>
      </c>
      <c r="M205" s="3476">
        <f ca="1">典型户型修正!R226</f>
        <v>2171</v>
      </c>
      <c r="N205" s="3477">
        <f t="shared" ca="1" si="15"/>
        <v>16760</v>
      </c>
    </row>
    <row r="206" spans="1:14" ht="17.55" customHeight="1">
      <c r="A206" s="3461">
        <v>204</v>
      </c>
      <c r="B206" s="3461" t="s">
        <v>4002</v>
      </c>
      <c r="C206" s="3462" t="s">
        <v>4052</v>
      </c>
      <c r="D206" s="3462" t="s">
        <v>4053</v>
      </c>
      <c r="E206" s="3462" t="s">
        <v>4325</v>
      </c>
      <c r="F206" s="3462" t="s">
        <v>3524</v>
      </c>
      <c r="G206" s="3462" t="s">
        <v>4054</v>
      </c>
      <c r="H206" s="3465" t="s">
        <v>4397</v>
      </c>
      <c r="I206" s="3480"/>
      <c r="J206" s="3478">
        <f t="shared" si="12"/>
        <v>204</v>
      </c>
      <c r="K206" s="3479" t="str">
        <f t="shared" si="13"/>
        <v>平谷区兴谷街道寨笆路8号院7号楼-2层B209</v>
      </c>
      <c r="L206" s="3479">
        <f t="shared" si="14"/>
        <v>10.49</v>
      </c>
      <c r="M206" s="3476">
        <f ca="1">典型户型修正!R227</f>
        <v>2149</v>
      </c>
      <c r="N206" s="3477">
        <f t="shared" ca="1" si="15"/>
        <v>22543</v>
      </c>
    </row>
    <row r="207" spans="1:14" ht="17.55" customHeight="1">
      <c r="A207" s="3461">
        <v>205</v>
      </c>
      <c r="B207" s="3461" t="s">
        <v>4002</v>
      </c>
      <c r="C207" s="3462" t="s">
        <v>4055</v>
      </c>
      <c r="D207" s="3462" t="s">
        <v>4056</v>
      </c>
      <c r="E207" s="3462" t="s">
        <v>4325</v>
      </c>
      <c r="F207" s="3462" t="s">
        <v>3524</v>
      </c>
      <c r="G207" s="3462" t="s">
        <v>4057</v>
      </c>
      <c r="H207" s="3465" t="s">
        <v>4397</v>
      </c>
      <c r="I207" s="3480"/>
      <c r="J207" s="3478">
        <f t="shared" si="12"/>
        <v>205</v>
      </c>
      <c r="K207" s="3479" t="str">
        <f t="shared" si="13"/>
        <v>平谷区兴谷街道寨笆路8号院7号楼-2层B210</v>
      </c>
      <c r="L207" s="3479">
        <f t="shared" si="14"/>
        <v>10.49</v>
      </c>
      <c r="M207" s="3476">
        <f ca="1">典型户型修正!R228</f>
        <v>2149</v>
      </c>
      <c r="N207" s="3477">
        <f t="shared" ca="1" si="15"/>
        <v>22543</v>
      </c>
    </row>
    <row r="208" spans="1:14" ht="17.55" customHeight="1">
      <c r="A208" s="3461">
        <v>206</v>
      </c>
      <c r="B208" s="3461" t="s">
        <v>4002</v>
      </c>
      <c r="C208" s="3462" t="s">
        <v>4058</v>
      </c>
      <c r="D208" s="3462" t="s">
        <v>4059</v>
      </c>
      <c r="E208" s="3462" t="s">
        <v>4325</v>
      </c>
      <c r="F208" s="3462" t="s">
        <v>3524</v>
      </c>
      <c r="G208" s="3462" t="s">
        <v>4060</v>
      </c>
      <c r="H208" s="3465" t="s">
        <v>4397</v>
      </c>
      <c r="I208" s="3480"/>
      <c r="J208" s="3478">
        <f t="shared" si="12"/>
        <v>206</v>
      </c>
      <c r="K208" s="3479" t="str">
        <f t="shared" si="13"/>
        <v>平谷区兴谷街道寨笆路8号院7号楼-2层B212</v>
      </c>
      <c r="L208" s="3479">
        <f t="shared" si="14"/>
        <v>10.49</v>
      </c>
      <c r="M208" s="3476">
        <f ca="1">典型户型修正!R229</f>
        <v>2149</v>
      </c>
      <c r="N208" s="3477">
        <f t="shared" ca="1" si="15"/>
        <v>22543</v>
      </c>
    </row>
    <row r="209" spans="1:14" ht="17.55" customHeight="1">
      <c r="A209" s="3461">
        <v>207</v>
      </c>
      <c r="B209" s="3461" t="s">
        <v>4002</v>
      </c>
      <c r="C209" s="3462" t="s">
        <v>4061</v>
      </c>
      <c r="D209" s="3462" t="s">
        <v>4062</v>
      </c>
      <c r="E209" s="3462" t="s">
        <v>4264</v>
      </c>
      <c r="F209" s="3462" t="s">
        <v>3524</v>
      </c>
      <c r="G209" s="3462" t="s">
        <v>4063</v>
      </c>
      <c r="H209" s="3465" t="s">
        <v>4397</v>
      </c>
      <c r="I209" s="3480"/>
      <c r="J209" s="3478">
        <f t="shared" si="12"/>
        <v>207</v>
      </c>
      <c r="K209" s="3479" t="str">
        <f t="shared" si="13"/>
        <v>平谷区兴谷街道寨笆路8号院7号楼-2层B213</v>
      </c>
      <c r="L209" s="3479">
        <f t="shared" si="14"/>
        <v>7.72</v>
      </c>
      <c r="M209" s="3476">
        <f ca="1">典型户型修正!R230</f>
        <v>2171</v>
      </c>
      <c r="N209" s="3477">
        <f t="shared" ca="1" si="15"/>
        <v>16760</v>
      </c>
    </row>
    <row r="210" spans="1:14" ht="17.55" customHeight="1">
      <c r="A210" s="3461">
        <v>208</v>
      </c>
      <c r="B210" s="3461" t="s">
        <v>4002</v>
      </c>
      <c r="C210" s="3462" t="s">
        <v>4064</v>
      </c>
      <c r="D210" s="3462" t="s">
        <v>4065</v>
      </c>
      <c r="E210" s="3462" t="s">
        <v>4331</v>
      </c>
      <c r="F210" s="3462" t="s">
        <v>3524</v>
      </c>
      <c r="G210" s="3462" t="s">
        <v>4066</v>
      </c>
      <c r="H210" s="3465" t="s">
        <v>4397</v>
      </c>
      <c r="I210" s="3480"/>
      <c r="J210" s="3478">
        <f t="shared" ref="J210:J265" si="16">A210</f>
        <v>208</v>
      </c>
      <c r="K210" s="3479" t="str">
        <f t="shared" ref="K210:K265" si="17">G210</f>
        <v>平谷区兴谷街道寨笆路8号院7号楼-2层B214</v>
      </c>
      <c r="L210" s="3479">
        <f t="shared" si="14"/>
        <v>7.6</v>
      </c>
      <c r="M210" s="3476">
        <f ca="1">典型户型修正!R231</f>
        <v>2171</v>
      </c>
      <c r="N210" s="3477">
        <f t="shared" ca="1" si="15"/>
        <v>16500</v>
      </c>
    </row>
    <row r="211" spans="1:14" ht="17.55" customHeight="1">
      <c r="A211" s="3461">
        <v>209</v>
      </c>
      <c r="B211" s="3461" t="s">
        <v>4002</v>
      </c>
      <c r="C211" s="3462" t="s">
        <v>4067</v>
      </c>
      <c r="D211" s="3462" t="s">
        <v>4068</v>
      </c>
      <c r="E211" s="3462" t="s">
        <v>4271</v>
      </c>
      <c r="F211" s="3462" t="s">
        <v>3524</v>
      </c>
      <c r="G211" s="3462" t="s">
        <v>4069</v>
      </c>
      <c r="H211" s="3465" t="s">
        <v>4397</v>
      </c>
      <c r="I211" s="3480"/>
      <c r="J211" s="3478">
        <f t="shared" si="16"/>
        <v>209</v>
      </c>
      <c r="K211" s="3479" t="str">
        <f t="shared" si="17"/>
        <v>平谷区兴谷街道寨笆路8号院7号楼-2层B216</v>
      </c>
      <c r="L211" s="3479">
        <f t="shared" si="14"/>
        <v>8.1999999999999993</v>
      </c>
      <c r="M211" s="3476">
        <f ca="1">典型户型修正!R232</f>
        <v>2171</v>
      </c>
      <c r="N211" s="3477">
        <f t="shared" ca="1" si="15"/>
        <v>17802</v>
      </c>
    </row>
    <row r="212" spans="1:14" ht="17.55" customHeight="1">
      <c r="A212" s="3461">
        <v>210</v>
      </c>
      <c r="B212" s="3461" t="s">
        <v>4002</v>
      </c>
      <c r="C212" s="3462" t="s">
        <v>4070</v>
      </c>
      <c r="D212" s="3462" t="s">
        <v>4071</v>
      </c>
      <c r="E212" s="3462" t="s">
        <v>4271</v>
      </c>
      <c r="F212" s="3462" t="s">
        <v>3524</v>
      </c>
      <c r="G212" s="3462" t="s">
        <v>4072</v>
      </c>
      <c r="H212" s="3465" t="s">
        <v>4397</v>
      </c>
      <c r="I212" s="3480"/>
      <c r="J212" s="3478">
        <f t="shared" si="16"/>
        <v>210</v>
      </c>
      <c r="K212" s="3479" t="str">
        <f t="shared" si="17"/>
        <v>平谷区兴谷街道寨笆路8号院7号楼-2层B217</v>
      </c>
      <c r="L212" s="3479">
        <f t="shared" si="14"/>
        <v>8.1999999999999993</v>
      </c>
      <c r="M212" s="3476">
        <f ca="1">典型户型修正!R233</f>
        <v>2171</v>
      </c>
      <c r="N212" s="3477">
        <f t="shared" ca="1" si="15"/>
        <v>17802</v>
      </c>
    </row>
    <row r="213" spans="1:14" ht="17.55" customHeight="1">
      <c r="A213" s="3461">
        <v>211</v>
      </c>
      <c r="B213" s="3461" t="s">
        <v>4002</v>
      </c>
      <c r="C213" s="3462" t="s">
        <v>4073</v>
      </c>
      <c r="D213" s="3462" t="s">
        <v>4074</v>
      </c>
      <c r="E213" s="3462" t="s">
        <v>4280</v>
      </c>
      <c r="F213" s="3462" t="s">
        <v>3524</v>
      </c>
      <c r="G213" s="3462" t="s">
        <v>4075</v>
      </c>
      <c r="H213" s="3465" t="s">
        <v>4391</v>
      </c>
      <c r="I213" s="3480"/>
      <c r="J213" s="3478">
        <f t="shared" si="16"/>
        <v>211</v>
      </c>
      <c r="K213" s="3479" t="str">
        <f t="shared" si="17"/>
        <v>平谷区兴谷街道寨笆路8号院7号楼-2层B218</v>
      </c>
      <c r="L213" s="3479">
        <f t="shared" si="14"/>
        <v>7.74</v>
      </c>
      <c r="M213" s="3476">
        <f ca="1">典型户型修正!R234</f>
        <v>2605</v>
      </c>
      <c r="N213" s="3477">
        <f t="shared" ca="1" si="15"/>
        <v>20163</v>
      </c>
    </row>
    <row r="214" spans="1:14" ht="17.55" customHeight="1">
      <c r="A214" s="3461">
        <v>212</v>
      </c>
      <c r="B214" s="3461" t="s">
        <v>4002</v>
      </c>
      <c r="C214" s="3462" t="s">
        <v>4076</v>
      </c>
      <c r="D214" s="3462" t="s">
        <v>4077</v>
      </c>
      <c r="E214" s="3462" t="s">
        <v>4276</v>
      </c>
      <c r="F214" s="3462" t="s">
        <v>3524</v>
      </c>
      <c r="G214" s="3462" t="s">
        <v>4078</v>
      </c>
      <c r="H214" s="3465" t="s">
        <v>4397</v>
      </c>
      <c r="I214" s="3480"/>
      <c r="J214" s="3478">
        <f t="shared" si="16"/>
        <v>212</v>
      </c>
      <c r="K214" s="3479" t="str">
        <f t="shared" si="17"/>
        <v>平谷区兴谷街道寨笆路8号院7号楼-2层B220</v>
      </c>
      <c r="L214" s="3479">
        <f t="shared" si="14"/>
        <v>7.58</v>
      </c>
      <c r="M214" s="3476">
        <f ca="1">典型户型修正!R235</f>
        <v>2171</v>
      </c>
      <c r="N214" s="3477">
        <f t="shared" ca="1" si="15"/>
        <v>16456</v>
      </c>
    </row>
    <row r="215" spans="1:14" ht="17.55" customHeight="1">
      <c r="A215" s="3461">
        <v>213</v>
      </c>
      <c r="B215" s="3461" t="s">
        <v>4002</v>
      </c>
      <c r="C215" s="3462" t="s">
        <v>4079</v>
      </c>
      <c r="D215" s="3462" t="s">
        <v>4080</v>
      </c>
      <c r="E215" s="3462" t="s">
        <v>4362</v>
      </c>
      <c r="F215" s="3462" t="s">
        <v>3524</v>
      </c>
      <c r="G215" s="3462" t="s">
        <v>4081</v>
      </c>
      <c r="H215" s="3465" t="s">
        <v>4397</v>
      </c>
      <c r="I215" s="3480"/>
      <c r="J215" s="3478">
        <f t="shared" si="16"/>
        <v>213</v>
      </c>
      <c r="K215" s="3479" t="str">
        <f t="shared" si="17"/>
        <v>平谷区兴谷街道寨笆路8号院7号楼-2层B221</v>
      </c>
      <c r="L215" s="3479">
        <f t="shared" si="14"/>
        <v>7.38</v>
      </c>
      <c r="M215" s="3476">
        <f ca="1">典型户型修正!R236</f>
        <v>2171</v>
      </c>
      <c r="N215" s="3477">
        <f t="shared" ca="1" si="15"/>
        <v>16022</v>
      </c>
    </row>
    <row r="216" spans="1:14" ht="17.55" customHeight="1">
      <c r="A216" s="3461">
        <v>214</v>
      </c>
      <c r="B216" s="3461" t="s">
        <v>4082</v>
      </c>
      <c r="C216" s="3462" t="s">
        <v>4083</v>
      </c>
      <c r="D216" s="3462" t="s">
        <v>4084</v>
      </c>
      <c r="E216" s="3462" t="s">
        <v>4299</v>
      </c>
      <c r="F216" s="3462" t="s">
        <v>3442</v>
      </c>
      <c r="G216" s="3462" t="s">
        <v>4085</v>
      </c>
      <c r="H216" s="3465" t="s">
        <v>4397</v>
      </c>
      <c r="I216" s="3480"/>
      <c r="J216" s="3478">
        <f t="shared" si="16"/>
        <v>214</v>
      </c>
      <c r="K216" s="3479" t="str">
        <f t="shared" si="17"/>
        <v>平谷区兴谷街道寨笆路8号院8号楼-1层B101</v>
      </c>
      <c r="L216" s="3479">
        <f t="shared" si="14"/>
        <v>11.23</v>
      </c>
      <c r="M216" s="3476">
        <f ca="1">典型户型修正!R237</f>
        <v>2388</v>
      </c>
      <c r="N216" s="3477">
        <f t="shared" ca="1" si="15"/>
        <v>26817</v>
      </c>
    </row>
    <row r="217" spans="1:14" ht="17.55" customHeight="1">
      <c r="A217" s="3461">
        <v>215</v>
      </c>
      <c r="B217" s="3461" t="s">
        <v>4082</v>
      </c>
      <c r="C217" s="3462" t="s">
        <v>4086</v>
      </c>
      <c r="D217" s="3462" t="s">
        <v>4087</v>
      </c>
      <c r="E217" s="3462" t="s">
        <v>4300</v>
      </c>
      <c r="F217" s="3462" t="s">
        <v>3442</v>
      </c>
      <c r="G217" s="3462" t="s">
        <v>4088</v>
      </c>
      <c r="H217" s="3465" t="s">
        <v>4397</v>
      </c>
      <c r="I217" s="3480"/>
      <c r="J217" s="3478">
        <f t="shared" si="16"/>
        <v>215</v>
      </c>
      <c r="K217" s="3479" t="str">
        <f t="shared" si="17"/>
        <v>平谷区兴谷街道寨笆路8号院8号楼-1层B102</v>
      </c>
      <c r="L217" s="3479">
        <f t="shared" si="14"/>
        <v>7.95</v>
      </c>
      <c r="M217" s="3476">
        <f ca="1">典型户型修正!R238</f>
        <v>2412</v>
      </c>
      <c r="N217" s="3477">
        <f t="shared" ca="1" si="15"/>
        <v>19175</v>
      </c>
    </row>
    <row r="218" spans="1:14" ht="17.55" customHeight="1">
      <c r="A218" s="3461">
        <v>216</v>
      </c>
      <c r="B218" s="3461" t="s">
        <v>4082</v>
      </c>
      <c r="C218" s="3462" t="s">
        <v>4089</v>
      </c>
      <c r="D218" s="3462" t="s">
        <v>4090</v>
      </c>
      <c r="E218" s="3462" t="s">
        <v>4301</v>
      </c>
      <c r="F218" s="3462" t="s">
        <v>3442</v>
      </c>
      <c r="G218" s="3462" t="s">
        <v>4091</v>
      </c>
      <c r="H218" s="3465" t="s">
        <v>4391</v>
      </c>
      <c r="I218" s="3480"/>
      <c r="J218" s="3478">
        <f t="shared" si="16"/>
        <v>216</v>
      </c>
      <c r="K218" s="3479" t="str">
        <f t="shared" si="17"/>
        <v>平谷区兴谷街道寨笆路8号院8号楼-1层B103</v>
      </c>
      <c r="L218" s="3479">
        <f t="shared" si="14"/>
        <v>12.19</v>
      </c>
      <c r="M218" s="3476">
        <f ca="1">典型户型修正!R239</f>
        <v>2866</v>
      </c>
      <c r="N218" s="3477">
        <f t="shared" ca="1" si="15"/>
        <v>34937</v>
      </c>
    </row>
    <row r="219" spans="1:14" ht="17.55" customHeight="1">
      <c r="A219" s="3461">
        <v>217</v>
      </c>
      <c r="B219" s="3461" t="s">
        <v>4082</v>
      </c>
      <c r="C219" s="3462" t="s">
        <v>4092</v>
      </c>
      <c r="D219" s="3462" t="s">
        <v>4093</v>
      </c>
      <c r="E219" s="3462" t="s">
        <v>4305</v>
      </c>
      <c r="F219" s="3462" t="s">
        <v>3442</v>
      </c>
      <c r="G219" s="3462" t="s">
        <v>4094</v>
      </c>
      <c r="H219" s="3465" t="s">
        <v>4397</v>
      </c>
      <c r="I219" s="3480"/>
      <c r="J219" s="3478">
        <f t="shared" si="16"/>
        <v>217</v>
      </c>
      <c r="K219" s="3479" t="str">
        <f t="shared" si="17"/>
        <v>平谷区兴谷街道寨笆路8号院8号楼-1层B106</v>
      </c>
      <c r="L219" s="3479">
        <f t="shared" si="14"/>
        <v>8.3800000000000008</v>
      </c>
      <c r="M219" s="3476">
        <f ca="1">典型户型修正!R240</f>
        <v>2412</v>
      </c>
      <c r="N219" s="3477">
        <f t="shared" ca="1" si="15"/>
        <v>20213</v>
      </c>
    </row>
    <row r="220" spans="1:14" ht="17.55" customHeight="1">
      <c r="A220" s="3461">
        <v>218</v>
      </c>
      <c r="B220" s="3461" t="s">
        <v>4082</v>
      </c>
      <c r="C220" s="3462" t="s">
        <v>4095</v>
      </c>
      <c r="D220" s="3462" t="s">
        <v>4096</v>
      </c>
      <c r="E220" s="3462" t="s">
        <v>4305</v>
      </c>
      <c r="F220" s="3462" t="s">
        <v>3442</v>
      </c>
      <c r="G220" s="3462" t="s">
        <v>4097</v>
      </c>
      <c r="H220" s="3465" t="s">
        <v>4397</v>
      </c>
      <c r="I220" s="3480"/>
      <c r="J220" s="3478">
        <f t="shared" si="16"/>
        <v>218</v>
      </c>
      <c r="K220" s="3479" t="str">
        <f t="shared" si="17"/>
        <v>平谷区兴谷街道寨笆路8号院8号楼-1层B107</v>
      </c>
      <c r="L220" s="3479">
        <f t="shared" si="14"/>
        <v>8.3800000000000008</v>
      </c>
      <c r="M220" s="3476">
        <f ca="1">典型户型修正!R241</f>
        <v>2412</v>
      </c>
      <c r="N220" s="3477">
        <f t="shared" ca="1" si="15"/>
        <v>20213</v>
      </c>
    </row>
    <row r="221" spans="1:14" ht="17.55" customHeight="1">
      <c r="A221" s="3461">
        <v>219</v>
      </c>
      <c r="B221" s="3461" t="s">
        <v>4082</v>
      </c>
      <c r="C221" s="3462" t="s">
        <v>4098</v>
      </c>
      <c r="D221" s="3462" t="s">
        <v>4099</v>
      </c>
      <c r="E221" s="3462" t="s">
        <v>4337</v>
      </c>
      <c r="F221" s="3462" t="s">
        <v>3442</v>
      </c>
      <c r="G221" s="3462" t="s">
        <v>4100</v>
      </c>
      <c r="H221" s="3465" t="s">
        <v>4397</v>
      </c>
      <c r="I221" s="3480"/>
      <c r="J221" s="3478">
        <f t="shared" si="16"/>
        <v>219</v>
      </c>
      <c r="K221" s="3479" t="str">
        <f t="shared" si="17"/>
        <v>平谷区兴谷街道寨笆路8号院8号楼-1层B112</v>
      </c>
      <c r="L221" s="3479">
        <f t="shared" si="14"/>
        <v>7.75</v>
      </c>
      <c r="M221" s="3476">
        <f ca="1">典型户型修正!R242</f>
        <v>2412</v>
      </c>
      <c r="N221" s="3477">
        <f t="shared" ca="1" si="15"/>
        <v>18693</v>
      </c>
    </row>
    <row r="222" spans="1:14" ht="17.55" customHeight="1">
      <c r="A222" s="3461">
        <v>220</v>
      </c>
      <c r="B222" s="3461" t="s">
        <v>4082</v>
      </c>
      <c r="C222" s="3462" t="s">
        <v>4101</v>
      </c>
      <c r="D222" s="3462" t="s">
        <v>4102</v>
      </c>
      <c r="E222" s="3462" t="s">
        <v>4342</v>
      </c>
      <c r="F222" s="3462" t="s">
        <v>3442</v>
      </c>
      <c r="G222" s="3462" t="s">
        <v>4103</v>
      </c>
      <c r="H222" s="3465" t="s">
        <v>4397</v>
      </c>
      <c r="I222" s="3480"/>
      <c r="J222" s="3478">
        <f t="shared" si="16"/>
        <v>220</v>
      </c>
      <c r="K222" s="3479" t="str">
        <f t="shared" si="17"/>
        <v>平谷区兴谷街道寨笆路8号院8号楼-1层B113</v>
      </c>
      <c r="L222" s="3479">
        <f t="shared" si="14"/>
        <v>7.22</v>
      </c>
      <c r="M222" s="3476">
        <f ca="1">典型户型修正!R243</f>
        <v>2412</v>
      </c>
      <c r="N222" s="3477">
        <f t="shared" ca="1" si="15"/>
        <v>17415</v>
      </c>
    </row>
    <row r="223" spans="1:14" ht="17.55" customHeight="1">
      <c r="A223" s="3461">
        <v>221</v>
      </c>
      <c r="B223" s="3461" t="s">
        <v>4082</v>
      </c>
      <c r="C223" s="3462" t="s">
        <v>4104</v>
      </c>
      <c r="D223" s="3462" t="s">
        <v>4105</v>
      </c>
      <c r="E223" s="3462" t="s">
        <v>4342</v>
      </c>
      <c r="F223" s="3462" t="s">
        <v>3442</v>
      </c>
      <c r="G223" s="3462" t="s">
        <v>4106</v>
      </c>
      <c r="H223" s="3465" t="s">
        <v>4397</v>
      </c>
      <c r="I223" s="3480"/>
      <c r="J223" s="3478">
        <f t="shared" si="16"/>
        <v>221</v>
      </c>
      <c r="K223" s="3479" t="str">
        <f t="shared" si="17"/>
        <v>平谷区兴谷街道寨笆路8号院8号楼-1层B114</v>
      </c>
      <c r="L223" s="3479">
        <f t="shared" si="14"/>
        <v>7.22</v>
      </c>
      <c r="M223" s="3476">
        <f ca="1">典型户型修正!R244</f>
        <v>2412</v>
      </c>
      <c r="N223" s="3477">
        <f t="shared" ca="1" si="15"/>
        <v>17415</v>
      </c>
    </row>
    <row r="224" spans="1:14" ht="17.55" customHeight="1">
      <c r="A224" s="3461">
        <v>222</v>
      </c>
      <c r="B224" s="3461" t="s">
        <v>4082</v>
      </c>
      <c r="C224" s="3462" t="s">
        <v>4107</v>
      </c>
      <c r="D224" s="3462" t="s">
        <v>4108</v>
      </c>
      <c r="E224" s="3462" t="s">
        <v>4286</v>
      </c>
      <c r="F224" s="3462" t="s">
        <v>3442</v>
      </c>
      <c r="G224" s="3462" t="s">
        <v>4109</v>
      </c>
      <c r="H224" s="3465" t="s">
        <v>4392</v>
      </c>
      <c r="I224" s="3480"/>
      <c r="J224" s="3478">
        <f t="shared" si="16"/>
        <v>222</v>
      </c>
      <c r="K224" s="3479" t="str">
        <f t="shared" si="17"/>
        <v>平谷区兴谷街道寨笆路8号院8号楼-1层B117</v>
      </c>
      <c r="L224" s="3479">
        <f t="shared" si="14"/>
        <v>10.64</v>
      </c>
      <c r="M224" s="3476">
        <f ca="1">典型户型修正!R245</f>
        <v>2866</v>
      </c>
      <c r="N224" s="3477">
        <f t="shared" ca="1" si="15"/>
        <v>30494</v>
      </c>
    </row>
    <row r="225" spans="1:14" ht="17.55" customHeight="1">
      <c r="A225" s="3461">
        <v>223</v>
      </c>
      <c r="B225" s="3461" t="s">
        <v>4082</v>
      </c>
      <c r="C225" s="3462" t="s">
        <v>4110</v>
      </c>
      <c r="D225" s="3462" t="s">
        <v>4111</v>
      </c>
      <c r="E225" s="3462" t="s">
        <v>4343</v>
      </c>
      <c r="F225" s="3462" t="s">
        <v>3442</v>
      </c>
      <c r="G225" s="3462" t="s">
        <v>4112</v>
      </c>
      <c r="H225" s="3465" t="s">
        <v>4397</v>
      </c>
      <c r="I225" s="3480"/>
      <c r="J225" s="3478">
        <f t="shared" si="16"/>
        <v>223</v>
      </c>
      <c r="K225" s="3479" t="str">
        <f t="shared" si="17"/>
        <v>平谷区兴谷街道寨笆路8号院8号楼-1层B121</v>
      </c>
      <c r="L225" s="3479">
        <f t="shared" si="14"/>
        <v>8.3800000000000008</v>
      </c>
      <c r="M225" s="3476">
        <f ca="1">典型户型修正!R246</f>
        <v>2412</v>
      </c>
      <c r="N225" s="3477">
        <f t="shared" ca="1" si="15"/>
        <v>20213</v>
      </c>
    </row>
    <row r="226" spans="1:14" ht="17.55" customHeight="1">
      <c r="A226" s="3461">
        <v>224</v>
      </c>
      <c r="B226" s="3461" t="s">
        <v>4082</v>
      </c>
      <c r="C226" s="3462" t="s">
        <v>4113</v>
      </c>
      <c r="D226" s="3462" t="s">
        <v>4114</v>
      </c>
      <c r="E226" s="3462" t="s">
        <v>4311</v>
      </c>
      <c r="F226" s="3462" t="s">
        <v>3442</v>
      </c>
      <c r="G226" s="3462" t="s">
        <v>4115</v>
      </c>
      <c r="H226" s="3465" t="s">
        <v>4397</v>
      </c>
      <c r="I226" s="3480"/>
      <c r="J226" s="3478">
        <f t="shared" si="16"/>
        <v>224</v>
      </c>
      <c r="K226" s="3479" t="str">
        <f t="shared" si="17"/>
        <v>平谷区兴谷街道寨笆路8号院8号楼-1层B122</v>
      </c>
      <c r="L226" s="3479">
        <f t="shared" si="14"/>
        <v>10.38</v>
      </c>
      <c r="M226" s="3476">
        <f ca="1">典型户型修正!R247</f>
        <v>2388</v>
      </c>
      <c r="N226" s="3477">
        <f t="shared" ca="1" si="15"/>
        <v>24787</v>
      </c>
    </row>
    <row r="227" spans="1:14" ht="17.55" customHeight="1">
      <c r="A227" s="3461">
        <v>225</v>
      </c>
      <c r="B227" s="3461" t="s">
        <v>4082</v>
      </c>
      <c r="C227" s="3462" t="s">
        <v>4116</v>
      </c>
      <c r="D227" s="3462" t="s">
        <v>4117</v>
      </c>
      <c r="E227" s="3462" t="s">
        <v>4306</v>
      </c>
      <c r="F227" s="3462" t="s">
        <v>3442</v>
      </c>
      <c r="G227" s="3462" t="s">
        <v>4118</v>
      </c>
      <c r="H227" s="3465" t="s">
        <v>4397</v>
      </c>
      <c r="I227" s="3480"/>
      <c r="J227" s="3478">
        <f t="shared" si="16"/>
        <v>225</v>
      </c>
      <c r="K227" s="3479" t="str">
        <f t="shared" si="17"/>
        <v>平谷区兴谷街道寨笆路8号院8号楼-1层B123</v>
      </c>
      <c r="L227" s="3479">
        <f t="shared" si="14"/>
        <v>10.98</v>
      </c>
      <c r="M227" s="3476">
        <f ca="1">典型户型修正!R248</f>
        <v>2388</v>
      </c>
      <c r="N227" s="3477">
        <f t="shared" ca="1" si="15"/>
        <v>26220</v>
      </c>
    </row>
    <row r="228" spans="1:14" ht="17.55" customHeight="1">
      <c r="A228" s="3461">
        <v>226</v>
      </c>
      <c r="B228" s="3461" t="s">
        <v>4082</v>
      </c>
      <c r="C228" s="3462" t="s">
        <v>4119</v>
      </c>
      <c r="D228" s="3462" t="s">
        <v>4120</v>
      </c>
      <c r="E228" s="3462" t="s">
        <v>4353</v>
      </c>
      <c r="F228" s="3462" t="s">
        <v>3442</v>
      </c>
      <c r="G228" s="3462" t="s">
        <v>4121</v>
      </c>
      <c r="H228" s="3465" t="s">
        <v>4397</v>
      </c>
      <c r="I228" s="3480"/>
      <c r="J228" s="3478">
        <f t="shared" si="16"/>
        <v>226</v>
      </c>
      <c r="K228" s="3479" t="str">
        <f t="shared" si="17"/>
        <v>平谷区兴谷街道寨笆路8号院8号楼-1层B124</v>
      </c>
      <c r="L228" s="3479">
        <f t="shared" si="14"/>
        <v>10.98</v>
      </c>
      <c r="M228" s="3476">
        <f ca="1">典型户型修正!R249</f>
        <v>2388</v>
      </c>
      <c r="N228" s="3477">
        <f t="shared" ca="1" si="15"/>
        <v>26220</v>
      </c>
    </row>
    <row r="229" spans="1:14" ht="17.55" customHeight="1">
      <c r="A229" s="3461">
        <v>227</v>
      </c>
      <c r="B229" s="3461" t="s">
        <v>4082</v>
      </c>
      <c r="C229" s="3462" t="s">
        <v>4122</v>
      </c>
      <c r="D229" s="3462" t="s">
        <v>4123</v>
      </c>
      <c r="E229" s="3462" t="s">
        <v>4307</v>
      </c>
      <c r="F229" s="3462" t="s">
        <v>3442</v>
      </c>
      <c r="G229" s="3462" t="s">
        <v>4124</v>
      </c>
      <c r="H229" s="3465" t="s">
        <v>4397</v>
      </c>
      <c r="I229" s="3480"/>
      <c r="J229" s="3478">
        <f t="shared" si="16"/>
        <v>227</v>
      </c>
      <c r="K229" s="3479" t="str">
        <f t="shared" si="17"/>
        <v>平谷区兴谷街道寨笆路8号院8号楼-1层B125</v>
      </c>
      <c r="L229" s="3479">
        <f t="shared" si="14"/>
        <v>10.38</v>
      </c>
      <c r="M229" s="3476">
        <f ca="1">典型户型修正!R250</f>
        <v>2388</v>
      </c>
      <c r="N229" s="3477">
        <f t="shared" ca="1" si="15"/>
        <v>24787</v>
      </c>
    </row>
    <row r="230" spans="1:14" ht="17.55" customHeight="1">
      <c r="A230" s="3461">
        <v>228</v>
      </c>
      <c r="B230" s="3461" t="s">
        <v>4082</v>
      </c>
      <c r="C230" s="3462" t="s">
        <v>4125</v>
      </c>
      <c r="D230" s="3462" t="s">
        <v>4126</v>
      </c>
      <c r="E230" s="3462" t="s">
        <v>4305</v>
      </c>
      <c r="F230" s="3462" t="s">
        <v>3442</v>
      </c>
      <c r="G230" s="3462" t="s">
        <v>4127</v>
      </c>
      <c r="H230" s="3465" t="s">
        <v>4397</v>
      </c>
      <c r="I230" s="3480"/>
      <c r="J230" s="3478">
        <f t="shared" si="16"/>
        <v>228</v>
      </c>
      <c r="K230" s="3479" t="str">
        <f t="shared" si="17"/>
        <v>平谷区兴谷街道寨笆路8号院8号楼-1层B126</v>
      </c>
      <c r="L230" s="3479">
        <f t="shared" si="14"/>
        <v>8.3800000000000008</v>
      </c>
      <c r="M230" s="3476">
        <f ca="1">典型户型修正!R251</f>
        <v>2412</v>
      </c>
      <c r="N230" s="3477">
        <f t="shared" ca="1" si="15"/>
        <v>20213</v>
      </c>
    </row>
    <row r="231" spans="1:14" ht="17.55" customHeight="1">
      <c r="A231" s="3461">
        <v>229</v>
      </c>
      <c r="B231" s="3461" t="s">
        <v>4082</v>
      </c>
      <c r="C231" s="3462" t="s">
        <v>4128</v>
      </c>
      <c r="D231" s="3462" t="s">
        <v>4129</v>
      </c>
      <c r="E231" s="3462" t="s">
        <v>4286</v>
      </c>
      <c r="F231" s="3462" t="s">
        <v>3442</v>
      </c>
      <c r="G231" s="3462" t="s">
        <v>4130</v>
      </c>
      <c r="H231" s="3465" t="s">
        <v>4392</v>
      </c>
      <c r="I231" s="3480"/>
      <c r="J231" s="3478">
        <f t="shared" si="16"/>
        <v>229</v>
      </c>
      <c r="K231" s="3479" t="str">
        <f t="shared" si="17"/>
        <v>平谷区兴谷街道寨笆路8号院8号楼-1层B128</v>
      </c>
      <c r="L231" s="3479">
        <f t="shared" si="14"/>
        <v>10.64</v>
      </c>
      <c r="M231" s="3476">
        <f ca="1">典型户型修正!R252</f>
        <v>2866</v>
      </c>
      <c r="N231" s="3477">
        <f t="shared" ca="1" si="15"/>
        <v>30494</v>
      </c>
    </row>
    <row r="232" spans="1:14" ht="17.55" customHeight="1">
      <c r="A232" s="3461">
        <v>230</v>
      </c>
      <c r="B232" s="3461" t="s">
        <v>4082</v>
      </c>
      <c r="C232" s="3462" t="s">
        <v>4131</v>
      </c>
      <c r="D232" s="3462" t="s">
        <v>4132</v>
      </c>
      <c r="E232" s="3462" t="s">
        <v>4344</v>
      </c>
      <c r="F232" s="3462" t="s">
        <v>3442</v>
      </c>
      <c r="G232" s="3462" t="s">
        <v>4133</v>
      </c>
      <c r="H232" s="3465" t="s">
        <v>4391</v>
      </c>
      <c r="I232" s="3480"/>
      <c r="J232" s="3478">
        <f t="shared" si="16"/>
        <v>230</v>
      </c>
      <c r="K232" s="3479" t="str">
        <f t="shared" si="17"/>
        <v>平谷区兴谷街道寨笆路8号院8号楼-1层B130</v>
      </c>
      <c r="L232" s="3479">
        <f t="shared" si="14"/>
        <v>12.03</v>
      </c>
      <c r="M232" s="3476">
        <f ca="1">典型户型修正!R253</f>
        <v>2866</v>
      </c>
      <c r="N232" s="3477">
        <f t="shared" ca="1" si="15"/>
        <v>34478</v>
      </c>
    </row>
    <row r="233" spans="1:14" ht="17.55" customHeight="1">
      <c r="A233" s="3461">
        <v>231</v>
      </c>
      <c r="B233" s="3461" t="s">
        <v>4082</v>
      </c>
      <c r="C233" s="3462" t="s">
        <v>4134</v>
      </c>
      <c r="D233" s="3462" t="s">
        <v>4135</v>
      </c>
      <c r="E233" s="3462" t="s">
        <v>4361</v>
      </c>
      <c r="F233" s="3462" t="s">
        <v>3442</v>
      </c>
      <c r="G233" s="3462" t="s">
        <v>4136</v>
      </c>
      <c r="H233" s="3465" t="s">
        <v>4397</v>
      </c>
      <c r="I233" s="3480"/>
      <c r="J233" s="3478">
        <f t="shared" si="16"/>
        <v>231</v>
      </c>
      <c r="K233" s="3479" t="str">
        <f t="shared" si="17"/>
        <v>平谷区兴谷街道寨笆路8号院8号楼-1层B132</v>
      </c>
      <c r="L233" s="3479">
        <f t="shared" si="14"/>
        <v>10.41</v>
      </c>
      <c r="M233" s="3476">
        <f ca="1">典型户型修正!R254</f>
        <v>2388</v>
      </c>
      <c r="N233" s="3477">
        <f t="shared" ca="1" si="15"/>
        <v>24859</v>
      </c>
    </row>
    <row r="234" spans="1:14" ht="17.55" customHeight="1">
      <c r="A234" s="3461">
        <v>232</v>
      </c>
      <c r="B234" s="3461" t="s">
        <v>4137</v>
      </c>
      <c r="C234" s="3462" t="s">
        <v>4138</v>
      </c>
      <c r="D234" s="3462" t="s">
        <v>4139</v>
      </c>
      <c r="E234" s="3462" t="s">
        <v>4369</v>
      </c>
      <c r="F234" s="3462" t="s">
        <v>3442</v>
      </c>
      <c r="G234" s="3462" t="s">
        <v>4140</v>
      </c>
      <c r="H234" s="3465" t="s">
        <v>4397</v>
      </c>
      <c r="I234" s="3480"/>
      <c r="J234" s="3478">
        <f t="shared" si="16"/>
        <v>232</v>
      </c>
      <c r="K234" s="3479" t="str">
        <f t="shared" si="17"/>
        <v>平谷区兴谷街道寨笆路7号院1号楼-1层B101</v>
      </c>
      <c r="L234" s="3479">
        <f t="shared" si="14"/>
        <v>7.38</v>
      </c>
      <c r="M234" s="3476">
        <f ca="1">典型户型修正!R255</f>
        <v>2412</v>
      </c>
      <c r="N234" s="3477">
        <f t="shared" ca="1" si="15"/>
        <v>17801</v>
      </c>
    </row>
    <row r="235" spans="1:14" ht="17.55" customHeight="1">
      <c r="A235" s="3461">
        <v>233</v>
      </c>
      <c r="B235" s="3461" t="s">
        <v>4137</v>
      </c>
      <c r="C235" s="3462" t="s">
        <v>4141</v>
      </c>
      <c r="D235" s="3462" t="s">
        <v>4142</v>
      </c>
      <c r="E235" s="3462" t="s">
        <v>4336</v>
      </c>
      <c r="F235" s="3462" t="s">
        <v>3442</v>
      </c>
      <c r="G235" s="3462" t="s">
        <v>4143</v>
      </c>
      <c r="H235" s="3465" t="s">
        <v>4391</v>
      </c>
      <c r="I235" s="3480"/>
      <c r="J235" s="3478">
        <f t="shared" si="16"/>
        <v>233</v>
      </c>
      <c r="K235" s="3479" t="str">
        <f t="shared" si="17"/>
        <v>平谷区兴谷街道寨笆路7号院1号楼-1层B104</v>
      </c>
      <c r="L235" s="3479">
        <f t="shared" si="14"/>
        <v>5.23</v>
      </c>
      <c r="M235" s="3476">
        <f ca="1">典型户型修正!R256</f>
        <v>2894</v>
      </c>
      <c r="N235" s="3477">
        <f t="shared" ca="1" si="15"/>
        <v>15136</v>
      </c>
    </row>
    <row r="236" spans="1:14" ht="17.55" customHeight="1">
      <c r="A236" s="3461">
        <v>234</v>
      </c>
      <c r="B236" s="3461" t="s">
        <v>4137</v>
      </c>
      <c r="C236" s="3462" t="s">
        <v>4144</v>
      </c>
      <c r="D236" s="3462" t="s">
        <v>4145</v>
      </c>
      <c r="E236" s="3462" t="s">
        <v>4370</v>
      </c>
      <c r="F236" s="3462" t="s">
        <v>3442</v>
      </c>
      <c r="G236" s="3462" t="s">
        <v>4146</v>
      </c>
      <c r="H236" s="3465" t="s">
        <v>4397</v>
      </c>
      <c r="I236" s="3480"/>
      <c r="J236" s="3478">
        <f t="shared" si="16"/>
        <v>234</v>
      </c>
      <c r="K236" s="3479" t="str">
        <f t="shared" si="17"/>
        <v>平谷区兴谷街道寨笆路7号院1号楼-1层B105</v>
      </c>
      <c r="L236" s="3479">
        <f t="shared" si="14"/>
        <v>4.3499999999999996</v>
      </c>
      <c r="M236" s="3476">
        <f ca="1">典型户型修正!R257</f>
        <v>2436</v>
      </c>
      <c r="N236" s="3477">
        <f t="shared" ca="1" si="15"/>
        <v>10597</v>
      </c>
    </row>
    <row r="237" spans="1:14" ht="17.55" customHeight="1">
      <c r="A237" s="3461">
        <v>235</v>
      </c>
      <c r="B237" s="3461" t="s">
        <v>4137</v>
      </c>
      <c r="C237" s="3462" t="s">
        <v>4147</v>
      </c>
      <c r="D237" s="3462" t="s">
        <v>4148</v>
      </c>
      <c r="E237" s="3462" t="s">
        <v>4325</v>
      </c>
      <c r="F237" s="3462" t="s">
        <v>3442</v>
      </c>
      <c r="G237" s="3462" t="s">
        <v>4149</v>
      </c>
      <c r="H237" s="3465" t="s">
        <v>4397</v>
      </c>
      <c r="I237" s="3480"/>
      <c r="J237" s="3478">
        <f t="shared" si="16"/>
        <v>235</v>
      </c>
      <c r="K237" s="3479" t="str">
        <f t="shared" si="17"/>
        <v>平谷区兴谷街道寨笆路7号院1号楼-1层B108</v>
      </c>
      <c r="L237" s="3479">
        <f t="shared" si="14"/>
        <v>10.49</v>
      </c>
      <c r="M237" s="3476">
        <f ca="1">典型户型修正!R258</f>
        <v>2388</v>
      </c>
      <c r="N237" s="3477">
        <f t="shared" ca="1" si="15"/>
        <v>25050</v>
      </c>
    </row>
    <row r="238" spans="1:14" ht="17.55" customHeight="1">
      <c r="A238" s="3461">
        <v>236</v>
      </c>
      <c r="B238" s="3461" t="s">
        <v>4137</v>
      </c>
      <c r="C238" s="3462" t="s">
        <v>4150</v>
      </c>
      <c r="D238" s="3462" t="s">
        <v>4151</v>
      </c>
      <c r="E238" s="3462" t="s">
        <v>4325</v>
      </c>
      <c r="F238" s="3462" t="s">
        <v>3442</v>
      </c>
      <c r="G238" s="3462" t="s">
        <v>4152</v>
      </c>
      <c r="H238" s="3465" t="s">
        <v>4397</v>
      </c>
      <c r="I238" s="3480"/>
      <c r="J238" s="3478">
        <f t="shared" si="16"/>
        <v>236</v>
      </c>
      <c r="K238" s="3479" t="str">
        <f t="shared" si="17"/>
        <v>平谷区兴谷街道寨笆路7号院1号楼-1层B109</v>
      </c>
      <c r="L238" s="3479">
        <f t="shared" si="14"/>
        <v>10.49</v>
      </c>
      <c r="M238" s="3476">
        <f ca="1">典型户型修正!R259</f>
        <v>2388</v>
      </c>
      <c r="N238" s="3477">
        <f t="shared" ca="1" si="15"/>
        <v>25050</v>
      </c>
    </row>
    <row r="239" spans="1:14" ht="17.55" customHeight="1">
      <c r="A239" s="3461">
        <v>237</v>
      </c>
      <c r="B239" s="3461" t="s">
        <v>4137</v>
      </c>
      <c r="C239" s="3462" t="s">
        <v>4153</v>
      </c>
      <c r="D239" s="3462" t="s">
        <v>4154</v>
      </c>
      <c r="E239" s="3462" t="s">
        <v>4371</v>
      </c>
      <c r="F239" s="3462" t="s">
        <v>3442</v>
      </c>
      <c r="G239" s="3462" t="s">
        <v>4155</v>
      </c>
      <c r="H239" s="3465" t="s">
        <v>4397</v>
      </c>
      <c r="I239" s="3480"/>
      <c r="J239" s="3478">
        <f t="shared" si="16"/>
        <v>237</v>
      </c>
      <c r="K239" s="3479" t="str">
        <f t="shared" si="17"/>
        <v>平谷区兴谷街道寨笆路7号院1号楼-1层B110</v>
      </c>
      <c r="L239" s="3479">
        <f t="shared" si="14"/>
        <v>10.43</v>
      </c>
      <c r="M239" s="3476">
        <f ca="1">典型户型修正!R260</f>
        <v>2388</v>
      </c>
      <c r="N239" s="3477">
        <f t="shared" ca="1" si="15"/>
        <v>24907</v>
      </c>
    </row>
    <row r="240" spans="1:14" ht="17.55" customHeight="1">
      <c r="A240" s="3461">
        <v>238</v>
      </c>
      <c r="B240" s="3461" t="s">
        <v>4137</v>
      </c>
      <c r="C240" s="3462" t="s">
        <v>4156</v>
      </c>
      <c r="D240" s="3462" t="s">
        <v>4157</v>
      </c>
      <c r="E240" s="3462" t="s">
        <v>4367</v>
      </c>
      <c r="F240" s="3462" t="s">
        <v>3442</v>
      </c>
      <c r="G240" s="3462" t="s">
        <v>4158</v>
      </c>
      <c r="H240" s="3465" t="s">
        <v>4391</v>
      </c>
      <c r="I240" s="3480"/>
      <c r="J240" s="3478">
        <f t="shared" si="16"/>
        <v>238</v>
      </c>
      <c r="K240" s="3479" t="str">
        <f t="shared" si="17"/>
        <v>平谷区兴谷街道寨笆路7号院1号楼-1层B112</v>
      </c>
      <c r="L240" s="3479">
        <f t="shared" si="14"/>
        <v>10.58</v>
      </c>
      <c r="M240" s="3476">
        <f ca="1">典型户型修正!R261</f>
        <v>2866</v>
      </c>
      <c r="N240" s="3477">
        <f t="shared" ca="1" si="15"/>
        <v>30322</v>
      </c>
    </row>
    <row r="241" spans="1:14" ht="17.55" customHeight="1">
      <c r="A241" s="3461">
        <v>239</v>
      </c>
      <c r="B241" s="3461" t="s">
        <v>4137</v>
      </c>
      <c r="C241" s="3462" t="s">
        <v>4159</v>
      </c>
      <c r="D241" s="3462" t="s">
        <v>4160</v>
      </c>
      <c r="E241" s="3462" t="s">
        <v>4368</v>
      </c>
      <c r="F241" s="3462" t="s">
        <v>3442</v>
      </c>
      <c r="G241" s="3462" t="s">
        <v>4161</v>
      </c>
      <c r="H241" s="3465" t="s">
        <v>4397</v>
      </c>
      <c r="I241" s="3480"/>
      <c r="J241" s="3478">
        <f t="shared" si="16"/>
        <v>239</v>
      </c>
      <c r="K241" s="3479" t="str">
        <f t="shared" si="17"/>
        <v>平谷区兴谷街道寨笆路7号院1号楼-1层B113</v>
      </c>
      <c r="L241" s="3479">
        <f t="shared" si="14"/>
        <v>8.23</v>
      </c>
      <c r="M241" s="3476">
        <f ca="1">典型户型修正!R262</f>
        <v>2412</v>
      </c>
      <c r="N241" s="3477">
        <f t="shared" ca="1" si="15"/>
        <v>19851</v>
      </c>
    </row>
    <row r="242" spans="1:14" ht="17.55" customHeight="1">
      <c r="A242" s="3461">
        <v>240</v>
      </c>
      <c r="B242" s="3461" t="s">
        <v>4137</v>
      </c>
      <c r="C242" s="3462" t="s">
        <v>4162</v>
      </c>
      <c r="D242" s="3462" t="s">
        <v>4163</v>
      </c>
      <c r="E242" s="3462" t="s">
        <v>4369</v>
      </c>
      <c r="F242" s="3462" t="s">
        <v>3524</v>
      </c>
      <c r="G242" s="3462" t="s">
        <v>4164</v>
      </c>
      <c r="H242" s="3465" t="s">
        <v>4397</v>
      </c>
      <c r="I242" s="3480"/>
      <c r="J242" s="3478">
        <f t="shared" si="16"/>
        <v>240</v>
      </c>
      <c r="K242" s="3479" t="str">
        <f t="shared" si="17"/>
        <v>平谷区兴谷街道寨笆路7号院1号楼-2层B201</v>
      </c>
      <c r="L242" s="3479">
        <f t="shared" si="14"/>
        <v>7.38</v>
      </c>
      <c r="M242" s="3476">
        <f ca="1">典型户型修正!R263</f>
        <v>2171</v>
      </c>
      <c r="N242" s="3477">
        <f t="shared" ca="1" si="15"/>
        <v>16022</v>
      </c>
    </row>
    <row r="243" spans="1:14" ht="17.55" customHeight="1">
      <c r="A243" s="3461">
        <v>241</v>
      </c>
      <c r="B243" s="3461" t="s">
        <v>4137</v>
      </c>
      <c r="C243" s="3462" t="s">
        <v>4165</v>
      </c>
      <c r="D243" s="3462" t="s">
        <v>4166</v>
      </c>
      <c r="E243" s="3462" t="s">
        <v>4372</v>
      </c>
      <c r="F243" s="3462" t="s">
        <v>3524</v>
      </c>
      <c r="G243" s="3462" t="s">
        <v>4167</v>
      </c>
      <c r="H243" s="3465" t="s">
        <v>4397</v>
      </c>
      <c r="I243" s="3480"/>
      <c r="J243" s="3478">
        <f t="shared" si="16"/>
        <v>241</v>
      </c>
      <c r="K243" s="3479" t="str">
        <f t="shared" si="17"/>
        <v>平谷区兴谷街道寨笆路7号院1号楼-2层B202</v>
      </c>
      <c r="L243" s="3479">
        <f t="shared" si="14"/>
        <v>7.65</v>
      </c>
      <c r="M243" s="3476">
        <f ca="1">典型户型修正!R264</f>
        <v>2171</v>
      </c>
      <c r="N243" s="3477">
        <f t="shared" ca="1" si="15"/>
        <v>16608</v>
      </c>
    </row>
    <row r="244" spans="1:14" ht="17.55" customHeight="1">
      <c r="A244" s="3461">
        <v>242</v>
      </c>
      <c r="B244" s="3461" t="s">
        <v>4137</v>
      </c>
      <c r="C244" s="3462" t="s">
        <v>4168</v>
      </c>
      <c r="D244" s="3462" t="s">
        <v>4169</v>
      </c>
      <c r="E244" s="3462" t="s">
        <v>4373</v>
      </c>
      <c r="F244" s="3462" t="s">
        <v>3524</v>
      </c>
      <c r="G244" s="3462" t="s">
        <v>4170</v>
      </c>
      <c r="H244" s="3465" t="s">
        <v>4397</v>
      </c>
      <c r="I244" s="3480"/>
      <c r="J244" s="3478">
        <f t="shared" si="16"/>
        <v>242</v>
      </c>
      <c r="K244" s="3479" t="str">
        <f t="shared" si="17"/>
        <v>平谷区兴谷街道寨笆路7号院1号楼-2层B203</v>
      </c>
      <c r="L244" s="3479">
        <f t="shared" si="14"/>
        <v>8.25</v>
      </c>
      <c r="M244" s="3476">
        <f ca="1">典型户型修正!R265</f>
        <v>2171</v>
      </c>
      <c r="N244" s="3477">
        <f t="shared" ca="1" si="15"/>
        <v>17911</v>
      </c>
    </row>
    <row r="245" spans="1:14" ht="17.55" customHeight="1">
      <c r="A245" s="3461">
        <v>243</v>
      </c>
      <c r="B245" s="3461" t="s">
        <v>4137</v>
      </c>
      <c r="C245" s="3462" t="s">
        <v>4171</v>
      </c>
      <c r="D245" s="3462" t="s">
        <v>4172</v>
      </c>
      <c r="E245" s="3462" t="s">
        <v>4271</v>
      </c>
      <c r="F245" s="3462" t="s">
        <v>3524</v>
      </c>
      <c r="G245" s="3462" t="s">
        <v>4173</v>
      </c>
      <c r="H245" s="3465" t="s">
        <v>4397</v>
      </c>
      <c r="I245" s="3480"/>
      <c r="J245" s="3478">
        <f t="shared" si="16"/>
        <v>243</v>
      </c>
      <c r="K245" s="3479" t="str">
        <f t="shared" si="17"/>
        <v>平谷区兴谷街道寨笆路7号院1号楼-2层B204</v>
      </c>
      <c r="L245" s="3479">
        <f t="shared" si="14"/>
        <v>8.1999999999999993</v>
      </c>
      <c r="M245" s="3476">
        <f ca="1">典型户型修正!R266</f>
        <v>2171</v>
      </c>
      <c r="N245" s="3477">
        <f t="shared" ca="1" si="15"/>
        <v>17802</v>
      </c>
    </row>
    <row r="246" spans="1:14" ht="17.55" customHeight="1">
      <c r="A246" s="3461">
        <v>244</v>
      </c>
      <c r="B246" s="3461" t="s">
        <v>4137</v>
      </c>
      <c r="C246" s="3462" t="s">
        <v>4174</v>
      </c>
      <c r="D246" s="3462" t="s">
        <v>4175</v>
      </c>
      <c r="E246" s="3462" t="s">
        <v>4374</v>
      </c>
      <c r="F246" s="3462" t="s">
        <v>3524</v>
      </c>
      <c r="G246" s="3462" t="s">
        <v>4176</v>
      </c>
      <c r="H246" s="3465" t="s">
        <v>4397</v>
      </c>
      <c r="I246" s="3480"/>
      <c r="J246" s="3478">
        <f t="shared" si="16"/>
        <v>244</v>
      </c>
      <c r="K246" s="3479" t="str">
        <f t="shared" si="17"/>
        <v>平谷区兴谷街道寨笆路7号院1号楼-2层B205</v>
      </c>
      <c r="L246" s="3479">
        <f t="shared" si="14"/>
        <v>6.87</v>
      </c>
      <c r="M246" s="3476">
        <f ca="1">典型户型修正!R267</f>
        <v>2171</v>
      </c>
      <c r="N246" s="3477">
        <f t="shared" ca="1" si="15"/>
        <v>14915</v>
      </c>
    </row>
    <row r="247" spans="1:14" ht="17.55" customHeight="1">
      <c r="A247" s="3461">
        <v>245</v>
      </c>
      <c r="B247" s="3461" t="s">
        <v>4137</v>
      </c>
      <c r="C247" s="3462" t="s">
        <v>4177</v>
      </c>
      <c r="D247" s="3462" t="s">
        <v>4178</v>
      </c>
      <c r="E247" s="3462" t="s">
        <v>4375</v>
      </c>
      <c r="F247" s="3462" t="s">
        <v>3524</v>
      </c>
      <c r="G247" s="3462" t="s">
        <v>4179</v>
      </c>
      <c r="H247" s="3465" t="s">
        <v>4391</v>
      </c>
      <c r="I247" s="3480"/>
      <c r="J247" s="3478">
        <f t="shared" si="16"/>
        <v>245</v>
      </c>
      <c r="K247" s="3479" t="str">
        <f t="shared" si="17"/>
        <v>平谷区兴谷街道寨笆路7号院1号楼-2层B207</v>
      </c>
      <c r="L247" s="3479">
        <f t="shared" si="14"/>
        <v>7.74</v>
      </c>
      <c r="M247" s="3476">
        <f ca="1">典型户型修正!R268</f>
        <v>2605</v>
      </c>
      <c r="N247" s="3477">
        <f t="shared" ca="1" si="15"/>
        <v>20163</v>
      </c>
    </row>
    <row r="248" spans="1:14" ht="17.55" customHeight="1">
      <c r="A248" s="3461">
        <v>246</v>
      </c>
      <c r="B248" s="3461" t="s">
        <v>4137</v>
      </c>
      <c r="C248" s="3462" t="s">
        <v>4180</v>
      </c>
      <c r="D248" s="3462" t="s">
        <v>4181</v>
      </c>
      <c r="E248" s="3462" t="s">
        <v>4376</v>
      </c>
      <c r="F248" s="3462" t="s">
        <v>3524</v>
      </c>
      <c r="G248" s="3462" t="s">
        <v>4182</v>
      </c>
      <c r="H248" s="3465" t="s">
        <v>4391</v>
      </c>
      <c r="I248" s="3480"/>
      <c r="J248" s="3478">
        <f t="shared" si="16"/>
        <v>246</v>
      </c>
      <c r="K248" s="3479" t="str">
        <f t="shared" si="17"/>
        <v>平谷区兴谷街道寨笆路7号院1号楼-2层B208</v>
      </c>
      <c r="L248" s="3479">
        <f t="shared" si="14"/>
        <v>7.74</v>
      </c>
      <c r="M248" s="3476">
        <f ca="1">典型户型修正!R269</f>
        <v>2605</v>
      </c>
      <c r="N248" s="3477">
        <f t="shared" ca="1" si="15"/>
        <v>20163</v>
      </c>
    </row>
    <row r="249" spans="1:14" ht="17.55" customHeight="1">
      <c r="A249" s="3461">
        <v>247</v>
      </c>
      <c r="B249" s="3461" t="s">
        <v>4137</v>
      </c>
      <c r="C249" s="3462" t="s">
        <v>4183</v>
      </c>
      <c r="D249" s="3462" t="s">
        <v>4184</v>
      </c>
      <c r="E249" s="3462" t="s">
        <v>4265</v>
      </c>
      <c r="F249" s="3462" t="s">
        <v>3524</v>
      </c>
      <c r="G249" s="3462" t="s">
        <v>4185</v>
      </c>
      <c r="H249" s="3465" t="s">
        <v>4397</v>
      </c>
      <c r="I249" s="3480"/>
      <c r="J249" s="3478">
        <f t="shared" si="16"/>
        <v>247</v>
      </c>
      <c r="K249" s="3479" t="str">
        <f t="shared" si="17"/>
        <v>平谷区兴谷街道寨笆路7号院1号楼-2层B209</v>
      </c>
      <c r="L249" s="3479">
        <f t="shared" si="14"/>
        <v>7.6</v>
      </c>
      <c r="M249" s="3476">
        <f ca="1">典型户型修正!R270</f>
        <v>2171</v>
      </c>
      <c r="N249" s="3477">
        <f t="shared" ca="1" si="15"/>
        <v>16500</v>
      </c>
    </row>
    <row r="250" spans="1:14" ht="17.55" customHeight="1">
      <c r="A250" s="3461">
        <v>248</v>
      </c>
      <c r="B250" s="3461" t="s">
        <v>4137</v>
      </c>
      <c r="C250" s="3462" t="s">
        <v>4186</v>
      </c>
      <c r="D250" s="3462" t="s">
        <v>4187</v>
      </c>
      <c r="E250" s="3462" t="s">
        <v>4366</v>
      </c>
      <c r="F250" s="3462" t="s">
        <v>3524</v>
      </c>
      <c r="G250" s="3462" t="s">
        <v>4188</v>
      </c>
      <c r="H250" s="3465" t="s">
        <v>4397</v>
      </c>
      <c r="I250" s="3480"/>
      <c r="J250" s="3478">
        <f t="shared" si="16"/>
        <v>248</v>
      </c>
      <c r="K250" s="3479" t="str">
        <f t="shared" si="17"/>
        <v>平谷区兴谷街道寨笆路7号院1号楼-2层B210</v>
      </c>
      <c r="L250" s="3479">
        <f t="shared" si="14"/>
        <v>7.71</v>
      </c>
      <c r="M250" s="3476">
        <f ca="1">典型户型修正!R271</f>
        <v>2171</v>
      </c>
      <c r="N250" s="3477">
        <f t="shared" ca="1" si="15"/>
        <v>16738</v>
      </c>
    </row>
    <row r="251" spans="1:14" ht="17.55" customHeight="1">
      <c r="A251" s="3461">
        <v>249</v>
      </c>
      <c r="B251" s="3461" t="s">
        <v>4137</v>
      </c>
      <c r="C251" s="3462" t="s">
        <v>4189</v>
      </c>
      <c r="D251" s="3462" t="s">
        <v>4190</v>
      </c>
      <c r="E251" s="3462" t="s">
        <v>4325</v>
      </c>
      <c r="F251" s="3462" t="s">
        <v>3524</v>
      </c>
      <c r="G251" s="3462" t="s">
        <v>4191</v>
      </c>
      <c r="H251" s="3465" t="s">
        <v>4397</v>
      </c>
      <c r="I251" s="3480"/>
      <c r="J251" s="3478">
        <f t="shared" si="16"/>
        <v>249</v>
      </c>
      <c r="K251" s="3479" t="str">
        <f t="shared" si="17"/>
        <v>平谷区兴谷街道寨笆路7号院1号楼-2层B211</v>
      </c>
      <c r="L251" s="3479">
        <f t="shared" si="14"/>
        <v>10.49</v>
      </c>
      <c r="M251" s="3476">
        <f ca="1">典型户型修正!R272</f>
        <v>2149</v>
      </c>
      <c r="N251" s="3477">
        <f t="shared" ca="1" si="15"/>
        <v>22543</v>
      </c>
    </row>
    <row r="252" spans="1:14" ht="17.55" customHeight="1">
      <c r="A252" s="3461">
        <v>250</v>
      </c>
      <c r="B252" s="3461" t="s">
        <v>4137</v>
      </c>
      <c r="C252" s="3462" t="s">
        <v>4192</v>
      </c>
      <c r="D252" s="3462" t="s">
        <v>4193</v>
      </c>
      <c r="E252" s="3462" t="s">
        <v>4325</v>
      </c>
      <c r="F252" s="3462" t="s">
        <v>3524</v>
      </c>
      <c r="G252" s="3462" t="s">
        <v>4194</v>
      </c>
      <c r="H252" s="3465" t="s">
        <v>4397</v>
      </c>
      <c r="I252" s="3480"/>
      <c r="J252" s="3478">
        <f t="shared" si="16"/>
        <v>250</v>
      </c>
      <c r="K252" s="3479" t="str">
        <f t="shared" si="17"/>
        <v>平谷区兴谷街道寨笆路7号院1号楼-2层B212</v>
      </c>
      <c r="L252" s="3479">
        <f t="shared" si="14"/>
        <v>10.49</v>
      </c>
      <c r="M252" s="3476">
        <f ca="1">典型户型修正!R273</f>
        <v>2149</v>
      </c>
      <c r="N252" s="3477">
        <f t="shared" ca="1" si="15"/>
        <v>22543</v>
      </c>
    </row>
    <row r="253" spans="1:14" ht="17.55" customHeight="1">
      <c r="A253" s="3461">
        <v>251</v>
      </c>
      <c r="B253" s="3461" t="s">
        <v>4137</v>
      </c>
      <c r="C253" s="3462" t="s">
        <v>4195</v>
      </c>
      <c r="D253" s="3462" t="s">
        <v>4196</v>
      </c>
      <c r="E253" s="3462" t="s">
        <v>4325</v>
      </c>
      <c r="F253" s="3462" t="s">
        <v>3524</v>
      </c>
      <c r="G253" s="3462" t="s">
        <v>4197</v>
      </c>
      <c r="H253" s="3465" t="s">
        <v>4397</v>
      </c>
      <c r="I253" s="3480"/>
      <c r="J253" s="3478">
        <f t="shared" si="16"/>
        <v>251</v>
      </c>
      <c r="K253" s="3479" t="str">
        <f t="shared" si="17"/>
        <v>平谷区兴谷街道寨笆路7号院1号楼-2层B213</v>
      </c>
      <c r="L253" s="3479">
        <f t="shared" si="14"/>
        <v>10.49</v>
      </c>
      <c r="M253" s="3476">
        <f ca="1">典型户型修正!R274</f>
        <v>2149</v>
      </c>
      <c r="N253" s="3477">
        <f t="shared" ca="1" si="15"/>
        <v>22543</v>
      </c>
    </row>
    <row r="254" spans="1:14" ht="17.55" customHeight="1">
      <c r="A254" s="3461">
        <v>252</v>
      </c>
      <c r="B254" s="3461" t="s">
        <v>4137</v>
      </c>
      <c r="C254" s="3462" t="s">
        <v>4198</v>
      </c>
      <c r="D254" s="3462" t="s">
        <v>4199</v>
      </c>
      <c r="E254" s="3462" t="s">
        <v>4325</v>
      </c>
      <c r="F254" s="3462" t="s">
        <v>3524</v>
      </c>
      <c r="G254" s="3462" t="s">
        <v>4200</v>
      </c>
      <c r="H254" s="3465" t="s">
        <v>4397</v>
      </c>
      <c r="I254" s="3480"/>
      <c r="J254" s="3478">
        <f t="shared" si="16"/>
        <v>252</v>
      </c>
      <c r="K254" s="3479" t="str">
        <f t="shared" si="17"/>
        <v>平谷区兴谷街道寨笆路7号院1号楼-2层B214</v>
      </c>
      <c r="L254" s="3479">
        <f t="shared" si="14"/>
        <v>10.49</v>
      </c>
      <c r="M254" s="3476">
        <f ca="1">典型户型修正!R275</f>
        <v>2149</v>
      </c>
      <c r="N254" s="3477">
        <f t="shared" ca="1" si="15"/>
        <v>22543</v>
      </c>
    </row>
    <row r="255" spans="1:14" ht="17.55" customHeight="1">
      <c r="A255" s="3461">
        <v>253</v>
      </c>
      <c r="B255" s="3461" t="s">
        <v>4137</v>
      </c>
      <c r="C255" s="3462" t="s">
        <v>4201</v>
      </c>
      <c r="D255" s="3462" t="s">
        <v>4202</v>
      </c>
      <c r="E255" s="3462" t="s">
        <v>4366</v>
      </c>
      <c r="F255" s="3462" t="s">
        <v>3524</v>
      </c>
      <c r="G255" s="3462" t="s">
        <v>4203</v>
      </c>
      <c r="H255" s="3465" t="s">
        <v>4397</v>
      </c>
      <c r="I255" s="3480"/>
      <c r="J255" s="3478">
        <f t="shared" si="16"/>
        <v>253</v>
      </c>
      <c r="K255" s="3479" t="str">
        <f t="shared" si="17"/>
        <v>平谷区兴谷街道寨笆路7号院1号楼-2层B215</v>
      </c>
      <c r="L255" s="3479">
        <f t="shared" si="14"/>
        <v>7.71</v>
      </c>
      <c r="M255" s="3476">
        <f ca="1">典型户型修正!R276</f>
        <v>2171</v>
      </c>
      <c r="N255" s="3477">
        <f t="shared" ca="1" si="15"/>
        <v>16738</v>
      </c>
    </row>
    <row r="256" spans="1:14" ht="17.55" customHeight="1">
      <c r="A256" s="3461">
        <v>254</v>
      </c>
      <c r="B256" s="3461" t="s">
        <v>4137</v>
      </c>
      <c r="C256" s="3462" t="s">
        <v>4204</v>
      </c>
      <c r="D256" s="3462" t="s">
        <v>4205</v>
      </c>
      <c r="E256" s="3462" t="s">
        <v>4265</v>
      </c>
      <c r="F256" s="3462" t="s">
        <v>3524</v>
      </c>
      <c r="G256" s="3462" t="s">
        <v>4206</v>
      </c>
      <c r="H256" s="3465" t="s">
        <v>4397</v>
      </c>
      <c r="I256" s="3480"/>
      <c r="J256" s="3478">
        <f t="shared" si="16"/>
        <v>254</v>
      </c>
      <c r="K256" s="3479" t="str">
        <f t="shared" si="17"/>
        <v>平谷区兴谷街道寨笆路7号院1号楼-2层B216</v>
      </c>
      <c r="L256" s="3479">
        <f t="shared" si="14"/>
        <v>7.6</v>
      </c>
      <c r="M256" s="3476">
        <f ca="1">典型户型修正!R277</f>
        <v>2171</v>
      </c>
      <c r="N256" s="3477">
        <f t="shared" ca="1" si="15"/>
        <v>16500</v>
      </c>
    </row>
    <row r="257" spans="1:14" ht="17.55" customHeight="1">
      <c r="A257" s="3461">
        <v>255</v>
      </c>
      <c r="B257" s="3461" t="s">
        <v>4137</v>
      </c>
      <c r="C257" s="3462" t="s">
        <v>4207</v>
      </c>
      <c r="D257" s="3462" t="s">
        <v>4208</v>
      </c>
      <c r="E257" s="3462" t="s">
        <v>4242</v>
      </c>
      <c r="F257" s="3462" t="s">
        <v>3524</v>
      </c>
      <c r="G257" s="3462" t="s">
        <v>4209</v>
      </c>
      <c r="H257" s="3465" t="s">
        <v>4397</v>
      </c>
      <c r="I257" s="3480"/>
      <c r="J257" s="3478">
        <f t="shared" si="16"/>
        <v>255</v>
      </c>
      <c r="K257" s="3479" t="str">
        <f t="shared" si="17"/>
        <v>平谷区兴谷街道寨笆路7号院1号楼-2层B217</v>
      </c>
      <c r="L257" s="3479">
        <f t="shared" si="14"/>
        <v>9.06</v>
      </c>
      <c r="M257" s="3476">
        <f ca="1">典型户型修正!R278</f>
        <v>2171</v>
      </c>
      <c r="N257" s="3477">
        <f t="shared" ca="1" si="15"/>
        <v>19669</v>
      </c>
    </row>
    <row r="258" spans="1:14" ht="17.55" customHeight="1">
      <c r="A258" s="3461">
        <v>256</v>
      </c>
      <c r="B258" s="3461" t="s">
        <v>4137</v>
      </c>
      <c r="C258" s="3462" t="s">
        <v>4210</v>
      </c>
      <c r="D258" s="3462" t="s">
        <v>4211</v>
      </c>
      <c r="E258" s="3462" t="s">
        <v>4242</v>
      </c>
      <c r="F258" s="3462" t="s">
        <v>3524</v>
      </c>
      <c r="G258" s="3462" t="s">
        <v>4212</v>
      </c>
      <c r="H258" s="3465" t="s">
        <v>4397</v>
      </c>
      <c r="I258" s="3480"/>
      <c r="J258" s="3478">
        <f t="shared" si="16"/>
        <v>256</v>
      </c>
      <c r="K258" s="3479" t="str">
        <f t="shared" si="17"/>
        <v>平谷区兴谷街道寨笆路7号院1号楼-2层B218</v>
      </c>
      <c r="L258" s="3479">
        <f t="shared" si="14"/>
        <v>9.06</v>
      </c>
      <c r="M258" s="3476">
        <f ca="1">典型户型修正!R279</f>
        <v>2171</v>
      </c>
      <c r="N258" s="3477">
        <f t="shared" ca="1" si="15"/>
        <v>19669</v>
      </c>
    </row>
    <row r="259" spans="1:14" ht="17.55" customHeight="1">
      <c r="A259" s="3461">
        <v>257</v>
      </c>
      <c r="B259" s="3461" t="s">
        <v>4137</v>
      </c>
      <c r="C259" s="3462" t="s">
        <v>4213</v>
      </c>
      <c r="D259" s="3462" t="s">
        <v>4214</v>
      </c>
      <c r="E259" s="3462" t="s">
        <v>4242</v>
      </c>
      <c r="F259" s="3462" t="s">
        <v>3524</v>
      </c>
      <c r="G259" s="3462" t="s">
        <v>4215</v>
      </c>
      <c r="H259" s="3465" t="s">
        <v>4397</v>
      </c>
      <c r="I259" s="3480"/>
      <c r="J259" s="3478">
        <f t="shared" si="16"/>
        <v>257</v>
      </c>
      <c r="K259" s="3479" t="str">
        <f t="shared" si="17"/>
        <v>平谷区兴谷街道寨笆路7号院1号楼-2层B219</v>
      </c>
      <c r="L259" s="3479">
        <f t="shared" si="14"/>
        <v>9.06</v>
      </c>
      <c r="M259" s="3476">
        <f ca="1">典型户型修正!R280</f>
        <v>2171</v>
      </c>
      <c r="N259" s="3477">
        <f t="shared" ca="1" si="15"/>
        <v>19669</v>
      </c>
    </row>
    <row r="260" spans="1:14" ht="17.55" customHeight="1">
      <c r="A260" s="3461">
        <v>258</v>
      </c>
      <c r="B260" s="3461" t="s">
        <v>4137</v>
      </c>
      <c r="C260" s="3462" t="s">
        <v>4216</v>
      </c>
      <c r="D260" s="3462" t="s">
        <v>4217</v>
      </c>
      <c r="E260" s="3462" t="s">
        <v>4367</v>
      </c>
      <c r="F260" s="3462" t="s">
        <v>3524</v>
      </c>
      <c r="G260" s="3462" t="s">
        <v>4218</v>
      </c>
      <c r="H260" s="3465" t="s">
        <v>4391</v>
      </c>
      <c r="I260" s="3480"/>
      <c r="J260" s="3478">
        <f t="shared" si="16"/>
        <v>258</v>
      </c>
      <c r="K260" s="3479" t="str">
        <f t="shared" si="17"/>
        <v>平谷区兴谷街道寨笆路7号院1号楼-2层B220</v>
      </c>
      <c r="L260" s="3479">
        <f t="shared" ref="L260:L265" si="18">E260*$P$3</f>
        <v>10.58</v>
      </c>
      <c r="M260" s="3476">
        <f ca="1">典型户型修正!R281</f>
        <v>2579</v>
      </c>
      <c r="N260" s="3477">
        <f t="shared" ref="N260:N265" ca="1" si="19">ROUND(E260*M260,0)</f>
        <v>27286</v>
      </c>
    </row>
    <row r="261" spans="1:14" ht="17.55" customHeight="1">
      <c r="A261" s="3461">
        <v>259</v>
      </c>
      <c r="B261" s="3461" t="s">
        <v>4137</v>
      </c>
      <c r="C261" s="3462" t="s">
        <v>4219</v>
      </c>
      <c r="D261" s="3462" t="s">
        <v>4220</v>
      </c>
      <c r="E261" s="3462" t="s">
        <v>4368</v>
      </c>
      <c r="F261" s="3462" t="s">
        <v>3524</v>
      </c>
      <c r="G261" s="3462" t="s">
        <v>4221</v>
      </c>
      <c r="H261" s="3465" t="s">
        <v>4397</v>
      </c>
      <c r="I261" s="3480"/>
      <c r="J261" s="3478">
        <f t="shared" si="16"/>
        <v>259</v>
      </c>
      <c r="K261" s="3479" t="str">
        <f t="shared" si="17"/>
        <v>平谷区兴谷街道寨笆路7号院1号楼-2层B221</v>
      </c>
      <c r="L261" s="3479">
        <f t="shared" si="18"/>
        <v>8.23</v>
      </c>
      <c r="M261" s="3476">
        <f ca="1">典型户型修正!R282</f>
        <v>2171</v>
      </c>
      <c r="N261" s="3477">
        <f t="shared" ca="1" si="19"/>
        <v>17867</v>
      </c>
    </row>
    <row r="262" spans="1:14" ht="17.55" customHeight="1">
      <c r="A262" s="3461">
        <v>260</v>
      </c>
      <c r="B262" s="3461" t="s">
        <v>4222</v>
      </c>
      <c r="C262" s="3462" t="s">
        <v>4223</v>
      </c>
      <c r="D262" s="3462" t="s">
        <v>4224</v>
      </c>
      <c r="E262" s="3462" t="s">
        <v>4377</v>
      </c>
      <c r="F262" s="3462" t="s">
        <v>3442</v>
      </c>
      <c r="G262" s="3462" t="s">
        <v>4225</v>
      </c>
      <c r="H262" s="3465" t="s">
        <v>4397</v>
      </c>
      <c r="I262" s="3480"/>
      <c r="J262" s="3478">
        <f t="shared" si="16"/>
        <v>260</v>
      </c>
      <c r="K262" s="3479" t="str">
        <f t="shared" si="17"/>
        <v>平谷区兴谷街道寨笆路7号院2号楼-1层B110</v>
      </c>
      <c r="L262" s="3479">
        <f t="shared" si="18"/>
        <v>10.45</v>
      </c>
      <c r="M262" s="3476">
        <f ca="1">典型户型修正!R283</f>
        <v>2388</v>
      </c>
      <c r="N262" s="3477">
        <f t="shared" ca="1" si="19"/>
        <v>24955</v>
      </c>
    </row>
    <row r="263" spans="1:14" ht="17.55" customHeight="1">
      <c r="A263" s="3461">
        <v>261</v>
      </c>
      <c r="B263" s="3461" t="s">
        <v>4222</v>
      </c>
      <c r="C263" s="3462" t="s">
        <v>4226</v>
      </c>
      <c r="D263" s="3462" t="s">
        <v>4227</v>
      </c>
      <c r="E263" s="3462" t="s">
        <v>4378</v>
      </c>
      <c r="F263" s="3462" t="s">
        <v>3442</v>
      </c>
      <c r="G263" s="3462" t="s">
        <v>4228</v>
      </c>
      <c r="H263" s="3465" t="s">
        <v>4397</v>
      </c>
      <c r="I263" s="3480"/>
      <c r="J263" s="3478">
        <f t="shared" si="16"/>
        <v>261</v>
      </c>
      <c r="K263" s="3479" t="str">
        <f t="shared" si="17"/>
        <v>平谷区兴谷街道寨笆路7号院2号楼-1层B111</v>
      </c>
      <c r="L263" s="3479">
        <f t="shared" si="18"/>
        <v>10.45</v>
      </c>
      <c r="M263" s="3476">
        <f ca="1">典型户型修正!R284</f>
        <v>2388</v>
      </c>
      <c r="N263" s="3477">
        <f t="shared" ca="1" si="19"/>
        <v>24955</v>
      </c>
    </row>
    <row r="264" spans="1:14" ht="17.55" customHeight="1">
      <c r="A264" s="3461">
        <v>262</v>
      </c>
      <c r="B264" s="3461" t="s">
        <v>4222</v>
      </c>
      <c r="C264" s="3462" t="s">
        <v>4229</v>
      </c>
      <c r="D264" s="3462" t="s">
        <v>4230</v>
      </c>
      <c r="E264" s="3462" t="s">
        <v>4378</v>
      </c>
      <c r="F264" s="3462" t="s">
        <v>3442</v>
      </c>
      <c r="G264" s="3462" t="s">
        <v>4231</v>
      </c>
      <c r="H264" s="3465" t="s">
        <v>4397</v>
      </c>
      <c r="I264" s="3480"/>
      <c r="J264" s="3478">
        <f t="shared" si="16"/>
        <v>262</v>
      </c>
      <c r="K264" s="3479" t="str">
        <f t="shared" si="17"/>
        <v>平谷区兴谷街道寨笆路7号院2号楼-1层B112</v>
      </c>
      <c r="L264" s="3479">
        <f t="shared" si="18"/>
        <v>10.45</v>
      </c>
      <c r="M264" s="3476">
        <f ca="1">典型户型修正!R285</f>
        <v>2388</v>
      </c>
      <c r="N264" s="3477">
        <f t="shared" ca="1" si="19"/>
        <v>24955</v>
      </c>
    </row>
    <row r="265" spans="1:14" ht="17.55" customHeight="1">
      <c r="A265" s="3461">
        <v>263</v>
      </c>
      <c r="B265" s="3461" t="s">
        <v>4222</v>
      </c>
      <c r="C265" s="3462" t="s">
        <v>4232</v>
      </c>
      <c r="D265" s="3462" t="s">
        <v>4233</v>
      </c>
      <c r="E265" s="3462" t="s">
        <v>4379</v>
      </c>
      <c r="F265" s="3462" t="s">
        <v>3442</v>
      </c>
      <c r="G265" s="3462" t="s">
        <v>4234</v>
      </c>
      <c r="H265" s="3465" t="s">
        <v>4397</v>
      </c>
      <c r="I265" s="3480"/>
      <c r="J265" s="3478">
        <f t="shared" si="16"/>
        <v>263</v>
      </c>
      <c r="K265" s="3479" t="str">
        <f t="shared" si="17"/>
        <v>平谷区兴谷街道寨笆路7号院2号楼-1层B114</v>
      </c>
      <c r="L265" s="3479">
        <f t="shared" si="18"/>
        <v>8.19</v>
      </c>
      <c r="M265" s="3476">
        <f ca="1">典型户型修正!R286</f>
        <v>2412</v>
      </c>
      <c r="N265" s="3477">
        <f t="shared" ca="1" si="19"/>
        <v>19754</v>
      </c>
    </row>
    <row r="266" spans="1:14" ht="17.55" customHeight="1">
      <c r="E266" s="3487">
        <f>SUM(E3:E265)</f>
        <v>0</v>
      </c>
      <c r="J266" s="3838" t="s">
        <v>4547</v>
      </c>
      <c r="K266" s="3839"/>
      <c r="L266" s="3478">
        <f>SUM(L3:L265)</f>
        <v>2310.5099999999975</v>
      </c>
      <c r="M266" s="3478"/>
      <c r="N266" s="3478">
        <f ca="1">SUM(N3:N265)</f>
        <v>5428000</v>
      </c>
    </row>
  </sheetData>
  <autoFilter ref="A2:H266"/>
  <mergeCells count="2">
    <mergeCell ref="A1:G1"/>
    <mergeCell ref="J266:K266"/>
  </mergeCells>
  <phoneticPr fontId="134" type="noConversion"/>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115" zoomScaleNormal="115" workbookViewId="0">
      <selection activeCell="G14" sqref="G14"/>
    </sheetView>
  </sheetViews>
  <sheetFormatPr defaultRowHeight="14.4"/>
  <cols>
    <col min="1" max="1" width="28.33203125" customWidth="1"/>
    <col min="2" max="2" width="11.6640625" style="3499" customWidth="1"/>
    <col min="3" max="3" width="11.88671875" style="3499" customWidth="1"/>
  </cols>
  <sheetData>
    <row r="1" spans="1:3">
      <c r="B1" s="3498" t="s">
        <v>4466</v>
      </c>
      <c r="C1" s="3498" t="s">
        <v>4467</v>
      </c>
    </row>
    <row r="2" spans="1:3">
      <c r="A2" s="3497" t="s">
        <v>4465</v>
      </c>
      <c r="B2" s="3498" t="s">
        <v>4468</v>
      </c>
      <c r="C2" s="3498" t="s">
        <v>4469</v>
      </c>
    </row>
    <row r="3" spans="1:3">
      <c r="A3" s="3497" t="s">
        <v>4549</v>
      </c>
      <c r="B3" s="3498" t="s">
        <v>4470</v>
      </c>
      <c r="C3" s="3498" t="s">
        <v>4471</v>
      </c>
    </row>
    <row r="4" spans="1:3">
      <c r="A4" s="3497" t="s">
        <v>4539</v>
      </c>
      <c r="B4" s="3498" t="s">
        <v>4472</v>
      </c>
      <c r="C4" s="3498" t="s">
        <v>4473</v>
      </c>
    </row>
    <row r="5" spans="1:3">
      <c r="A5" s="3510" t="s">
        <v>4548</v>
      </c>
      <c r="B5" s="3511" t="s">
        <v>4472</v>
      </c>
      <c r="C5" s="3511" t="s">
        <v>4475</v>
      </c>
    </row>
    <row r="6" spans="1:3">
      <c r="A6" s="3497" t="s">
        <v>4476</v>
      </c>
      <c r="B6" s="3498" t="s">
        <v>4477</v>
      </c>
      <c r="C6" s="3498" t="s">
        <v>4478</v>
      </c>
    </row>
    <row r="7" spans="1:3">
      <c r="A7" s="3497" t="s">
        <v>4479</v>
      </c>
      <c r="B7" s="3498" t="s">
        <v>4480</v>
      </c>
      <c r="C7" s="3499">
        <v>0.3</v>
      </c>
    </row>
    <row r="8" spans="1:3">
      <c r="A8" s="3510" t="s">
        <v>4550</v>
      </c>
      <c r="B8" s="3511" t="s">
        <v>4482</v>
      </c>
      <c r="C8" s="3511" t="s">
        <v>4481</v>
      </c>
    </row>
    <row r="9" spans="1:3">
      <c r="A9" s="3497" t="s">
        <v>4483</v>
      </c>
      <c r="B9" s="3498" t="s">
        <v>4484</v>
      </c>
      <c r="C9" s="3498" t="s">
        <v>4485</v>
      </c>
    </row>
    <row r="13" spans="1:3">
      <c r="A13" s="3497" t="s">
        <v>4546</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6"/>
  <sheetViews>
    <sheetView topLeftCell="A158" workbookViewId="0">
      <selection activeCell="M270" sqref="M270"/>
    </sheetView>
  </sheetViews>
  <sheetFormatPr defaultRowHeight="14.4"/>
  <cols>
    <col min="7" max="7" width="9.44140625" bestFit="1" customWidth="1"/>
  </cols>
  <sheetData>
    <row r="1" spans="1:10">
      <c r="A1" s="3492" t="s">
        <v>4414</v>
      </c>
      <c r="B1" s="3841" t="s">
        <v>4421</v>
      </c>
      <c r="C1" s="3842"/>
      <c r="D1" s="3842"/>
      <c r="E1" s="3842"/>
      <c r="F1" s="3842"/>
      <c r="G1" s="3842"/>
      <c r="H1" s="3843"/>
      <c r="J1">
        <v>1</v>
      </c>
    </row>
    <row r="2" spans="1:10">
      <c r="A2" s="3492" t="s">
        <v>4415</v>
      </c>
      <c r="B2" s="3844" t="s">
        <v>4416</v>
      </c>
      <c r="C2" s="3845"/>
      <c r="D2" s="3846"/>
      <c r="E2" s="3489" t="s">
        <v>4417</v>
      </c>
      <c r="F2" s="3844" t="s">
        <v>4418</v>
      </c>
      <c r="G2" s="3845"/>
      <c r="H2" s="3846"/>
    </row>
    <row r="3" spans="1:10" ht="15" customHeight="1">
      <c r="A3" s="3492" t="s">
        <v>4419</v>
      </c>
      <c r="B3" s="3841" t="s">
        <v>4422</v>
      </c>
      <c r="C3" s="3842"/>
      <c r="D3" s="3843"/>
      <c r="E3" s="3489" t="s">
        <v>4420</v>
      </c>
      <c r="F3" s="3844" t="s">
        <v>4423</v>
      </c>
      <c r="G3" s="3845"/>
      <c r="H3" s="3846"/>
    </row>
    <row r="4" spans="1:10" ht="25.8">
      <c r="A4" s="3488" t="s">
        <v>4404</v>
      </c>
      <c r="B4" s="3489" t="s">
        <v>4405</v>
      </c>
      <c r="C4" s="3489" t="s">
        <v>4406</v>
      </c>
      <c r="D4" s="3489" t="s">
        <v>4407</v>
      </c>
      <c r="E4" s="3489" t="s">
        <v>4408</v>
      </c>
      <c r="F4" s="3489" t="s">
        <v>4409</v>
      </c>
      <c r="G4" s="3489" t="s">
        <v>4413</v>
      </c>
      <c r="H4" s="3489" t="s">
        <v>672</v>
      </c>
    </row>
    <row r="5" spans="1:10">
      <c r="A5" s="3490" t="s">
        <v>3439</v>
      </c>
      <c r="B5" s="3491">
        <v>22</v>
      </c>
      <c r="C5" s="3491" t="s">
        <v>3442</v>
      </c>
      <c r="D5" s="3491" t="s">
        <v>3441</v>
      </c>
      <c r="E5" s="3491" t="s">
        <v>4411</v>
      </c>
      <c r="F5" s="3491" t="s">
        <v>4410</v>
      </c>
      <c r="G5" s="3493">
        <f>I5*$J$1</f>
        <v>10.32</v>
      </c>
      <c r="H5" s="3491" t="s">
        <v>4412</v>
      </c>
      <c r="I5" s="3493">
        <v>10.32</v>
      </c>
    </row>
    <row r="6" spans="1:10">
      <c r="A6" s="3490" t="s">
        <v>3439</v>
      </c>
      <c r="B6" s="3491">
        <v>22</v>
      </c>
      <c r="C6" s="3491" t="s">
        <v>3442</v>
      </c>
      <c r="D6" s="3491" t="s">
        <v>3445</v>
      </c>
      <c r="E6" s="3491" t="s">
        <v>4411</v>
      </c>
      <c r="F6" s="3491" t="s">
        <v>4410</v>
      </c>
      <c r="G6" s="3493">
        <f t="shared" ref="G6:G69" si="0">I6*$J$1</f>
        <v>8.1999999999999993</v>
      </c>
      <c r="H6" s="3491" t="s">
        <v>4412</v>
      </c>
      <c r="I6" s="3493">
        <v>8.1999999999999993</v>
      </c>
    </row>
    <row r="7" spans="1:10">
      <c r="A7" s="3490" t="s">
        <v>3439</v>
      </c>
      <c r="B7" s="3491">
        <v>22</v>
      </c>
      <c r="C7" s="3491" t="s">
        <v>3442</v>
      </c>
      <c r="D7" s="3491" t="s">
        <v>3448</v>
      </c>
      <c r="E7" s="3491" t="s">
        <v>4411</v>
      </c>
      <c r="F7" s="3491" t="s">
        <v>4410</v>
      </c>
      <c r="G7" s="3493">
        <f t="shared" si="0"/>
        <v>10.63</v>
      </c>
      <c r="H7" s="3491" t="s">
        <v>4412</v>
      </c>
      <c r="I7" s="3493" t="s">
        <v>4295</v>
      </c>
    </row>
    <row r="8" spans="1:10">
      <c r="A8" s="3490" t="s">
        <v>3439</v>
      </c>
      <c r="B8" s="3491">
        <v>22</v>
      </c>
      <c r="C8" s="3491" t="s">
        <v>3442</v>
      </c>
      <c r="D8" s="3491" t="s">
        <v>3451</v>
      </c>
      <c r="E8" s="3491" t="s">
        <v>4411</v>
      </c>
      <c r="F8" s="3491" t="s">
        <v>4410</v>
      </c>
      <c r="G8" s="3493">
        <f t="shared" si="0"/>
        <v>10.5</v>
      </c>
      <c r="H8" s="3491" t="s">
        <v>4412</v>
      </c>
      <c r="I8" s="3493" t="s">
        <v>4292</v>
      </c>
    </row>
    <row r="9" spans="1:10">
      <c r="A9" s="3490" t="s">
        <v>3439</v>
      </c>
      <c r="B9" s="3491">
        <v>22</v>
      </c>
      <c r="C9" s="3491" t="s">
        <v>3442</v>
      </c>
      <c r="D9" s="3491" t="s">
        <v>3454</v>
      </c>
      <c r="E9" s="3491" t="s">
        <v>4411</v>
      </c>
      <c r="F9" s="3491" t="s">
        <v>4410</v>
      </c>
      <c r="G9" s="3493">
        <f t="shared" si="0"/>
        <v>7.68</v>
      </c>
      <c r="H9" s="3491" t="s">
        <v>4412</v>
      </c>
      <c r="I9" s="3493" t="s">
        <v>4236</v>
      </c>
    </row>
    <row r="10" spans="1:10">
      <c r="A10" s="3490" t="s">
        <v>3439</v>
      </c>
      <c r="B10" s="3491">
        <v>22</v>
      </c>
      <c r="C10" s="3491" t="s">
        <v>3442</v>
      </c>
      <c r="D10" s="3491" t="s">
        <v>3457</v>
      </c>
      <c r="E10" s="3491" t="s">
        <v>4411</v>
      </c>
      <c r="F10" s="3491" t="s">
        <v>4410</v>
      </c>
      <c r="G10" s="3493">
        <f t="shared" si="0"/>
        <v>8.31</v>
      </c>
      <c r="H10" s="3491" t="s">
        <v>4412</v>
      </c>
      <c r="I10" s="3493" t="s">
        <v>4237</v>
      </c>
    </row>
    <row r="11" spans="1:10">
      <c r="A11" s="3490" t="s">
        <v>3439</v>
      </c>
      <c r="B11" s="3491">
        <v>22</v>
      </c>
      <c r="C11" s="3491" t="s">
        <v>3442</v>
      </c>
      <c r="D11" s="3491" t="s">
        <v>3460</v>
      </c>
      <c r="E11" s="3491" t="s">
        <v>4411</v>
      </c>
      <c r="F11" s="3491" t="s">
        <v>4410</v>
      </c>
      <c r="G11" s="3493">
        <f t="shared" si="0"/>
        <v>10.6</v>
      </c>
      <c r="H11" s="3491" t="s">
        <v>4412</v>
      </c>
      <c r="I11" s="3493" t="s">
        <v>4235</v>
      </c>
    </row>
    <row r="12" spans="1:10">
      <c r="A12" s="3490" t="s">
        <v>3439</v>
      </c>
      <c r="B12" s="3491">
        <v>22</v>
      </c>
      <c r="C12" s="3491" t="s">
        <v>3442</v>
      </c>
      <c r="D12" s="3491" t="s">
        <v>3463</v>
      </c>
      <c r="E12" s="3491" t="s">
        <v>4411</v>
      </c>
      <c r="F12" s="3491" t="s">
        <v>4410</v>
      </c>
      <c r="G12" s="3493">
        <f t="shared" si="0"/>
        <v>10.6</v>
      </c>
      <c r="H12" s="3491" t="s">
        <v>4412</v>
      </c>
      <c r="I12" s="3493" t="s">
        <v>4235</v>
      </c>
    </row>
    <row r="13" spans="1:10">
      <c r="A13" s="3490" t="s">
        <v>3439</v>
      </c>
      <c r="B13" s="3491">
        <v>22</v>
      </c>
      <c r="C13" s="3491" t="s">
        <v>3442</v>
      </c>
      <c r="D13" s="3491" t="s">
        <v>3466</v>
      </c>
      <c r="E13" s="3491" t="s">
        <v>4411</v>
      </c>
      <c r="F13" s="3491" t="s">
        <v>4410</v>
      </c>
      <c r="G13" s="3493">
        <f t="shared" si="0"/>
        <v>10.6</v>
      </c>
      <c r="H13" s="3491" t="s">
        <v>4412</v>
      </c>
      <c r="I13" s="3493" t="s">
        <v>4235</v>
      </c>
    </row>
    <row r="14" spans="1:10">
      <c r="A14" s="3490" t="s">
        <v>3439</v>
      </c>
      <c r="B14" s="3491">
        <v>22</v>
      </c>
      <c r="C14" s="3491" t="s">
        <v>3442</v>
      </c>
      <c r="D14" s="3491" t="s">
        <v>3469</v>
      </c>
      <c r="E14" s="3491" t="s">
        <v>4411</v>
      </c>
      <c r="F14" s="3491" t="s">
        <v>4410</v>
      </c>
      <c r="G14" s="3493">
        <f t="shared" si="0"/>
        <v>10.6</v>
      </c>
      <c r="H14" s="3491" t="s">
        <v>4412</v>
      </c>
      <c r="I14" s="3493" t="s">
        <v>4235</v>
      </c>
    </row>
    <row r="15" spans="1:10">
      <c r="A15" s="3490" t="s">
        <v>3439</v>
      </c>
      <c r="B15" s="3491">
        <v>22</v>
      </c>
      <c r="C15" s="3491" t="s">
        <v>3442</v>
      </c>
      <c r="D15" s="3491" t="s">
        <v>3472</v>
      </c>
      <c r="E15" s="3491" t="s">
        <v>4411</v>
      </c>
      <c r="F15" s="3491" t="s">
        <v>4410</v>
      </c>
      <c r="G15" s="3493">
        <f t="shared" si="0"/>
        <v>8.31</v>
      </c>
      <c r="H15" s="3491" t="s">
        <v>4412</v>
      </c>
      <c r="I15" s="3493" t="s">
        <v>4237</v>
      </c>
    </row>
    <row r="16" spans="1:10">
      <c r="A16" s="3490" t="s">
        <v>3439</v>
      </c>
      <c r="B16" s="3491">
        <v>22</v>
      </c>
      <c r="C16" s="3491" t="s">
        <v>3442</v>
      </c>
      <c r="D16" s="3491" t="s">
        <v>3475</v>
      </c>
      <c r="E16" s="3491" t="s">
        <v>4411</v>
      </c>
      <c r="F16" s="3491" t="s">
        <v>4410</v>
      </c>
      <c r="G16" s="3493">
        <f t="shared" si="0"/>
        <v>7.68</v>
      </c>
      <c r="H16" s="3491" t="s">
        <v>4412</v>
      </c>
      <c r="I16" s="3493" t="s">
        <v>4236</v>
      </c>
    </row>
    <row r="17" spans="1:9">
      <c r="A17" s="3490" t="s">
        <v>3439</v>
      </c>
      <c r="B17" s="3491">
        <v>22</v>
      </c>
      <c r="C17" s="3491" t="s">
        <v>3442</v>
      </c>
      <c r="D17" s="3491" t="s">
        <v>3478</v>
      </c>
      <c r="E17" s="3491" t="s">
        <v>4411</v>
      </c>
      <c r="F17" s="3491" t="s">
        <v>4410</v>
      </c>
      <c r="G17" s="3493">
        <f t="shared" si="0"/>
        <v>6.43</v>
      </c>
      <c r="H17" s="3491" t="s">
        <v>4412</v>
      </c>
      <c r="I17" s="3493" t="s">
        <v>4238</v>
      </c>
    </row>
    <row r="18" spans="1:9">
      <c r="A18" s="3490" t="s">
        <v>3439</v>
      </c>
      <c r="B18" s="3491">
        <v>22</v>
      </c>
      <c r="C18" s="3491" t="s">
        <v>3442</v>
      </c>
      <c r="D18" s="3491" t="s">
        <v>3481</v>
      </c>
      <c r="E18" s="3491" t="s">
        <v>4411</v>
      </c>
      <c r="F18" s="3491" t="s">
        <v>4410</v>
      </c>
      <c r="G18" s="3493">
        <f t="shared" si="0"/>
        <v>4.4000000000000004</v>
      </c>
      <c r="H18" s="3491" t="s">
        <v>4412</v>
      </c>
      <c r="I18" s="3493" t="s">
        <v>4239</v>
      </c>
    </row>
    <row r="19" spans="1:9">
      <c r="A19" s="3490" t="s">
        <v>3439</v>
      </c>
      <c r="B19" s="3491">
        <v>22</v>
      </c>
      <c r="C19" s="3491" t="s">
        <v>3442</v>
      </c>
      <c r="D19" s="3491" t="s">
        <v>3484</v>
      </c>
      <c r="E19" s="3491" t="s">
        <v>4411</v>
      </c>
      <c r="F19" s="3491" t="s">
        <v>4410</v>
      </c>
      <c r="G19" s="3493">
        <f t="shared" si="0"/>
        <v>10.56</v>
      </c>
      <c r="H19" s="3491" t="s">
        <v>4412</v>
      </c>
      <c r="I19" s="3493" t="s">
        <v>4240</v>
      </c>
    </row>
    <row r="20" spans="1:9">
      <c r="A20" s="3490" t="s">
        <v>3439</v>
      </c>
      <c r="B20" s="3491">
        <v>22</v>
      </c>
      <c r="C20" s="3491" t="s">
        <v>3442</v>
      </c>
      <c r="D20" s="3491" t="s">
        <v>3487</v>
      </c>
      <c r="E20" s="3491" t="s">
        <v>4411</v>
      </c>
      <c r="F20" s="3491" t="s">
        <v>4410</v>
      </c>
      <c r="G20" s="3493">
        <f t="shared" si="0"/>
        <v>4.4000000000000004</v>
      </c>
      <c r="H20" s="3491" t="s">
        <v>4412</v>
      </c>
      <c r="I20" s="3493" t="s">
        <v>4239</v>
      </c>
    </row>
    <row r="21" spans="1:9">
      <c r="A21" s="3490" t="s">
        <v>3439</v>
      </c>
      <c r="B21" s="3491">
        <v>22</v>
      </c>
      <c r="C21" s="3491" t="s">
        <v>3442</v>
      </c>
      <c r="D21" s="3491" t="s">
        <v>3490</v>
      </c>
      <c r="E21" s="3491" t="s">
        <v>4411</v>
      </c>
      <c r="F21" s="3491" t="s">
        <v>4410</v>
      </c>
      <c r="G21" s="3493">
        <f t="shared" si="0"/>
        <v>6.43</v>
      </c>
      <c r="H21" s="3491" t="s">
        <v>4412</v>
      </c>
      <c r="I21" s="3493" t="s">
        <v>4238</v>
      </c>
    </row>
    <row r="22" spans="1:9">
      <c r="A22" s="3490" t="s">
        <v>3439</v>
      </c>
      <c r="B22" s="3491">
        <v>22</v>
      </c>
      <c r="C22" s="3491" t="s">
        <v>3442</v>
      </c>
      <c r="D22" s="3491" t="s">
        <v>3493</v>
      </c>
      <c r="E22" s="3491" t="s">
        <v>4411</v>
      </c>
      <c r="F22" s="3491" t="s">
        <v>4410</v>
      </c>
      <c r="G22" s="3493">
        <f t="shared" si="0"/>
        <v>10.6</v>
      </c>
      <c r="H22" s="3491" t="s">
        <v>4412</v>
      </c>
      <c r="I22" s="3493" t="s">
        <v>4235</v>
      </c>
    </row>
    <row r="23" spans="1:9">
      <c r="A23" s="3490" t="s">
        <v>3439</v>
      </c>
      <c r="B23" s="3491">
        <v>22</v>
      </c>
      <c r="C23" s="3491" t="s">
        <v>3442</v>
      </c>
      <c r="D23" s="3491" t="s">
        <v>3496</v>
      </c>
      <c r="E23" s="3491" t="s">
        <v>4411</v>
      </c>
      <c r="F23" s="3491" t="s">
        <v>4410</v>
      </c>
      <c r="G23" s="3493">
        <f t="shared" si="0"/>
        <v>10.6</v>
      </c>
      <c r="H23" s="3491" t="s">
        <v>4412</v>
      </c>
      <c r="I23" s="3493" t="s">
        <v>4235</v>
      </c>
    </row>
    <row r="24" spans="1:9">
      <c r="A24" s="3490" t="s">
        <v>3439</v>
      </c>
      <c r="B24" s="3491">
        <v>22</v>
      </c>
      <c r="C24" s="3491" t="s">
        <v>3442</v>
      </c>
      <c r="D24" s="3491" t="s">
        <v>3499</v>
      </c>
      <c r="E24" s="3491" t="s">
        <v>4411</v>
      </c>
      <c r="F24" s="3491" t="s">
        <v>4410</v>
      </c>
      <c r="G24" s="3493">
        <f t="shared" si="0"/>
        <v>10.6</v>
      </c>
      <c r="H24" s="3491" t="s">
        <v>4412</v>
      </c>
      <c r="I24" s="3493" t="s">
        <v>4235</v>
      </c>
    </row>
    <row r="25" spans="1:9">
      <c r="A25" s="3490" t="s">
        <v>3439</v>
      </c>
      <c r="B25" s="3491">
        <v>22</v>
      </c>
      <c r="C25" s="3491" t="s">
        <v>3442</v>
      </c>
      <c r="D25" s="3491" t="s">
        <v>3502</v>
      </c>
      <c r="E25" s="3491" t="s">
        <v>4411</v>
      </c>
      <c r="F25" s="3491" t="s">
        <v>4410</v>
      </c>
      <c r="G25" s="3493">
        <f t="shared" si="0"/>
        <v>10.6</v>
      </c>
      <c r="H25" s="3491" t="s">
        <v>4412</v>
      </c>
      <c r="I25" s="3493" t="s">
        <v>4235</v>
      </c>
    </row>
    <row r="26" spans="1:9">
      <c r="A26" s="3490" t="s">
        <v>3439</v>
      </c>
      <c r="B26" s="3491">
        <v>22</v>
      </c>
      <c r="C26" s="3491" t="s">
        <v>3442</v>
      </c>
      <c r="D26" s="3491" t="s">
        <v>3505</v>
      </c>
      <c r="E26" s="3491" t="s">
        <v>4411</v>
      </c>
      <c r="F26" s="3491" t="s">
        <v>4410</v>
      </c>
      <c r="G26" s="3493">
        <f t="shared" si="0"/>
        <v>8.31</v>
      </c>
      <c r="H26" s="3491" t="s">
        <v>4412</v>
      </c>
      <c r="I26" s="3493" t="s">
        <v>4237</v>
      </c>
    </row>
    <row r="27" spans="1:9">
      <c r="A27" s="3490" t="s">
        <v>3439</v>
      </c>
      <c r="B27" s="3491">
        <v>22</v>
      </c>
      <c r="C27" s="3491" t="s">
        <v>3442</v>
      </c>
      <c r="D27" s="3491" t="s">
        <v>3508</v>
      </c>
      <c r="E27" s="3491" t="s">
        <v>4411</v>
      </c>
      <c r="F27" s="3491" t="s">
        <v>4410</v>
      </c>
      <c r="G27" s="3493">
        <f t="shared" si="0"/>
        <v>7.58</v>
      </c>
      <c r="H27" s="3491" t="s">
        <v>4412</v>
      </c>
      <c r="I27" s="3493" t="s">
        <v>4276</v>
      </c>
    </row>
    <row r="28" spans="1:9">
      <c r="A28" s="3490" t="s">
        <v>3439</v>
      </c>
      <c r="B28" s="3491">
        <v>22</v>
      </c>
      <c r="C28" s="3491" t="s">
        <v>3442</v>
      </c>
      <c r="D28" s="3491" t="s">
        <v>3511</v>
      </c>
      <c r="E28" s="3491" t="s">
        <v>4411</v>
      </c>
      <c r="F28" s="3491" t="s">
        <v>4410</v>
      </c>
      <c r="G28" s="3493">
        <f t="shared" si="0"/>
        <v>10.5</v>
      </c>
      <c r="H28" s="3491" t="s">
        <v>4412</v>
      </c>
      <c r="I28" s="3493" t="s">
        <v>4292</v>
      </c>
    </row>
    <row r="29" spans="1:9">
      <c r="A29" s="3490" t="s">
        <v>3439</v>
      </c>
      <c r="B29" s="3491">
        <v>22</v>
      </c>
      <c r="C29" s="3491" t="s">
        <v>3442</v>
      </c>
      <c r="D29" s="3491" t="s">
        <v>3514</v>
      </c>
      <c r="E29" s="3491" t="s">
        <v>4411</v>
      </c>
      <c r="F29" s="3491" t="s">
        <v>4410</v>
      </c>
      <c r="G29" s="3493">
        <f t="shared" si="0"/>
        <v>10.7</v>
      </c>
      <c r="H29" s="3491" t="s">
        <v>4412</v>
      </c>
      <c r="I29" s="3493" t="s">
        <v>4316</v>
      </c>
    </row>
    <row r="30" spans="1:9">
      <c r="A30" s="3490" t="s">
        <v>3439</v>
      </c>
      <c r="B30" s="3491">
        <v>22</v>
      </c>
      <c r="C30" s="3491" t="s">
        <v>3442</v>
      </c>
      <c r="D30" s="3491" t="s">
        <v>3517</v>
      </c>
      <c r="E30" s="3491" t="s">
        <v>4411</v>
      </c>
      <c r="F30" s="3491" t="s">
        <v>4410</v>
      </c>
      <c r="G30" s="3493">
        <f t="shared" si="0"/>
        <v>8.32</v>
      </c>
      <c r="H30" s="3491" t="s">
        <v>4412</v>
      </c>
      <c r="I30" s="3493" t="s">
        <v>4248</v>
      </c>
    </row>
    <row r="31" spans="1:9">
      <c r="A31" s="3490" t="s">
        <v>3439</v>
      </c>
      <c r="B31" s="3491">
        <v>22</v>
      </c>
      <c r="C31" s="3491" t="s">
        <v>3442</v>
      </c>
      <c r="D31" s="3491" t="s">
        <v>3520</v>
      </c>
      <c r="E31" s="3491" t="s">
        <v>4411</v>
      </c>
      <c r="F31" s="3491" t="s">
        <v>4410</v>
      </c>
      <c r="G31" s="3493">
        <f t="shared" si="0"/>
        <v>10.4</v>
      </c>
      <c r="H31" s="3491" t="s">
        <v>4412</v>
      </c>
      <c r="I31" s="3493" t="s">
        <v>4293</v>
      </c>
    </row>
    <row r="32" spans="1:9">
      <c r="A32" s="3490" t="s">
        <v>3439</v>
      </c>
      <c r="B32" s="3491">
        <v>22</v>
      </c>
      <c r="C32" s="3491" t="s">
        <v>3524</v>
      </c>
      <c r="D32" s="3491" t="s">
        <v>3523</v>
      </c>
      <c r="E32" s="3491" t="s">
        <v>4411</v>
      </c>
      <c r="F32" s="3491" t="s">
        <v>4410</v>
      </c>
      <c r="G32" s="3493">
        <f t="shared" si="0"/>
        <v>10.32</v>
      </c>
      <c r="H32" s="3491" t="s">
        <v>4412</v>
      </c>
      <c r="I32" s="3493" t="s">
        <v>4241</v>
      </c>
    </row>
    <row r="33" spans="1:9">
      <c r="A33" s="3490" t="s">
        <v>3439</v>
      </c>
      <c r="B33" s="3491">
        <v>22</v>
      </c>
      <c r="C33" s="3491" t="s">
        <v>3524</v>
      </c>
      <c r="D33" s="3491" t="s">
        <v>3527</v>
      </c>
      <c r="E33" s="3491" t="s">
        <v>4411</v>
      </c>
      <c r="F33" s="3491" t="s">
        <v>4410</v>
      </c>
      <c r="G33" s="3493">
        <f t="shared" si="0"/>
        <v>9.06</v>
      </c>
      <c r="H33" s="3491" t="s">
        <v>4412</v>
      </c>
      <c r="I33" s="3493" t="s">
        <v>4242</v>
      </c>
    </row>
    <row r="34" spans="1:9">
      <c r="A34" s="3490" t="s">
        <v>3439</v>
      </c>
      <c r="B34" s="3491">
        <v>22</v>
      </c>
      <c r="C34" s="3491" t="s">
        <v>3524</v>
      </c>
      <c r="D34" s="3491" t="s">
        <v>3530</v>
      </c>
      <c r="E34" s="3491" t="s">
        <v>4411</v>
      </c>
      <c r="F34" s="3491" t="s">
        <v>4410</v>
      </c>
      <c r="G34" s="3493">
        <f t="shared" si="0"/>
        <v>9.06</v>
      </c>
      <c r="H34" s="3491" t="s">
        <v>4412</v>
      </c>
      <c r="I34" s="3493" t="s">
        <v>4242</v>
      </c>
    </row>
    <row r="35" spans="1:9">
      <c r="A35" s="3490" t="s">
        <v>3439</v>
      </c>
      <c r="B35" s="3491">
        <v>22</v>
      </c>
      <c r="C35" s="3491" t="s">
        <v>3524</v>
      </c>
      <c r="D35" s="3491" t="s">
        <v>3533</v>
      </c>
      <c r="E35" s="3491" t="s">
        <v>4411</v>
      </c>
      <c r="F35" s="3491" t="s">
        <v>4410</v>
      </c>
      <c r="G35" s="3493">
        <f t="shared" si="0"/>
        <v>6.9</v>
      </c>
      <c r="H35" s="3491" t="s">
        <v>4412</v>
      </c>
      <c r="I35" s="3493" t="s">
        <v>4256</v>
      </c>
    </row>
    <row r="36" spans="1:9">
      <c r="A36" s="3490" t="s">
        <v>3439</v>
      </c>
      <c r="B36" s="3491">
        <v>22</v>
      </c>
      <c r="C36" s="3491" t="s">
        <v>3524</v>
      </c>
      <c r="D36" s="3491" t="s">
        <v>3536</v>
      </c>
      <c r="E36" s="3491" t="s">
        <v>4411</v>
      </c>
      <c r="F36" s="3491" t="s">
        <v>4410</v>
      </c>
      <c r="G36" s="3493">
        <f t="shared" si="0"/>
        <v>11.93</v>
      </c>
      <c r="H36" s="3491" t="s">
        <v>4412</v>
      </c>
      <c r="I36" s="3493" t="s">
        <v>4243</v>
      </c>
    </row>
    <row r="37" spans="1:9">
      <c r="A37" s="3490" t="s">
        <v>3439</v>
      </c>
      <c r="B37" s="3491">
        <v>22</v>
      </c>
      <c r="C37" s="3491" t="s">
        <v>3524</v>
      </c>
      <c r="D37" s="3491" t="s">
        <v>3539</v>
      </c>
      <c r="E37" s="3491" t="s">
        <v>4411</v>
      </c>
      <c r="F37" s="3491" t="s">
        <v>4410</v>
      </c>
      <c r="G37" s="3493">
        <f t="shared" si="0"/>
        <v>5.27</v>
      </c>
      <c r="H37" s="3491" t="s">
        <v>4412</v>
      </c>
      <c r="I37" s="3493" t="s">
        <v>4244</v>
      </c>
    </row>
    <row r="38" spans="1:9">
      <c r="A38" s="3490" t="s">
        <v>3439</v>
      </c>
      <c r="B38" s="3491">
        <v>22</v>
      </c>
      <c r="C38" s="3491" t="s">
        <v>3524</v>
      </c>
      <c r="D38" s="3491" t="s">
        <v>3542</v>
      </c>
      <c r="E38" s="3491" t="s">
        <v>4411</v>
      </c>
      <c r="F38" s="3491" t="s">
        <v>4410</v>
      </c>
      <c r="G38" s="3493">
        <f t="shared" si="0"/>
        <v>8.31</v>
      </c>
      <c r="H38" s="3491" t="s">
        <v>4412</v>
      </c>
      <c r="I38" s="3493" t="s">
        <v>4237</v>
      </c>
    </row>
    <row r="39" spans="1:9">
      <c r="A39" s="3490" t="s">
        <v>3439</v>
      </c>
      <c r="B39" s="3491">
        <v>22</v>
      </c>
      <c r="C39" s="3491" t="s">
        <v>3524</v>
      </c>
      <c r="D39" s="3491" t="s">
        <v>3545</v>
      </c>
      <c r="E39" s="3491" t="s">
        <v>4411</v>
      </c>
      <c r="F39" s="3491" t="s">
        <v>4410</v>
      </c>
      <c r="G39" s="3493">
        <f t="shared" si="0"/>
        <v>6.8</v>
      </c>
      <c r="H39" s="3491" t="s">
        <v>4412</v>
      </c>
      <c r="I39" s="3493" t="s">
        <v>4296</v>
      </c>
    </row>
    <row r="40" spans="1:9">
      <c r="A40" s="3490" t="s">
        <v>3439</v>
      </c>
      <c r="B40" s="3491">
        <v>22</v>
      </c>
      <c r="C40" s="3491" t="s">
        <v>3524</v>
      </c>
      <c r="D40" s="3491" t="s">
        <v>3548</v>
      </c>
      <c r="E40" s="3491" t="s">
        <v>4411</v>
      </c>
      <c r="F40" s="3491" t="s">
        <v>4410</v>
      </c>
      <c r="G40" s="3493">
        <f t="shared" si="0"/>
        <v>7.82</v>
      </c>
      <c r="H40" s="3491" t="s">
        <v>4412</v>
      </c>
      <c r="I40" s="3493" t="s">
        <v>4245</v>
      </c>
    </row>
    <row r="41" spans="1:9">
      <c r="A41" s="3490" t="s">
        <v>3439</v>
      </c>
      <c r="B41" s="3491">
        <v>22</v>
      </c>
      <c r="C41" s="3491" t="s">
        <v>3524</v>
      </c>
      <c r="D41" s="3491" t="s">
        <v>3551</v>
      </c>
      <c r="E41" s="3491" t="s">
        <v>4411</v>
      </c>
      <c r="F41" s="3491" t="s">
        <v>4410</v>
      </c>
      <c r="G41" s="3493">
        <f t="shared" si="0"/>
        <v>9.82</v>
      </c>
      <c r="H41" s="3491" t="s">
        <v>4412</v>
      </c>
      <c r="I41" s="3493" t="s">
        <v>4258</v>
      </c>
    </row>
    <row r="42" spans="1:9">
      <c r="A42" s="3490" t="s">
        <v>3439</v>
      </c>
      <c r="B42" s="3491">
        <v>22</v>
      </c>
      <c r="C42" s="3491" t="s">
        <v>3524</v>
      </c>
      <c r="D42" s="3491" t="s">
        <v>3554</v>
      </c>
      <c r="E42" s="3491" t="s">
        <v>4411</v>
      </c>
      <c r="F42" s="3491" t="s">
        <v>4410</v>
      </c>
      <c r="G42" s="3493">
        <f t="shared" si="0"/>
        <v>7.69</v>
      </c>
      <c r="H42" s="3491" t="s">
        <v>4412</v>
      </c>
      <c r="I42" s="3493" t="s">
        <v>4257</v>
      </c>
    </row>
    <row r="43" spans="1:9">
      <c r="A43" s="3490" t="s">
        <v>3439</v>
      </c>
      <c r="B43" s="3491">
        <v>22</v>
      </c>
      <c r="C43" s="3491" t="s">
        <v>3524</v>
      </c>
      <c r="D43" s="3491" t="s">
        <v>3557</v>
      </c>
      <c r="E43" s="3491" t="s">
        <v>4411</v>
      </c>
      <c r="F43" s="3491" t="s">
        <v>4410</v>
      </c>
      <c r="G43" s="3493">
        <f t="shared" si="0"/>
        <v>7.69</v>
      </c>
      <c r="H43" s="3491" t="s">
        <v>4412</v>
      </c>
      <c r="I43" s="3493" t="s">
        <v>4257</v>
      </c>
    </row>
    <row r="44" spans="1:9">
      <c r="A44" s="3490" t="s">
        <v>3439</v>
      </c>
      <c r="B44" s="3491">
        <v>22</v>
      </c>
      <c r="C44" s="3491" t="s">
        <v>3524</v>
      </c>
      <c r="D44" s="3491" t="s">
        <v>3560</v>
      </c>
      <c r="E44" s="3491" t="s">
        <v>4411</v>
      </c>
      <c r="F44" s="3491" t="s">
        <v>4410</v>
      </c>
      <c r="G44" s="3493">
        <f t="shared" si="0"/>
        <v>7.69</v>
      </c>
      <c r="H44" s="3491" t="s">
        <v>4412</v>
      </c>
      <c r="I44" s="3493" t="s">
        <v>4257</v>
      </c>
    </row>
    <row r="45" spans="1:9">
      <c r="A45" s="3490" t="s">
        <v>3439</v>
      </c>
      <c r="B45" s="3491">
        <v>22</v>
      </c>
      <c r="C45" s="3491" t="s">
        <v>3524</v>
      </c>
      <c r="D45" s="3491" t="s">
        <v>3563</v>
      </c>
      <c r="E45" s="3491" t="s">
        <v>4411</v>
      </c>
      <c r="F45" s="3491" t="s">
        <v>4410</v>
      </c>
      <c r="G45" s="3493">
        <f t="shared" si="0"/>
        <v>7.69</v>
      </c>
      <c r="H45" s="3491" t="s">
        <v>4412</v>
      </c>
      <c r="I45" s="3493" t="s">
        <v>4257</v>
      </c>
    </row>
    <row r="46" spans="1:9">
      <c r="A46" s="3490" t="s">
        <v>3439</v>
      </c>
      <c r="B46" s="3491">
        <v>22</v>
      </c>
      <c r="C46" s="3491" t="s">
        <v>3524</v>
      </c>
      <c r="D46" s="3491" t="s">
        <v>3566</v>
      </c>
      <c r="E46" s="3491" t="s">
        <v>4411</v>
      </c>
      <c r="F46" s="3491" t="s">
        <v>4410</v>
      </c>
      <c r="G46" s="3493">
        <f t="shared" si="0"/>
        <v>9.82</v>
      </c>
      <c r="H46" s="3491" t="s">
        <v>4412</v>
      </c>
      <c r="I46" s="3493" t="s">
        <v>4258</v>
      </c>
    </row>
    <row r="47" spans="1:9">
      <c r="A47" s="3490" t="s">
        <v>3439</v>
      </c>
      <c r="B47" s="3491">
        <v>22</v>
      </c>
      <c r="C47" s="3491" t="s">
        <v>3524</v>
      </c>
      <c r="D47" s="3491" t="s">
        <v>3569</v>
      </c>
      <c r="E47" s="3491" t="s">
        <v>4411</v>
      </c>
      <c r="F47" s="3491" t="s">
        <v>4410</v>
      </c>
      <c r="G47" s="3493">
        <f t="shared" si="0"/>
        <v>7.82</v>
      </c>
      <c r="H47" s="3491" t="s">
        <v>4412</v>
      </c>
      <c r="I47" s="3493" t="s">
        <v>4245</v>
      </c>
    </row>
    <row r="48" spans="1:9">
      <c r="A48" s="3490" t="s">
        <v>3439</v>
      </c>
      <c r="B48" s="3491">
        <v>22</v>
      </c>
      <c r="C48" s="3491" t="s">
        <v>3524</v>
      </c>
      <c r="D48" s="3491" t="s">
        <v>3572</v>
      </c>
      <c r="E48" s="3491" t="s">
        <v>4411</v>
      </c>
      <c r="F48" s="3491" t="s">
        <v>4410</v>
      </c>
      <c r="G48" s="3493">
        <f t="shared" si="0"/>
        <v>9.06</v>
      </c>
      <c r="H48" s="3491" t="s">
        <v>4412</v>
      </c>
      <c r="I48" s="3493" t="s">
        <v>4242</v>
      </c>
    </row>
    <row r="49" spans="1:9">
      <c r="A49" s="3490" t="s">
        <v>3439</v>
      </c>
      <c r="B49" s="3491">
        <v>22</v>
      </c>
      <c r="C49" s="3491" t="s">
        <v>3524</v>
      </c>
      <c r="D49" s="3491" t="s">
        <v>3575</v>
      </c>
      <c r="E49" s="3491" t="s">
        <v>4411</v>
      </c>
      <c r="F49" s="3491" t="s">
        <v>4410</v>
      </c>
      <c r="G49" s="3493">
        <f t="shared" si="0"/>
        <v>9.06</v>
      </c>
      <c r="H49" s="3491" t="s">
        <v>4412</v>
      </c>
      <c r="I49" s="3493" t="s">
        <v>4242</v>
      </c>
    </row>
    <row r="50" spans="1:9">
      <c r="A50" s="3490" t="s">
        <v>3439</v>
      </c>
      <c r="B50" s="3491">
        <v>22</v>
      </c>
      <c r="C50" s="3491" t="s">
        <v>3524</v>
      </c>
      <c r="D50" s="3491" t="s">
        <v>3578</v>
      </c>
      <c r="E50" s="3491" t="s">
        <v>4411</v>
      </c>
      <c r="F50" s="3491" t="s">
        <v>4410</v>
      </c>
      <c r="G50" s="3493">
        <f t="shared" si="0"/>
        <v>8.32</v>
      </c>
      <c r="H50" s="3491" t="s">
        <v>4412</v>
      </c>
      <c r="I50" s="3493" t="s">
        <v>4248</v>
      </c>
    </row>
    <row r="51" spans="1:9">
      <c r="A51" s="3490" t="s">
        <v>3580</v>
      </c>
      <c r="B51" s="3491">
        <v>22</v>
      </c>
      <c r="C51" s="3491" t="s">
        <v>3442</v>
      </c>
      <c r="D51" s="3491" t="s">
        <v>3582</v>
      </c>
      <c r="E51" s="3491" t="s">
        <v>4411</v>
      </c>
      <c r="F51" s="3491" t="s">
        <v>4410</v>
      </c>
      <c r="G51" s="3493">
        <f t="shared" si="0"/>
        <v>8.24</v>
      </c>
      <c r="H51" s="3491" t="s">
        <v>4412</v>
      </c>
      <c r="I51" s="3493" t="s">
        <v>4251</v>
      </c>
    </row>
    <row r="52" spans="1:9">
      <c r="A52" s="3490" t="s">
        <v>3580</v>
      </c>
      <c r="B52" s="3491">
        <v>22</v>
      </c>
      <c r="C52" s="3491" t="s">
        <v>3442</v>
      </c>
      <c r="D52" s="3491" t="s">
        <v>3585</v>
      </c>
      <c r="E52" s="3491" t="s">
        <v>4411</v>
      </c>
      <c r="F52" s="3491" t="s">
        <v>4410</v>
      </c>
      <c r="G52" s="3493">
        <f t="shared" si="0"/>
        <v>10.69</v>
      </c>
      <c r="H52" s="3491" t="s">
        <v>4412</v>
      </c>
      <c r="I52" s="3493" t="s">
        <v>4283</v>
      </c>
    </row>
    <row r="53" spans="1:9">
      <c r="A53" s="3490" t="s">
        <v>3580</v>
      </c>
      <c r="B53" s="3491">
        <v>22</v>
      </c>
      <c r="C53" s="3491" t="s">
        <v>3442</v>
      </c>
      <c r="D53" s="3491" t="s">
        <v>3588</v>
      </c>
      <c r="E53" s="3491" t="s">
        <v>4411</v>
      </c>
      <c r="F53" s="3491" t="s">
        <v>4410</v>
      </c>
      <c r="G53" s="3493">
        <f t="shared" si="0"/>
        <v>7.72</v>
      </c>
      <c r="H53" s="3491" t="s">
        <v>4412</v>
      </c>
      <c r="I53" s="3493" t="s">
        <v>4263</v>
      </c>
    </row>
    <row r="54" spans="1:9">
      <c r="A54" s="3490" t="s">
        <v>3580</v>
      </c>
      <c r="B54" s="3491">
        <v>22</v>
      </c>
      <c r="C54" s="3491" t="s">
        <v>3442</v>
      </c>
      <c r="D54" s="3491" t="s">
        <v>3591</v>
      </c>
      <c r="E54" s="3491" t="s">
        <v>4411</v>
      </c>
      <c r="F54" s="3491" t="s">
        <v>4410</v>
      </c>
      <c r="G54" s="3493">
        <f t="shared" si="0"/>
        <v>8.35</v>
      </c>
      <c r="H54" s="3491" t="s">
        <v>4412</v>
      </c>
      <c r="I54" s="3493" t="s">
        <v>4287</v>
      </c>
    </row>
    <row r="55" spans="1:9">
      <c r="A55" s="3490" t="s">
        <v>3580</v>
      </c>
      <c r="B55" s="3491">
        <v>22</v>
      </c>
      <c r="C55" s="3491" t="s">
        <v>3442</v>
      </c>
      <c r="D55" s="3491" t="s">
        <v>3594</v>
      </c>
      <c r="E55" s="3491" t="s">
        <v>4411</v>
      </c>
      <c r="F55" s="3491" t="s">
        <v>4410</v>
      </c>
      <c r="G55" s="3493">
        <f t="shared" si="0"/>
        <v>10.65</v>
      </c>
      <c r="H55" s="3491" t="s">
        <v>4412</v>
      </c>
      <c r="I55" s="3493" t="s">
        <v>4268</v>
      </c>
    </row>
    <row r="56" spans="1:9">
      <c r="A56" s="3490" t="s">
        <v>3580</v>
      </c>
      <c r="B56" s="3491">
        <v>22</v>
      </c>
      <c r="C56" s="3491" t="s">
        <v>3442</v>
      </c>
      <c r="D56" s="3491" t="s">
        <v>3597</v>
      </c>
      <c r="E56" s="3491" t="s">
        <v>4411</v>
      </c>
      <c r="F56" s="3491" t="s">
        <v>4410</v>
      </c>
      <c r="G56" s="3493">
        <f t="shared" si="0"/>
        <v>10.65</v>
      </c>
      <c r="H56" s="3491" t="s">
        <v>4412</v>
      </c>
      <c r="I56" s="3493" t="s">
        <v>4268</v>
      </c>
    </row>
    <row r="57" spans="1:9">
      <c r="A57" s="3490" t="s">
        <v>3580</v>
      </c>
      <c r="B57" s="3491">
        <v>22</v>
      </c>
      <c r="C57" s="3491" t="s">
        <v>3442</v>
      </c>
      <c r="D57" s="3491" t="s">
        <v>3600</v>
      </c>
      <c r="E57" s="3491" t="s">
        <v>4411</v>
      </c>
      <c r="F57" s="3491" t="s">
        <v>4410</v>
      </c>
      <c r="G57" s="3493">
        <f t="shared" si="0"/>
        <v>4.45</v>
      </c>
      <c r="H57" s="3491" t="s">
        <v>4412</v>
      </c>
      <c r="I57" s="3493" t="s">
        <v>4347</v>
      </c>
    </row>
    <row r="58" spans="1:9">
      <c r="A58" s="3490" t="s">
        <v>3580</v>
      </c>
      <c r="B58" s="3491">
        <v>22</v>
      </c>
      <c r="C58" s="3491" t="s">
        <v>3442</v>
      </c>
      <c r="D58" s="3491" t="s">
        <v>3603</v>
      </c>
      <c r="E58" s="3491" t="s">
        <v>4411</v>
      </c>
      <c r="F58" s="3491" t="s">
        <v>4410</v>
      </c>
      <c r="G58" s="3493">
        <f t="shared" si="0"/>
        <v>7.2</v>
      </c>
      <c r="H58" s="3491" t="s">
        <v>4412</v>
      </c>
      <c r="I58" s="3493" t="s">
        <v>4255</v>
      </c>
    </row>
    <row r="59" spans="1:9">
      <c r="A59" s="3490" t="s">
        <v>3580</v>
      </c>
      <c r="B59" s="3491">
        <v>22</v>
      </c>
      <c r="C59" s="3491" t="s">
        <v>3442</v>
      </c>
      <c r="D59" s="3491" t="s">
        <v>3606</v>
      </c>
      <c r="E59" s="3491" t="s">
        <v>4411</v>
      </c>
      <c r="F59" s="3491" t="s">
        <v>4410</v>
      </c>
      <c r="G59" s="3493">
        <f t="shared" si="0"/>
        <v>6.98</v>
      </c>
      <c r="H59" s="3491" t="s">
        <v>4412</v>
      </c>
      <c r="I59" s="3493" t="s">
        <v>4259</v>
      </c>
    </row>
    <row r="60" spans="1:9">
      <c r="A60" s="3490" t="s">
        <v>3580</v>
      </c>
      <c r="B60" s="3491">
        <v>22</v>
      </c>
      <c r="C60" s="3491" t="s">
        <v>3442</v>
      </c>
      <c r="D60" s="3491" t="s">
        <v>3609</v>
      </c>
      <c r="E60" s="3491" t="s">
        <v>4411</v>
      </c>
      <c r="F60" s="3491" t="s">
        <v>4410</v>
      </c>
      <c r="G60" s="3493">
        <f t="shared" si="0"/>
        <v>7.45</v>
      </c>
      <c r="H60" s="3491" t="s">
        <v>4412</v>
      </c>
      <c r="I60" s="3493" t="s">
        <v>4267</v>
      </c>
    </row>
    <row r="61" spans="1:9">
      <c r="A61" s="3490" t="s">
        <v>3580</v>
      </c>
      <c r="B61" s="3491">
        <v>22</v>
      </c>
      <c r="C61" s="3491" t="s">
        <v>3442</v>
      </c>
      <c r="D61" s="3491" t="s">
        <v>3612</v>
      </c>
      <c r="E61" s="3491" t="s">
        <v>4411</v>
      </c>
      <c r="F61" s="3491" t="s">
        <v>4410</v>
      </c>
      <c r="G61" s="3493">
        <f t="shared" si="0"/>
        <v>7.69</v>
      </c>
      <c r="H61" s="3491" t="s">
        <v>4412</v>
      </c>
      <c r="I61" s="3493" t="s">
        <v>4257</v>
      </c>
    </row>
    <row r="62" spans="1:9">
      <c r="A62" s="3490" t="s">
        <v>3580</v>
      </c>
      <c r="B62" s="3491">
        <v>22</v>
      </c>
      <c r="C62" s="3491" t="s">
        <v>3524</v>
      </c>
      <c r="D62" s="3491" t="s">
        <v>3615</v>
      </c>
      <c r="E62" s="3491" t="s">
        <v>4411</v>
      </c>
      <c r="F62" s="3491" t="s">
        <v>4410</v>
      </c>
      <c r="G62" s="3493">
        <f t="shared" si="0"/>
        <v>10.38</v>
      </c>
      <c r="H62" s="3491" t="s">
        <v>4412</v>
      </c>
      <c r="I62" s="3493" t="s">
        <v>4307</v>
      </c>
    </row>
    <row r="63" spans="1:9">
      <c r="A63" s="3490" t="s">
        <v>3580</v>
      </c>
      <c r="B63" s="3491">
        <v>22</v>
      </c>
      <c r="C63" s="3491" t="s">
        <v>3524</v>
      </c>
      <c r="D63" s="3491" t="s">
        <v>3618</v>
      </c>
      <c r="E63" s="3491" t="s">
        <v>4411</v>
      </c>
      <c r="F63" s="3491" t="s">
        <v>4410</v>
      </c>
      <c r="G63" s="3493">
        <f t="shared" si="0"/>
        <v>9.1</v>
      </c>
      <c r="H63" s="3491" t="s">
        <v>4412</v>
      </c>
      <c r="I63" s="3493" t="s">
        <v>4303</v>
      </c>
    </row>
    <row r="64" spans="1:9">
      <c r="A64" s="3490" t="s">
        <v>3580</v>
      </c>
      <c r="B64" s="3491">
        <v>22</v>
      </c>
      <c r="C64" s="3491" t="s">
        <v>3524</v>
      </c>
      <c r="D64" s="3491" t="s">
        <v>3621</v>
      </c>
      <c r="E64" s="3491" t="s">
        <v>4411</v>
      </c>
      <c r="F64" s="3491" t="s">
        <v>4410</v>
      </c>
      <c r="G64" s="3493">
        <f t="shared" si="0"/>
        <v>9.1</v>
      </c>
      <c r="H64" s="3491" t="s">
        <v>4412</v>
      </c>
      <c r="I64" s="3493" t="s">
        <v>4303</v>
      </c>
    </row>
    <row r="65" spans="1:9">
      <c r="A65" s="3490" t="s">
        <v>3580</v>
      </c>
      <c r="B65" s="3491">
        <v>22</v>
      </c>
      <c r="C65" s="3491" t="s">
        <v>3524</v>
      </c>
      <c r="D65" s="3491" t="s">
        <v>3624</v>
      </c>
      <c r="E65" s="3491" t="s">
        <v>4411</v>
      </c>
      <c r="F65" s="3491" t="s">
        <v>4410</v>
      </c>
      <c r="G65" s="3493">
        <f t="shared" si="0"/>
        <v>9.1</v>
      </c>
      <c r="H65" s="3491" t="s">
        <v>4412</v>
      </c>
      <c r="I65" s="3493" t="s">
        <v>4303</v>
      </c>
    </row>
    <row r="66" spans="1:9">
      <c r="A66" s="3490" t="s">
        <v>3580</v>
      </c>
      <c r="B66" s="3491">
        <v>22</v>
      </c>
      <c r="C66" s="3491" t="s">
        <v>3524</v>
      </c>
      <c r="D66" s="3491" t="s">
        <v>3627</v>
      </c>
      <c r="E66" s="3491" t="s">
        <v>4411</v>
      </c>
      <c r="F66" s="3491" t="s">
        <v>4410</v>
      </c>
      <c r="G66" s="3493">
        <f t="shared" si="0"/>
        <v>8.24</v>
      </c>
      <c r="H66" s="3491" t="s">
        <v>4412</v>
      </c>
      <c r="I66" s="3493" t="s">
        <v>4251</v>
      </c>
    </row>
    <row r="67" spans="1:9">
      <c r="A67" s="3490" t="s">
        <v>3580</v>
      </c>
      <c r="B67" s="3491">
        <v>22</v>
      </c>
      <c r="C67" s="3491" t="s">
        <v>3524</v>
      </c>
      <c r="D67" s="3491" t="s">
        <v>3630</v>
      </c>
      <c r="E67" s="3491" t="s">
        <v>4411</v>
      </c>
      <c r="F67" s="3491" t="s">
        <v>4410</v>
      </c>
      <c r="G67" s="3493">
        <f t="shared" si="0"/>
        <v>10.69</v>
      </c>
      <c r="H67" s="3491" t="s">
        <v>4412</v>
      </c>
      <c r="I67" s="3493" t="s">
        <v>4283</v>
      </c>
    </row>
    <row r="68" spans="1:9">
      <c r="A68" s="3490" t="s">
        <v>3580</v>
      </c>
      <c r="B68" s="3491">
        <v>22</v>
      </c>
      <c r="C68" s="3491" t="s">
        <v>3524</v>
      </c>
      <c r="D68" s="3491" t="s">
        <v>3633</v>
      </c>
      <c r="E68" s="3491" t="s">
        <v>4411</v>
      </c>
      <c r="F68" s="3491" t="s">
        <v>4410</v>
      </c>
      <c r="G68" s="3493">
        <f t="shared" si="0"/>
        <v>8.2200000000000006</v>
      </c>
      <c r="H68" s="3491" t="s">
        <v>4412</v>
      </c>
      <c r="I68" s="3493" t="s">
        <v>4350</v>
      </c>
    </row>
    <row r="69" spans="1:9">
      <c r="A69" s="3490" t="s">
        <v>3580</v>
      </c>
      <c r="B69" s="3491">
        <v>22</v>
      </c>
      <c r="C69" s="3491" t="s">
        <v>3524</v>
      </c>
      <c r="D69" s="3491" t="s">
        <v>3636</v>
      </c>
      <c r="E69" s="3491" t="s">
        <v>4411</v>
      </c>
      <c r="F69" s="3491" t="s">
        <v>4410</v>
      </c>
      <c r="G69" s="3493">
        <f t="shared" si="0"/>
        <v>8.35</v>
      </c>
      <c r="H69" s="3491" t="s">
        <v>4412</v>
      </c>
      <c r="I69" s="3493" t="s">
        <v>4287</v>
      </c>
    </row>
    <row r="70" spans="1:9">
      <c r="A70" s="3490" t="s">
        <v>3580</v>
      </c>
      <c r="B70" s="3491">
        <v>22</v>
      </c>
      <c r="C70" s="3491" t="s">
        <v>3524</v>
      </c>
      <c r="D70" s="3491" t="s">
        <v>3639</v>
      </c>
      <c r="E70" s="3491" t="s">
        <v>4411</v>
      </c>
      <c r="F70" s="3491" t="s">
        <v>4410</v>
      </c>
      <c r="G70" s="3493">
        <f t="shared" ref="G70:G133" si="1">I70*$J$1</f>
        <v>10.65</v>
      </c>
      <c r="H70" s="3491" t="s">
        <v>4412</v>
      </c>
      <c r="I70" s="3493" t="s">
        <v>4268</v>
      </c>
    </row>
    <row r="71" spans="1:9">
      <c r="A71" s="3490" t="s">
        <v>3580</v>
      </c>
      <c r="B71" s="3491">
        <v>22</v>
      </c>
      <c r="C71" s="3491" t="s">
        <v>3524</v>
      </c>
      <c r="D71" s="3491" t="s">
        <v>3642</v>
      </c>
      <c r="E71" s="3491" t="s">
        <v>4411</v>
      </c>
      <c r="F71" s="3491" t="s">
        <v>4410</v>
      </c>
      <c r="G71" s="3493">
        <f t="shared" si="1"/>
        <v>10.65</v>
      </c>
      <c r="H71" s="3491" t="s">
        <v>4412</v>
      </c>
      <c r="I71" s="3493" t="s">
        <v>4268</v>
      </c>
    </row>
    <row r="72" spans="1:9">
      <c r="A72" s="3490" t="s">
        <v>3580</v>
      </c>
      <c r="B72" s="3491">
        <v>22</v>
      </c>
      <c r="C72" s="3491" t="s">
        <v>3524</v>
      </c>
      <c r="D72" s="3491" t="s">
        <v>3645</v>
      </c>
      <c r="E72" s="3491" t="s">
        <v>4411</v>
      </c>
      <c r="F72" s="3491" t="s">
        <v>4410</v>
      </c>
      <c r="G72" s="3493">
        <f t="shared" si="1"/>
        <v>7.86</v>
      </c>
      <c r="H72" s="3491" t="s">
        <v>4412</v>
      </c>
      <c r="I72" s="3493" t="s">
        <v>4317</v>
      </c>
    </row>
    <row r="73" spans="1:9">
      <c r="A73" s="3490" t="s">
        <v>3580</v>
      </c>
      <c r="B73" s="3491">
        <v>22</v>
      </c>
      <c r="C73" s="3491" t="s">
        <v>3524</v>
      </c>
      <c r="D73" s="3491" t="s">
        <v>3648</v>
      </c>
      <c r="E73" s="3491" t="s">
        <v>4411</v>
      </c>
      <c r="F73" s="3491" t="s">
        <v>4410</v>
      </c>
      <c r="G73" s="3493">
        <f t="shared" si="1"/>
        <v>7.86</v>
      </c>
      <c r="H73" s="3491" t="s">
        <v>4412</v>
      </c>
      <c r="I73" s="3493" t="s">
        <v>4317</v>
      </c>
    </row>
    <row r="74" spans="1:9">
      <c r="A74" s="3490" t="s">
        <v>3580</v>
      </c>
      <c r="B74" s="3491">
        <v>22</v>
      </c>
      <c r="C74" s="3491" t="s">
        <v>3524</v>
      </c>
      <c r="D74" s="3491" t="s">
        <v>3651</v>
      </c>
      <c r="E74" s="3491" t="s">
        <v>4411</v>
      </c>
      <c r="F74" s="3491" t="s">
        <v>4410</v>
      </c>
      <c r="G74" s="3493">
        <f t="shared" si="1"/>
        <v>7.2</v>
      </c>
      <c r="H74" s="3491" t="s">
        <v>4412</v>
      </c>
      <c r="I74" s="3493" t="s">
        <v>4255</v>
      </c>
    </row>
    <row r="75" spans="1:9">
      <c r="A75" s="3490" t="s">
        <v>3580</v>
      </c>
      <c r="B75" s="3491">
        <v>22</v>
      </c>
      <c r="C75" s="3491" t="s">
        <v>3524</v>
      </c>
      <c r="D75" s="3491" t="s">
        <v>3654</v>
      </c>
      <c r="E75" s="3491" t="s">
        <v>4411</v>
      </c>
      <c r="F75" s="3491" t="s">
        <v>4410</v>
      </c>
      <c r="G75" s="3493">
        <f t="shared" si="1"/>
        <v>7.5</v>
      </c>
      <c r="H75" s="3491" t="s">
        <v>4412</v>
      </c>
      <c r="I75" s="3493" t="s">
        <v>4318</v>
      </c>
    </row>
    <row r="76" spans="1:9">
      <c r="A76" s="3490" t="s">
        <v>3580</v>
      </c>
      <c r="B76" s="3491">
        <v>22</v>
      </c>
      <c r="C76" s="3491" t="s">
        <v>3524</v>
      </c>
      <c r="D76" s="3491" t="s">
        <v>3657</v>
      </c>
      <c r="E76" s="3491" t="s">
        <v>4411</v>
      </c>
      <c r="F76" s="3491" t="s">
        <v>4410</v>
      </c>
      <c r="G76" s="3493">
        <f t="shared" si="1"/>
        <v>7.73</v>
      </c>
      <c r="H76" s="3491" t="s">
        <v>4412</v>
      </c>
      <c r="I76" s="3493" t="s">
        <v>4269</v>
      </c>
    </row>
    <row r="77" spans="1:9">
      <c r="A77" s="3490" t="s">
        <v>3580</v>
      </c>
      <c r="B77" s="3491">
        <v>22</v>
      </c>
      <c r="C77" s="3491" t="s">
        <v>3524</v>
      </c>
      <c r="D77" s="3491" t="s">
        <v>3660</v>
      </c>
      <c r="E77" s="3491" t="s">
        <v>4411</v>
      </c>
      <c r="F77" s="3491" t="s">
        <v>4410</v>
      </c>
      <c r="G77" s="3493">
        <f t="shared" si="1"/>
        <v>9.8699999999999992</v>
      </c>
      <c r="H77" s="3491" t="s">
        <v>4412</v>
      </c>
      <c r="I77" s="3493" t="s">
        <v>4309</v>
      </c>
    </row>
    <row r="78" spans="1:9">
      <c r="A78" s="3490" t="s">
        <v>3580</v>
      </c>
      <c r="B78" s="3491">
        <v>22</v>
      </c>
      <c r="C78" s="3491" t="s">
        <v>3524</v>
      </c>
      <c r="D78" s="3491" t="s">
        <v>3663</v>
      </c>
      <c r="E78" s="3491" t="s">
        <v>4411</v>
      </c>
      <c r="F78" s="3491" t="s">
        <v>4410</v>
      </c>
      <c r="G78" s="3493">
        <f t="shared" si="1"/>
        <v>9.52</v>
      </c>
      <c r="H78" s="3491" t="s">
        <v>4412</v>
      </c>
      <c r="I78" s="3493" t="s">
        <v>4270</v>
      </c>
    </row>
    <row r="79" spans="1:9">
      <c r="A79" s="3490" t="s">
        <v>3665</v>
      </c>
      <c r="B79" s="3491">
        <v>22</v>
      </c>
      <c r="C79" s="3491" t="s">
        <v>3442</v>
      </c>
      <c r="D79" s="3491" t="s">
        <v>3667</v>
      </c>
      <c r="E79" s="3491" t="s">
        <v>4411</v>
      </c>
      <c r="F79" s="3491" t="s">
        <v>4410</v>
      </c>
      <c r="G79" s="3493">
        <f t="shared" si="1"/>
        <v>10.56</v>
      </c>
      <c r="H79" s="3491" t="s">
        <v>4412</v>
      </c>
      <c r="I79" s="3493" t="s">
        <v>4240</v>
      </c>
    </row>
    <row r="80" spans="1:9">
      <c r="A80" s="3490" t="s">
        <v>3665</v>
      </c>
      <c r="B80" s="3491">
        <v>22</v>
      </c>
      <c r="C80" s="3491" t="s">
        <v>3442</v>
      </c>
      <c r="D80" s="3491" t="s">
        <v>3670</v>
      </c>
      <c r="E80" s="3491" t="s">
        <v>4411</v>
      </c>
      <c r="F80" s="3491" t="s">
        <v>4410</v>
      </c>
      <c r="G80" s="3493">
        <f t="shared" si="1"/>
        <v>8.43</v>
      </c>
      <c r="H80" s="3491" t="s">
        <v>4412</v>
      </c>
      <c r="I80" s="3493" t="s">
        <v>4332</v>
      </c>
    </row>
    <row r="81" spans="1:9">
      <c r="A81" s="3490" t="s">
        <v>3665</v>
      </c>
      <c r="B81" s="3491">
        <v>22</v>
      </c>
      <c r="C81" s="3491" t="s">
        <v>3442</v>
      </c>
      <c r="D81" s="3491" t="s">
        <v>3673</v>
      </c>
      <c r="E81" s="3491" t="s">
        <v>4411</v>
      </c>
      <c r="F81" s="3491" t="s">
        <v>4410</v>
      </c>
      <c r="G81" s="3493">
        <f t="shared" si="1"/>
        <v>10.75</v>
      </c>
      <c r="H81" s="3491" t="s">
        <v>4412</v>
      </c>
      <c r="I81" s="3493" t="s">
        <v>4288</v>
      </c>
    </row>
    <row r="82" spans="1:9">
      <c r="A82" s="3490" t="s">
        <v>3665</v>
      </c>
      <c r="B82" s="3491">
        <v>22</v>
      </c>
      <c r="C82" s="3491" t="s">
        <v>3442</v>
      </c>
      <c r="D82" s="3491" t="s">
        <v>3676</v>
      </c>
      <c r="E82" s="3491" t="s">
        <v>4411</v>
      </c>
      <c r="F82" s="3491" t="s">
        <v>4410</v>
      </c>
      <c r="G82" s="3493">
        <f t="shared" si="1"/>
        <v>10.64</v>
      </c>
      <c r="H82" s="3491" t="s">
        <v>4412</v>
      </c>
      <c r="I82" s="3493" t="s">
        <v>4284</v>
      </c>
    </row>
    <row r="83" spans="1:9">
      <c r="A83" s="3490" t="s">
        <v>3665</v>
      </c>
      <c r="B83" s="3491">
        <v>22</v>
      </c>
      <c r="C83" s="3491" t="s">
        <v>3442</v>
      </c>
      <c r="D83" s="3491" t="s">
        <v>3679</v>
      </c>
      <c r="E83" s="3491" t="s">
        <v>4411</v>
      </c>
      <c r="F83" s="3491" t="s">
        <v>4410</v>
      </c>
      <c r="G83" s="3493">
        <f t="shared" si="1"/>
        <v>10.64</v>
      </c>
      <c r="H83" s="3491" t="s">
        <v>4412</v>
      </c>
      <c r="I83" s="3493" t="s">
        <v>4284</v>
      </c>
    </row>
    <row r="84" spans="1:9">
      <c r="A84" s="3490" t="s">
        <v>3665</v>
      </c>
      <c r="B84" s="3491">
        <v>22</v>
      </c>
      <c r="C84" s="3491" t="s">
        <v>3442</v>
      </c>
      <c r="D84" s="3491" t="s">
        <v>3682</v>
      </c>
      <c r="E84" s="3491" t="s">
        <v>4411</v>
      </c>
      <c r="F84" s="3491" t="s">
        <v>4410</v>
      </c>
      <c r="G84" s="3493">
        <f t="shared" si="1"/>
        <v>10.64</v>
      </c>
      <c r="H84" s="3491" t="s">
        <v>4412</v>
      </c>
      <c r="I84" s="3493" t="s">
        <v>4284</v>
      </c>
    </row>
    <row r="85" spans="1:9">
      <c r="A85" s="3490" t="s">
        <v>3665</v>
      </c>
      <c r="B85" s="3491">
        <v>22</v>
      </c>
      <c r="C85" s="3491" t="s">
        <v>3442</v>
      </c>
      <c r="D85" s="3491" t="s">
        <v>3685</v>
      </c>
      <c r="E85" s="3491" t="s">
        <v>4411</v>
      </c>
      <c r="F85" s="3491" t="s">
        <v>4410</v>
      </c>
      <c r="G85" s="3493">
        <f t="shared" si="1"/>
        <v>10.64</v>
      </c>
      <c r="H85" s="3491" t="s">
        <v>4412</v>
      </c>
      <c r="I85" s="3493" t="s">
        <v>4284</v>
      </c>
    </row>
    <row r="86" spans="1:9">
      <c r="A86" s="3490" t="s">
        <v>3665</v>
      </c>
      <c r="B86" s="3491">
        <v>22</v>
      </c>
      <c r="C86" s="3491" t="s">
        <v>3442</v>
      </c>
      <c r="D86" s="3491" t="s">
        <v>3688</v>
      </c>
      <c r="E86" s="3491" t="s">
        <v>4411</v>
      </c>
      <c r="F86" s="3491" t="s">
        <v>4410</v>
      </c>
      <c r="G86" s="3493">
        <f t="shared" si="1"/>
        <v>8.35</v>
      </c>
      <c r="H86" s="3491" t="s">
        <v>4412</v>
      </c>
      <c r="I86" s="3493" t="s">
        <v>4287</v>
      </c>
    </row>
    <row r="87" spans="1:9">
      <c r="A87" s="3490" t="s">
        <v>3665</v>
      </c>
      <c r="B87" s="3491">
        <v>22</v>
      </c>
      <c r="C87" s="3491" t="s">
        <v>3442</v>
      </c>
      <c r="D87" s="3491" t="s">
        <v>3691</v>
      </c>
      <c r="E87" s="3491" t="s">
        <v>4411</v>
      </c>
      <c r="F87" s="3491" t="s">
        <v>4410</v>
      </c>
      <c r="G87" s="3493">
        <f t="shared" si="1"/>
        <v>7.84</v>
      </c>
      <c r="H87" s="3491" t="s">
        <v>4412</v>
      </c>
      <c r="I87" s="3493" t="s">
        <v>4319</v>
      </c>
    </row>
    <row r="88" spans="1:9">
      <c r="A88" s="3490" t="s">
        <v>3665</v>
      </c>
      <c r="B88" s="3491">
        <v>22</v>
      </c>
      <c r="C88" s="3491" t="s">
        <v>3442</v>
      </c>
      <c r="D88" s="3491" t="s">
        <v>3694</v>
      </c>
      <c r="E88" s="3491" t="s">
        <v>4411</v>
      </c>
      <c r="F88" s="3491" t="s">
        <v>4410</v>
      </c>
      <c r="G88" s="3493">
        <f t="shared" si="1"/>
        <v>6.43</v>
      </c>
      <c r="H88" s="3491" t="s">
        <v>4412</v>
      </c>
      <c r="I88" s="3493" t="s">
        <v>4238</v>
      </c>
    </row>
    <row r="89" spans="1:9">
      <c r="A89" s="3490" t="s">
        <v>3665</v>
      </c>
      <c r="B89" s="3491">
        <v>22</v>
      </c>
      <c r="C89" s="3491" t="s">
        <v>3442</v>
      </c>
      <c r="D89" s="3491" t="s">
        <v>3697</v>
      </c>
      <c r="E89" s="3491" t="s">
        <v>4411</v>
      </c>
      <c r="F89" s="3491" t="s">
        <v>4410</v>
      </c>
      <c r="G89" s="3493">
        <f t="shared" si="1"/>
        <v>7.86</v>
      </c>
      <c r="H89" s="3491" t="s">
        <v>4412</v>
      </c>
      <c r="I89" s="3493" t="s">
        <v>4317</v>
      </c>
    </row>
    <row r="90" spans="1:9">
      <c r="A90" s="3490" t="s">
        <v>3665</v>
      </c>
      <c r="B90" s="3491">
        <v>22</v>
      </c>
      <c r="C90" s="3491" t="s">
        <v>3442</v>
      </c>
      <c r="D90" s="3491" t="s">
        <v>3700</v>
      </c>
      <c r="E90" s="3491" t="s">
        <v>4411</v>
      </c>
      <c r="F90" s="3491" t="s">
        <v>4410</v>
      </c>
      <c r="G90" s="3493">
        <f t="shared" si="1"/>
        <v>7.86</v>
      </c>
      <c r="H90" s="3491" t="s">
        <v>4412</v>
      </c>
      <c r="I90" s="3493" t="s">
        <v>4317</v>
      </c>
    </row>
    <row r="91" spans="1:9">
      <c r="A91" s="3490" t="s">
        <v>3665</v>
      </c>
      <c r="B91" s="3491">
        <v>22</v>
      </c>
      <c r="C91" s="3491" t="s">
        <v>3442</v>
      </c>
      <c r="D91" s="3491" t="s">
        <v>3703</v>
      </c>
      <c r="E91" s="3491" t="s">
        <v>4411</v>
      </c>
      <c r="F91" s="3491" t="s">
        <v>4410</v>
      </c>
      <c r="G91" s="3493">
        <f t="shared" si="1"/>
        <v>7.86</v>
      </c>
      <c r="H91" s="3491" t="s">
        <v>4412</v>
      </c>
      <c r="I91" s="3493" t="s">
        <v>4317</v>
      </c>
    </row>
    <row r="92" spans="1:9">
      <c r="A92" s="3490" t="s">
        <v>3665</v>
      </c>
      <c r="B92" s="3491">
        <v>22</v>
      </c>
      <c r="C92" s="3491" t="s">
        <v>3442</v>
      </c>
      <c r="D92" s="3491" t="s">
        <v>3706</v>
      </c>
      <c r="E92" s="3491" t="s">
        <v>4411</v>
      </c>
      <c r="F92" s="3491" t="s">
        <v>4410</v>
      </c>
      <c r="G92" s="3493">
        <f t="shared" si="1"/>
        <v>10.55</v>
      </c>
      <c r="H92" s="3491" t="s">
        <v>4412</v>
      </c>
      <c r="I92" s="3493" t="s">
        <v>4354</v>
      </c>
    </row>
    <row r="93" spans="1:9">
      <c r="A93" s="3490" t="s">
        <v>3665</v>
      </c>
      <c r="B93" s="3491">
        <v>22</v>
      </c>
      <c r="C93" s="3491" t="s">
        <v>3442</v>
      </c>
      <c r="D93" s="3491" t="s">
        <v>3709</v>
      </c>
      <c r="E93" s="3491" t="s">
        <v>4411</v>
      </c>
      <c r="F93" s="3491" t="s">
        <v>4410</v>
      </c>
      <c r="G93" s="3493">
        <f t="shared" si="1"/>
        <v>4.43</v>
      </c>
      <c r="H93" s="3491" t="s">
        <v>4412</v>
      </c>
      <c r="I93" s="3493" t="s">
        <v>4355</v>
      </c>
    </row>
    <row r="94" spans="1:9">
      <c r="A94" s="3490" t="s">
        <v>3665</v>
      </c>
      <c r="B94" s="3491">
        <v>22</v>
      </c>
      <c r="C94" s="3491" t="s">
        <v>3442</v>
      </c>
      <c r="D94" s="3491" t="s">
        <v>3712</v>
      </c>
      <c r="E94" s="3491" t="s">
        <v>4411</v>
      </c>
      <c r="F94" s="3491" t="s">
        <v>4410</v>
      </c>
      <c r="G94" s="3493">
        <f t="shared" si="1"/>
        <v>6.43</v>
      </c>
      <c r="H94" s="3491" t="s">
        <v>4412</v>
      </c>
      <c r="I94" s="3493" t="s">
        <v>4238</v>
      </c>
    </row>
    <row r="95" spans="1:9">
      <c r="A95" s="3490" t="s">
        <v>3665</v>
      </c>
      <c r="B95" s="3491">
        <v>22</v>
      </c>
      <c r="C95" s="3491" t="s">
        <v>3442</v>
      </c>
      <c r="D95" s="3491" t="s">
        <v>3715</v>
      </c>
      <c r="E95" s="3491" t="s">
        <v>4411</v>
      </c>
      <c r="F95" s="3491" t="s">
        <v>4410</v>
      </c>
      <c r="G95" s="3493">
        <f t="shared" si="1"/>
        <v>7.84</v>
      </c>
      <c r="H95" s="3491" t="s">
        <v>4412</v>
      </c>
      <c r="I95" s="3493" t="s">
        <v>4319</v>
      </c>
    </row>
    <row r="96" spans="1:9">
      <c r="A96" s="3490" t="s">
        <v>3665</v>
      </c>
      <c r="B96" s="3491">
        <v>22</v>
      </c>
      <c r="C96" s="3491" t="s">
        <v>3442</v>
      </c>
      <c r="D96" s="3491" t="s">
        <v>3718</v>
      </c>
      <c r="E96" s="3491" t="s">
        <v>4411</v>
      </c>
      <c r="F96" s="3491" t="s">
        <v>4410</v>
      </c>
      <c r="G96" s="3493">
        <f t="shared" si="1"/>
        <v>8.35</v>
      </c>
      <c r="H96" s="3491" t="s">
        <v>4412</v>
      </c>
      <c r="I96" s="3493" t="s">
        <v>4287</v>
      </c>
    </row>
    <row r="97" spans="1:9">
      <c r="A97" s="3490" t="s">
        <v>3665</v>
      </c>
      <c r="B97" s="3491">
        <v>22</v>
      </c>
      <c r="C97" s="3491" t="s">
        <v>3442</v>
      </c>
      <c r="D97" s="3491" t="s">
        <v>3721</v>
      </c>
      <c r="E97" s="3491" t="s">
        <v>4411</v>
      </c>
      <c r="F97" s="3491" t="s">
        <v>4410</v>
      </c>
      <c r="G97" s="3493">
        <f t="shared" si="1"/>
        <v>10.64</v>
      </c>
      <c r="H97" s="3491" t="s">
        <v>4412</v>
      </c>
      <c r="I97" s="3493" t="s">
        <v>4284</v>
      </c>
    </row>
    <row r="98" spans="1:9">
      <c r="A98" s="3490" t="s">
        <v>3665</v>
      </c>
      <c r="B98" s="3491">
        <v>22</v>
      </c>
      <c r="C98" s="3491" t="s">
        <v>3442</v>
      </c>
      <c r="D98" s="3491" t="s">
        <v>3724</v>
      </c>
      <c r="E98" s="3491" t="s">
        <v>4411</v>
      </c>
      <c r="F98" s="3491" t="s">
        <v>4410</v>
      </c>
      <c r="G98" s="3493">
        <f t="shared" si="1"/>
        <v>10.64</v>
      </c>
      <c r="H98" s="3491" t="s">
        <v>4412</v>
      </c>
      <c r="I98" s="3493" t="s">
        <v>4284</v>
      </c>
    </row>
    <row r="99" spans="1:9">
      <c r="A99" s="3490" t="s">
        <v>3665</v>
      </c>
      <c r="B99" s="3491">
        <v>22</v>
      </c>
      <c r="C99" s="3491" t="s">
        <v>3442</v>
      </c>
      <c r="D99" s="3491" t="s">
        <v>3727</v>
      </c>
      <c r="E99" s="3491" t="s">
        <v>4411</v>
      </c>
      <c r="F99" s="3491" t="s">
        <v>4410</v>
      </c>
      <c r="G99" s="3493">
        <f t="shared" si="1"/>
        <v>10.64</v>
      </c>
      <c r="H99" s="3491" t="s">
        <v>4412</v>
      </c>
      <c r="I99" s="3493" t="s">
        <v>4284</v>
      </c>
    </row>
    <row r="100" spans="1:9">
      <c r="A100" s="3490" t="s">
        <v>3665</v>
      </c>
      <c r="B100" s="3491">
        <v>22</v>
      </c>
      <c r="C100" s="3491" t="s">
        <v>3442</v>
      </c>
      <c r="D100" s="3491" t="s">
        <v>3730</v>
      </c>
      <c r="E100" s="3491" t="s">
        <v>4411</v>
      </c>
      <c r="F100" s="3491" t="s">
        <v>4410</v>
      </c>
      <c r="G100" s="3493">
        <f t="shared" si="1"/>
        <v>8.35</v>
      </c>
      <c r="H100" s="3491" t="s">
        <v>4412</v>
      </c>
      <c r="I100" s="3493" t="s">
        <v>4287</v>
      </c>
    </row>
    <row r="101" spans="1:9">
      <c r="A101" s="3490" t="s">
        <v>3665</v>
      </c>
      <c r="B101" s="3491">
        <v>22</v>
      </c>
      <c r="C101" s="3491" t="s">
        <v>3442</v>
      </c>
      <c r="D101" s="3491" t="s">
        <v>3733</v>
      </c>
      <c r="E101" s="3491" t="s">
        <v>4411</v>
      </c>
      <c r="F101" s="3491" t="s">
        <v>4410</v>
      </c>
      <c r="G101" s="3493">
        <f t="shared" si="1"/>
        <v>7.84</v>
      </c>
      <c r="H101" s="3491" t="s">
        <v>4412</v>
      </c>
      <c r="I101" s="3493" t="s">
        <v>4319</v>
      </c>
    </row>
    <row r="102" spans="1:9">
      <c r="A102" s="3490" t="s">
        <v>3665</v>
      </c>
      <c r="B102" s="3491">
        <v>22</v>
      </c>
      <c r="C102" s="3491" t="s">
        <v>3442</v>
      </c>
      <c r="D102" s="3491" t="s">
        <v>3736</v>
      </c>
      <c r="E102" s="3491" t="s">
        <v>4411</v>
      </c>
      <c r="F102" s="3491" t="s">
        <v>4410</v>
      </c>
      <c r="G102" s="3493">
        <f t="shared" si="1"/>
        <v>10.55</v>
      </c>
      <c r="H102" s="3491" t="s">
        <v>4412</v>
      </c>
      <c r="I102" s="3493" t="s">
        <v>4354</v>
      </c>
    </row>
    <row r="103" spans="1:9">
      <c r="A103" s="3490" t="s">
        <v>3665</v>
      </c>
      <c r="B103" s="3491">
        <v>22</v>
      </c>
      <c r="C103" s="3491" t="s">
        <v>3442</v>
      </c>
      <c r="D103" s="3491" t="s">
        <v>3739</v>
      </c>
      <c r="E103" s="3491" t="s">
        <v>4411</v>
      </c>
      <c r="F103" s="3491" t="s">
        <v>4410</v>
      </c>
      <c r="G103" s="3493">
        <f t="shared" si="1"/>
        <v>10.75</v>
      </c>
      <c r="H103" s="3491" t="s">
        <v>4412</v>
      </c>
      <c r="I103" s="3493" t="s">
        <v>4288</v>
      </c>
    </row>
    <row r="104" spans="1:9">
      <c r="A104" s="3490" t="s">
        <v>3665</v>
      </c>
      <c r="B104" s="3491">
        <v>22</v>
      </c>
      <c r="C104" s="3491" t="s">
        <v>3442</v>
      </c>
      <c r="D104" s="3491" t="s">
        <v>3742</v>
      </c>
      <c r="E104" s="3491" t="s">
        <v>4411</v>
      </c>
      <c r="F104" s="3491" t="s">
        <v>4410</v>
      </c>
      <c r="G104" s="3493">
        <f t="shared" si="1"/>
        <v>8.43</v>
      </c>
      <c r="H104" s="3491" t="s">
        <v>4412</v>
      </c>
      <c r="I104" s="3493" t="s">
        <v>4332</v>
      </c>
    </row>
    <row r="105" spans="1:9">
      <c r="A105" s="3490" t="s">
        <v>3665</v>
      </c>
      <c r="B105" s="3491">
        <v>22</v>
      </c>
      <c r="C105" s="3491" t="s">
        <v>3442</v>
      </c>
      <c r="D105" s="3491" t="s">
        <v>3745</v>
      </c>
      <c r="E105" s="3491" t="s">
        <v>4411</v>
      </c>
      <c r="F105" s="3491" t="s">
        <v>4410</v>
      </c>
      <c r="G105" s="3493">
        <f t="shared" si="1"/>
        <v>10.56</v>
      </c>
      <c r="H105" s="3491" t="s">
        <v>4412</v>
      </c>
      <c r="I105" s="3493" t="s">
        <v>4240</v>
      </c>
    </row>
    <row r="106" spans="1:9">
      <c r="A106" s="3490" t="s">
        <v>3665</v>
      </c>
      <c r="B106" s="3491">
        <v>22</v>
      </c>
      <c r="C106" s="3491" t="s">
        <v>3524</v>
      </c>
      <c r="D106" s="3491" t="s">
        <v>3748</v>
      </c>
      <c r="E106" s="3491" t="s">
        <v>4411</v>
      </c>
      <c r="F106" s="3491" t="s">
        <v>4410</v>
      </c>
      <c r="G106" s="3493">
        <f t="shared" si="1"/>
        <v>9.0500000000000007</v>
      </c>
      <c r="H106" s="3491" t="s">
        <v>4412</v>
      </c>
      <c r="I106" s="3493" t="s">
        <v>4302</v>
      </c>
    </row>
    <row r="107" spans="1:9">
      <c r="A107" s="3490" t="s">
        <v>3665</v>
      </c>
      <c r="B107" s="3491">
        <v>22</v>
      </c>
      <c r="C107" s="3491" t="s">
        <v>3524</v>
      </c>
      <c r="D107" s="3491" t="s">
        <v>3751</v>
      </c>
      <c r="E107" s="3491" t="s">
        <v>4411</v>
      </c>
      <c r="F107" s="3491" t="s">
        <v>4410</v>
      </c>
      <c r="G107" s="3493">
        <f t="shared" si="1"/>
        <v>9.0500000000000007</v>
      </c>
      <c r="H107" s="3491" t="s">
        <v>4412</v>
      </c>
      <c r="I107" s="3493" t="s">
        <v>4302</v>
      </c>
    </row>
    <row r="108" spans="1:9">
      <c r="A108" s="3490" t="s">
        <v>3665</v>
      </c>
      <c r="B108" s="3491">
        <v>22</v>
      </c>
      <c r="C108" s="3491" t="s">
        <v>3524</v>
      </c>
      <c r="D108" s="3491" t="s">
        <v>3754</v>
      </c>
      <c r="E108" s="3491" t="s">
        <v>4411</v>
      </c>
      <c r="F108" s="3491" t="s">
        <v>4410</v>
      </c>
      <c r="G108" s="3493">
        <f t="shared" si="1"/>
        <v>9.0500000000000007</v>
      </c>
      <c r="H108" s="3491" t="s">
        <v>4412</v>
      </c>
      <c r="I108" s="3493" t="s">
        <v>4302</v>
      </c>
    </row>
    <row r="109" spans="1:9">
      <c r="A109" s="3490" t="s">
        <v>3665</v>
      </c>
      <c r="B109" s="3491">
        <v>22</v>
      </c>
      <c r="C109" s="3491" t="s">
        <v>3524</v>
      </c>
      <c r="D109" s="3491" t="s">
        <v>3757</v>
      </c>
      <c r="E109" s="3491" t="s">
        <v>4411</v>
      </c>
      <c r="F109" s="3491" t="s">
        <v>4410</v>
      </c>
      <c r="G109" s="3493">
        <f t="shared" si="1"/>
        <v>8.1999999999999993</v>
      </c>
      <c r="H109" s="3491" t="s">
        <v>4412</v>
      </c>
      <c r="I109" s="3493" t="s">
        <v>4271</v>
      </c>
    </row>
    <row r="110" spans="1:9">
      <c r="A110" s="3490" t="s">
        <v>3665</v>
      </c>
      <c r="B110" s="3491">
        <v>22</v>
      </c>
      <c r="C110" s="3491" t="s">
        <v>3524</v>
      </c>
      <c r="D110" s="3491" t="s">
        <v>3760</v>
      </c>
      <c r="E110" s="3491" t="s">
        <v>4411</v>
      </c>
      <c r="F110" s="3491" t="s">
        <v>4410</v>
      </c>
      <c r="G110" s="3493">
        <f t="shared" si="1"/>
        <v>10.59</v>
      </c>
      <c r="H110" s="3491" t="s">
        <v>4412</v>
      </c>
      <c r="I110" s="3493" t="s">
        <v>4304</v>
      </c>
    </row>
    <row r="111" spans="1:9">
      <c r="A111" s="3490" t="s">
        <v>3665</v>
      </c>
      <c r="B111" s="3491">
        <v>22</v>
      </c>
      <c r="C111" s="3491" t="s">
        <v>3524</v>
      </c>
      <c r="D111" s="3491" t="s">
        <v>3763</v>
      </c>
      <c r="E111" s="3491" t="s">
        <v>4411</v>
      </c>
      <c r="F111" s="3491" t="s">
        <v>4410</v>
      </c>
      <c r="G111" s="3493">
        <f t="shared" si="1"/>
        <v>10.59</v>
      </c>
      <c r="H111" s="3491" t="s">
        <v>4412</v>
      </c>
      <c r="I111" s="3493" t="s">
        <v>4304</v>
      </c>
    </row>
    <row r="112" spans="1:9">
      <c r="A112" s="3490" t="s">
        <v>3665</v>
      </c>
      <c r="B112" s="3491">
        <v>22</v>
      </c>
      <c r="C112" s="3491" t="s">
        <v>3524</v>
      </c>
      <c r="D112" s="3491" t="s">
        <v>3766</v>
      </c>
      <c r="E112" s="3491" t="s">
        <v>4411</v>
      </c>
      <c r="F112" s="3491" t="s">
        <v>4410</v>
      </c>
      <c r="G112" s="3493">
        <f t="shared" si="1"/>
        <v>10.59</v>
      </c>
      <c r="H112" s="3491" t="s">
        <v>4412</v>
      </c>
      <c r="I112" s="3493" t="s">
        <v>4304</v>
      </c>
    </row>
    <row r="113" spans="1:9">
      <c r="A113" s="3490" t="s">
        <v>3665</v>
      </c>
      <c r="B113" s="3491">
        <v>22</v>
      </c>
      <c r="C113" s="3491" t="s">
        <v>3524</v>
      </c>
      <c r="D113" s="3491" t="s">
        <v>3769</v>
      </c>
      <c r="E113" s="3491" t="s">
        <v>4411</v>
      </c>
      <c r="F113" s="3491" t="s">
        <v>4410</v>
      </c>
      <c r="G113" s="3493">
        <f t="shared" si="1"/>
        <v>8.31</v>
      </c>
      <c r="H113" s="3491" t="s">
        <v>4412</v>
      </c>
      <c r="I113" s="3493" t="s">
        <v>4237</v>
      </c>
    </row>
    <row r="114" spans="1:9">
      <c r="A114" s="3490" t="s">
        <v>3665</v>
      </c>
      <c r="B114" s="3491">
        <v>22</v>
      </c>
      <c r="C114" s="3491" t="s">
        <v>3524</v>
      </c>
      <c r="D114" s="3491" t="s">
        <v>3772</v>
      </c>
      <c r="E114" s="3491" t="s">
        <v>4411</v>
      </c>
      <c r="F114" s="3491" t="s">
        <v>4410</v>
      </c>
      <c r="G114" s="3493">
        <f t="shared" si="1"/>
        <v>8.18</v>
      </c>
      <c r="H114" s="3491" t="s">
        <v>4412</v>
      </c>
      <c r="I114" s="3493" t="s">
        <v>4320</v>
      </c>
    </row>
    <row r="115" spans="1:9">
      <c r="A115" s="3490" t="s">
        <v>3665</v>
      </c>
      <c r="B115" s="3491">
        <v>22</v>
      </c>
      <c r="C115" s="3491" t="s">
        <v>3524</v>
      </c>
      <c r="D115" s="3491" t="s">
        <v>3775</v>
      </c>
      <c r="E115" s="3491" t="s">
        <v>4411</v>
      </c>
      <c r="F115" s="3491" t="s">
        <v>4410</v>
      </c>
      <c r="G115" s="3493">
        <f t="shared" si="1"/>
        <v>7.82</v>
      </c>
      <c r="H115" s="3491" t="s">
        <v>4412</v>
      </c>
      <c r="I115" s="3493" t="s">
        <v>4245</v>
      </c>
    </row>
    <row r="116" spans="1:9">
      <c r="A116" s="3490" t="s">
        <v>3665</v>
      </c>
      <c r="B116" s="3491">
        <v>22</v>
      </c>
      <c r="C116" s="3491" t="s">
        <v>3524</v>
      </c>
      <c r="D116" s="3491" t="s">
        <v>3778</v>
      </c>
      <c r="E116" s="3491" t="s">
        <v>4411</v>
      </c>
      <c r="F116" s="3491" t="s">
        <v>4410</v>
      </c>
      <c r="G116" s="3493">
        <f t="shared" si="1"/>
        <v>7.82</v>
      </c>
      <c r="H116" s="3491" t="s">
        <v>4412</v>
      </c>
      <c r="I116" s="3493" t="s">
        <v>4245</v>
      </c>
    </row>
    <row r="117" spans="1:9">
      <c r="A117" s="3490" t="s">
        <v>3665</v>
      </c>
      <c r="B117" s="3491">
        <v>22</v>
      </c>
      <c r="C117" s="3491" t="s">
        <v>3524</v>
      </c>
      <c r="D117" s="3491" t="s">
        <v>3781</v>
      </c>
      <c r="E117" s="3491" t="s">
        <v>4411</v>
      </c>
      <c r="F117" s="3491" t="s">
        <v>4410</v>
      </c>
      <c r="G117" s="3493">
        <f t="shared" si="1"/>
        <v>9.82</v>
      </c>
      <c r="H117" s="3491" t="s">
        <v>4412</v>
      </c>
      <c r="I117" s="3493" t="s">
        <v>4258</v>
      </c>
    </row>
    <row r="118" spans="1:9">
      <c r="A118" s="3490" t="s">
        <v>3665</v>
      </c>
      <c r="B118" s="3491">
        <v>22</v>
      </c>
      <c r="C118" s="3491" t="s">
        <v>3524</v>
      </c>
      <c r="D118" s="3491" t="s">
        <v>3784</v>
      </c>
      <c r="E118" s="3491" t="s">
        <v>4411</v>
      </c>
      <c r="F118" s="3491" t="s">
        <v>4410</v>
      </c>
      <c r="G118" s="3493">
        <f t="shared" si="1"/>
        <v>7.69</v>
      </c>
      <c r="H118" s="3491" t="s">
        <v>4412</v>
      </c>
      <c r="I118" s="3493" t="s">
        <v>4257</v>
      </c>
    </row>
    <row r="119" spans="1:9">
      <c r="A119" s="3490" t="s">
        <v>3665</v>
      </c>
      <c r="B119" s="3491">
        <v>22</v>
      </c>
      <c r="C119" s="3491" t="s">
        <v>3524</v>
      </c>
      <c r="D119" s="3491" t="s">
        <v>3787</v>
      </c>
      <c r="E119" s="3491" t="s">
        <v>4411</v>
      </c>
      <c r="F119" s="3491" t="s">
        <v>4410</v>
      </c>
      <c r="G119" s="3493">
        <f t="shared" si="1"/>
        <v>7.69</v>
      </c>
      <c r="H119" s="3491" t="s">
        <v>4412</v>
      </c>
      <c r="I119" s="3493" t="s">
        <v>4257</v>
      </c>
    </row>
    <row r="120" spans="1:9">
      <c r="A120" s="3490" t="s">
        <v>3665</v>
      </c>
      <c r="B120" s="3491">
        <v>22</v>
      </c>
      <c r="C120" s="3491" t="s">
        <v>3524</v>
      </c>
      <c r="D120" s="3491" t="s">
        <v>3790</v>
      </c>
      <c r="E120" s="3491" t="s">
        <v>4411</v>
      </c>
      <c r="F120" s="3491" t="s">
        <v>4410</v>
      </c>
      <c r="G120" s="3493">
        <f t="shared" si="1"/>
        <v>7.69</v>
      </c>
      <c r="H120" s="3491" t="s">
        <v>4412</v>
      </c>
      <c r="I120" s="3493" t="s">
        <v>4257</v>
      </c>
    </row>
    <row r="121" spans="1:9">
      <c r="A121" s="3490" t="s">
        <v>3665</v>
      </c>
      <c r="B121" s="3491">
        <v>22</v>
      </c>
      <c r="C121" s="3491" t="s">
        <v>3524</v>
      </c>
      <c r="D121" s="3491" t="s">
        <v>3793</v>
      </c>
      <c r="E121" s="3491" t="s">
        <v>4411</v>
      </c>
      <c r="F121" s="3491" t="s">
        <v>4410</v>
      </c>
      <c r="G121" s="3493">
        <f t="shared" si="1"/>
        <v>7.69</v>
      </c>
      <c r="H121" s="3491" t="s">
        <v>4412</v>
      </c>
      <c r="I121" s="3493" t="s">
        <v>4257</v>
      </c>
    </row>
    <row r="122" spans="1:9">
      <c r="A122" s="3490" t="s">
        <v>3665</v>
      </c>
      <c r="B122" s="3491">
        <v>22</v>
      </c>
      <c r="C122" s="3491" t="s">
        <v>3524</v>
      </c>
      <c r="D122" s="3491" t="s">
        <v>3796</v>
      </c>
      <c r="E122" s="3491" t="s">
        <v>4411</v>
      </c>
      <c r="F122" s="3491" t="s">
        <v>4410</v>
      </c>
      <c r="G122" s="3493">
        <f t="shared" si="1"/>
        <v>9.82</v>
      </c>
      <c r="H122" s="3491" t="s">
        <v>4412</v>
      </c>
      <c r="I122" s="3493" t="s">
        <v>4258</v>
      </c>
    </row>
    <row r="123" spans="1:9">
      <c r="A123" s="3490" t="s">
        <v>3665</v>
      </c>
      <c r="B123" s="3491">
        <v>22</v>
      </c>
      <c r="C123" s="3491" t="s">
        <v>3524</v>
      </c>
      <c r="D123" s="3491" t="s">
        <v>3799</v>
      </c>
      <c r="E123" s="3491" t="s">
        <v>4411</v>
      </c>
      <c r="F123" s="3491" t="s">
        <v>4410</v>
      </c>
      <c r="G123" s="3493">
        <f t="shared" si="1"/>
        <v>7.82</v>
      </c>
      <c r="H123" s="3491" t="s">
        <v>4412</v>
      </c>
      <c r="I123" s="3493" t="s">
        <v>4245</v>
      </c>
    </row>
    <row r="124" spans="1:9">
      <c r="A124" s="3490" t="s">
        <v>3665</v>
      </c>
      <c r="B124" s="3491">
        <v>22</v>
      </c>
      <c r="C124" s="3491" t="s">
        <v>3524</v>
      </c>
      <c r="D124" s="3491" t="s">
        <v>3802</v>
      </c>
      <c r="E124" s="3491" t="s">
        <v>4411</v>
      </c>
      <c r="F124" s="3491" t="s">
        <v>4410</v>
      </c>
      <c r="G124" s="3493">
        <f t="shared" si="1"/>
        <v>7.82</v>
      </c>
      <c r="H124" s="3491" t="s">
        <v>4412</v>
      </c>
      <c r="I124" s="3493" t="s">
        <v>4245</v>
      </c>
    </row>
    <row r="125" spans="1:9">
      <c r="A125" s="3490" t="s">
        <v>3665</v>
      </c>
      <c r="B125" s="3491">
        <v>22</v>
      </c>
      <c r="C125" s="3491" t="s">
        <v>3524</v>
      </c>
      <c r="D125" s="3491" t="s">
        <v>3805</v>
      </c>
      <c r="E125" s="3491" t="s">
        <v>4411</v>
      </c>
      <c r="F125" s="3491" t="s">
        <v>4410</v>
      </c>
      <c r="G125" s="3493">
        <f t="shared" si="1"/>
        <v>6.79</v>
      </c>
      <c r="H125" s="3491" t="s">
        <v>4412</v>
      </c>
      <c r="I125" s="3493" t="s">
        <v>4272</v>
      </c>
    </row>
    <row r="126" spans="1:9">
      <c r="A126" s="3490" t="s">
        <v>3665</v>
      </c>
      <c r="B126" s="3491">
        <v>22</v>
      </c>
      <c r="C126" s="3491" t="s">
        <v>3524</v>
      </c>
      <c r="D126" s="3491" t="s">
        <v>3808</v>
      </c>
      <c r="E126" s="3491" t="s">
        <v>4411</v>
      </c>
      <c r="F126" s="3491" t="s">
        <v>4410</v>
      </c>
      <c r="G126" s="3493">
        <f t="shared" si="1"/>
        <v>8.18</v>
      </c>
      <c r="H126" s="3491" t="s">
        <v>4412</v>
      </c>
      <c r="I126" s="3493" t="s">
        <v>4320</v>
      </c>
    </row>
    <row r="127" spans="1:9">
      <c r="A127" s="3490" t="s">
        <v>3665</v>
      </c>
      <c r="B127" s="3491">
        <v>22</v>
      </c>
      <c r="C127" s="3491" t="s">
        <v>3524</v>
      </c>
      <c r="D127" s="3491" t="s">
        <v>3811</v>
      </c>
      <c r="E127" s="3491" t="s">
        <v>4411</v>
      </c>
      <c r="F127" s="3491" t="s">
        <v>4410</v>
      </c>
      <c r="G127" s="3493">
        <f t="shared" si="1"/>
        <v>8.31</v>
      </c>
      <c r="H127" s="3491" t="s">
        <v>4412</v>
      </c>
      <c r="I127" s="3493" t="s">
        <v>4237</v>
      </c>
    </row>
    <row r="128" spans="1:9">
      <c r="A128" s="3490" t="s">
        <v>3665</v>
      </c>
      <c r="B128" s="3491">
        <v>22</v>
      </c>
      <c r="C128" s="3491" t="s">
        <v>3524</v>
      </c>
      <c r="D128" s="3491" t="s">
        <v>3814</v>
      </c>
      <c r="E128" s="3491" t="s">
        <v>4411</v>
      </c>
      <c r="F128" s="3491" t="s">
        <v>4410</v>
      </c>
      <c r="G128" s="3493">
        <f t="shared" si="1"/>
        <v>10.59</v>
      </c>
      <c r="H128" s="3491" t="s">
        <v>4412</v>
      </c>
      <c r="I128" s="3493" t="s">
        <v>4304</v>
      </c>
    </row>
    <row r="129" spans="1:9">
      <c r="A129" s="3490" t="s">
        <v>3665</v>
      </c>
      <c r="B129" s="3491">
        <v>22</v>
      </c>
      <c r="C129" s="3491" t="s">
        <v>3524</v>
      </c>
      <c r="D129" s="3491" t="s">
        <v>3817</v>
      </c>
      <c r="E129" s="3491" t="s">
        <v>4411</v>
      </c>
      <c r="F129" s="3491" t="s">
        <v>4410</v>
      </c>
      <c r="G129" s="3493">
        <f t="shared" si="1"/>
        <v>10.59</v>
      </c>
      <c r="H129" s="3491" t="s">
        <v>4412</v>
      </c>
      <c r="I129" s="3493" t="s">
        <v>4304</v>
      </c>
    </row>
    <row r="130" spans="1:9">
      <c r="A130" s="3490" t="s">
        <v>3665</v>
      </c>
      <c r="B130" s="3491">
        <v>22</v>
      </c>
      <c r="C130" s="3491" t="s">
        <v>3524</v>
      </c>
      <c r="D130" s="3491" t="s">
        <v>3820</v>
      </c>
      <c r="E130" s="3491" t="s">
        <v>4411</v>
      </c>
      <c r="F130" s="3491" t="s">
        <v>4410</v>
      </c>
      <c r="G130" s="3493">
        <f t="shared" si="1"/>
        <v>10.59</v>
      </c>
      <c r="H130" s="3491" t="s">
        <v>4412</v>
      </c>
      <c r="I130" s="3493" t="s">
        <v>4304</v>
      </c>
    </row>
    <row r="131" spans="1:9">
      <c r="A131" s="3490" t="s">
        <v>3665</v>
      </c>
      <c r="B131" s="3491">
        <v>22</v>
      </c>
      <c r="C131" s="3491" t="s">
        <v>3524</v>
      </c>
      <c r="D131" s="3491" t="s">
        <v>3823</v>
      </c>
      <c r="E131" s="3491" t="s">
        <v>4411</v>
      </c>
      <c r="F131" s="3491" t="s">
        <v>4410</v>
      </c>
      <c r="G131" s="3493">
        <f t="shared" si="1"/>
        <v>8.31</v>
      </c>
      <c r="H131" s="3491" t="s">
        <v>4412</v>
      </c>
      <c r="I131" s="3493" t="s">
        <v>4237</v>
      </c>
    </row>
    <row r="132" spans="1:9">
      <c r="A132" s="3490" t="s">
        <v>3665</v>
      </c>
      <c r="B132" s="3491">
        <v>22</v>
      </c>
      <c r="C132" s="3491" t="s">
        <v>3524</v>
      </c>
      <c r="D132" s="3491" t="s">
        <v>3826</v>
      </c>
      <c r="E132" s="3491" t="s">
        <v>4411</v>
      </c>
      <c r="F132" s="3491" t="s">
        <v>4410</v>
      </c>
      <c r="G132" s="3493">
        <f t="shared" si="1"/>
        <v>8.18</v>
      </c>
      <c r="H132" s="3491" t="s">
        <v>4412</v>
      </c>
      <c r="I132" s="3493" t="s">
        <v>4320</v>
      </c>
    </row>
    <row r="133" spans="1:9">
      <c r="A133" s="3490" t="s">
        <v>3665</v>
      </c>
      <c r="B133" s="3491">
        <v>22</v>
      </c>
      <c r="C133" s="3491" t="s">
        <v>3524</v>
      </c>
      <c r="D133" s="3491" t="s">
        <v>3829</v>
      </c>
      <c r="E133" s="3491" t="s">
        <v>4411</v>
      </c>
      <c r="F133" s="3491" t="s">
        <v>4410</v>
      </c>
      <c r="G133" s="3493">
        <f t="shared" si="1"/>
        <v>9.0500000000000007</v>
      </c>
      <c r="H133" s="3491" t="s">
        <v>4412</v>
      </c>
      <c r="I133" s="3493" t="s">
        <v>4302</v>
      </c>
    </row>
    <row r="134" spans="1:9">
      <c r="A134" s="3490" t="s">
        <v>3665</v>
      </c>
      <c r="B134" s="3491">
        <v>22</v>
      </c>
      <c r="C134" s="3491" t="s">
        <v>3524</v>
      </c>
      <c r="D134" s="3491" t="s">
        <v>3832</v>
      </c>
      <c r="E134" s="3491" t="s">
        <v>4411</v>
      </c>
      <c r="F134" s="3491" t="s">
        <v>4410</v>
      </c>
      <c r="G134" s="3493">
        <f t="shared" ref="G134:G197" si="2">I134*$J$1</f>
        <v>9.0500000000000007</v>
      </c>
      <c r="H134" s="3491" t="s">
        <v>4412</v>
      </c>
      <c r="I134" s="3493" t="s">
        <v>4302</v>
      </c>
    </row>
    <row r="135" spans="1:9">
      <c r="A135" s="3490" t="s">
        <v>3665</v>
      </c>
      <c r="B135" s="3491">
        <v>22</v>
      </c>
      <c r="C135" s="3491" t="s">
        <v>3524</v>
      </c>
      <c r="D135" s="3491" t="s">
        <v>3835</v>
      </c>
      <c r="E135" s="3491" t="s">
        <v>4411</v>
      </c>
      <c r="F135" s="3491" t="s">
        <v>4410</v>
      </c>
      <c r="G135" s="3493">
        <f t="shared" si="2"/>
        <v>9.0500000000000007</v>
      </c>
      <c r="H135" s="3491" t="s">
        <v>4412</v>
      </c>
      <c r="I135" s="3493" t="s">
        <v>4302</v>
      </c>
    </row>
    <row r="136" spans="1:9">
      <c r="A136" s="3490" t="s">
        <v>3665</v>
      </c>
      <c r="B136" s="3491">
        <v>22</v>
      </c>
      <c r="C136" s="3491" t="s">
        <v>3524</v>
      </c>
      <c r="D136" s="3491" t="s">
        <v>3838</v>
      </c>
      <c r="E136" s="3491" t="s">
        <v>4411</v>
      </c>
      <c r="F136" s="3491" t="s">
        <v>4410</v>
      </c>
      <c r="G136" s="3493">
        <f t="shared" si="2"/>
        <v>10.63</v>
      </c>
      <c r="H136" s="3491" t="s">
        <v>4412</v>
      </c>
      <c r="I136" s="3493" t="s">
        <v>4295</v>
      </c>
    </row>
    <row r="137" spans="1:9">
      <c r="A137" s="3490" t="s">
        <v>3665</v>
      </c>
      <c r="B137" s="3491">
        <v>22</v>
      </c>
      <c r="C137" s="3491" t="s">
        <v>3524</v>
      </c>
      <c r="D137" s="3491" t="s">
        <v>3841</v>
      </c>
      <c r="E137" s="3491" t="s">
        <v>4411</v>
      </c>
      <c r="F137" s="3491" t="s">
        <v>4410</v>
      </c>
      <c r="G137" s="3493">
        <f t="shared" si="2"/>
        <v>8.1999999999999993</v>
      </c>
      <c r="H137" s="3491" t="s">
        <v>4412</v>
      </c>
      <c r="I137" s="3493" t="s">
        <v>4271</v>
      </c>
    </row>
    <row r="138" spans="1:9">
      <c r="A138" s="3490" t="s">
        <v>3665</v>
      </c>
      <c r="B138" s="3491">
        <v>22</v>
      </c>
      <c r="C138" s="3491" t="s">
        <v>3524</v>
      </c>
      <c r="D138" s="3491" t="s">
        <v>3844</v>
      </c>
      <c r="E138" s="3491" t="s">
        <v>4411</v>
      </c>
      <c r="F138" s="3491" t="s">
        <v>4410</v>
      </c>
      <c r="G138" s="3493">
        <f t="shared" si="2"/>
        <v>10.32</v>
      </c>
      <c r="H138" s="3491" t="s">
        <v>4412</v>
      </c>
      <c r="I138" s="3493" t="s">
        <v>4241</v>
      </c>
    </row>
    <row r="139" spans="1:9">
      <c r="A139" s="3490" t="s">
        <v>3846</v>
      </c>
      <c r="B139" s="3491">
        <v>15</v>
      </c>
      <c r="C139" s="3491" t="s">
        <v>3442</v>
      </c>
      <c r="D139" s="3491" t="s">
        <v>3848</v>
      </c>
      <c r="E139" s="3491" t="s">
        <v>4411</v>
      </c>
      <c r="F139" s="3491" t="s">
        <v>4410</v>
      </c>
      <c r="G139" s="3493">
        <f t="shared" si="2"/>
        <v>6.94</v>
      </c>
      <c r="H139" s="3491" t="s">
        <v>4412</v>
      </c>
      <c r="I139" s="3493" t="s">
        <v>4290</v>
      </c>
    </row>
    <row r="140" spans="1:9">
      <c r="A140" s="3490" t="s">
        <v>3846</v>
      </c>
      <c r="B140" s="3491">
        <v>15</v>
      </c>
      <c r="C140" s="3491" t="s">
        <v>3442</v>
      </c>
      <c r="D140" s="3491" t="s">
        <v>3851</v>
      </c>
      <c r="E140" s="3491" t="s">
        <v>4411</v>
      </c>
      <c r="F140" s="3491" t="s">
        <v>4410</v>
      </c>
      <c r="G140" s="3493">
        <f t="shared" si="2"/>
        <v>8.3000000000000007</v>
      </c>
      <c r="H140" s="3491" t="s">
        <v>4412</v>
      </c>
      <c r="I140" s="3493" t="s">
        <v>4260</v>
      </c>
    </row>
    <row r="141" spans="1:9">
      <c r="A141" s="3490" t="s">
        <v>3846</v>
      </c>
      <c r="B141" s="3491">
        <v>15</v>
      </c>
      <c r="C141" s="3491" t="s">
        <v>3442</v>
      </c>
      <c r="D141" s="3491" t="s">
        <v>3853</v>
      </c>
      <c r="E141" s="3491" t="s">
        <v>4411</v>
      </c>
      <c r="F141" s="3491" t="s">
        <v>4410</v>
      </c>
      <c r="G141" s="3493">
        <f t="shared" si="2"/>
        <v>8.42</v>
      </c>
      <c r="H141" s="3491" t="s">
        <v>4412</v>
      </c>
      <c r="I141" s="3493" t="s">
        <v>4326</v>
      </c>
    </row>
    <row r="142" spans="1:9">
      <c r="A142" s="3490" t="s">
        <v>3846</v>
      </c>
      <c r="B142" s="3491">
        <v>15</v>
      </c>
      <c r="C142" s="3491" t="s">
        <v>3442</v>
      </c>
      <c r="D142" s="3491" t="s">
        <v>3855</v>
      </c>
      <c r="E142" s="3491" t="s">
        <v>4411</v>
      </c>
      <c r="F142" s="3491" t="s">
        <v>4410</v>
      </c>
      <c r="G142" s="3493">
        <f t="shared" si="2"/>
        <v>8.42</v>
      </c>
      <c r="H142" s="3491" t="s">
        <v>4412</v>
      </c>
      <c r="I142" s="3493" t="s">
        <v>4326</v>
      </c>
    </row>
    <row r="143" spans="1:9">
      <c r="A143" s="3490" t="s">
        <v>3846</v>
      </c>
      <c r="B143" s="3491">
        <v>15</v>
      </c>
      <c r="C143" s="3491" t="s">
        <v>3442</v>
      </c>
      <c r="D143" s="3491" t="s">
        <v>3857</v>
      </c>
      <c r="E143" s="3491" t="s">
        <v>4411</v>
      </c>
      <c r="F143" s="3491" t="s">
        <v>4410</v>
      </c>
      <c r="G143" s="3493">
        <f t="shared" si="2"/>
        <v>8.3000000000000007</v>
      </c>
      <c r="H143" s="3491" t="s">
        <v>4412</v>
      </c>
      <c r="I143" s="3493" t="s">
        <v>4260</v>
      </c>
    </row>
    <row r="144" spans="1:9">
      <c r="A144" s="3490" t="s">
        <v>3846</v>
      </c>
      <c r="B144" s="3491">
        <v>15</v>
      </c>
      <c r="C144" s="3491" t="s">
        <v>3442</v>
      </c>
      <c r="D144" s="3491" t="s">
        <v>3860</v>
      </c>
      <c r="E144" s="3491" t="s">
        <v>4411</v>
      </c>
      <c r="F144" s="3491" t="s">
        <v>4410</v>
      </c>
      <c r="G144" s="3493">
        <f t="shared" si="2"/>
        <v>11.48</v>
      </c>
      <c r="H144" s="3491" t="s">
        <v>4412</v>
      </c>
      <c r="I144" s="3493" t="s">
        <v>4273</v>
      </c>
    </row>
    <row r="145" spans="1:9">
      <c r="A145" s="3490" t="s">
        <v>3846</v>
      </c>
      <c r="B145" s="3491">
        <v>15</v>
      </c>
      <c r="C145" s="3491" t="s">
        <v>3442</v>
      </c>
      <c r="D145" s="3491" t="s">
        <v>3863</v>
      </c>
      <c r="E145" s="3491" t="s">
        <v>4411</v>
      </c>
      <c r="F145" s="3491" t="s">
        <v>4410</v>
      </c>
      <c r="G145" s="3493">
        <f t="shared" si="2"/>
        <v>8.86</v>
      </c>
      <c r="H145" s="3491" t="s">
        <v>4412</v>
      </c>
      <c r="I145" s="3493" t="s">
        <v>4291</v>
      </c>
    </row>
    <row r="146" spans="1:9">
      <c r="A146" s="3490" t="s">
        <v>3865</v>
      </c>
      <c r="B146" s="3491">
        <v>22</v>
      </c>
      <c r="C146" s="3491" t="s">
        <v>3442</v>
      </c>
      <c r="D146" s="3491" t="s">
        <v>3867</v>
      </c>
      <c r="E146" s="3491" t="s">
        <v>4411</v>
      </c>
      <c r="F146" s="3491" t="s">
        <v>4410</v>
      </c>
      <c r="G146" s="3493">
        <f t="shared" si="2"/>
        <v>8.1300000000000008</v>
      </c>
      <c r="H146" s="3491" t="s">
        <v>4412</v>
      </c>
      <c r="I146" s="3493" t="s">
        <v>4254</v>
      </c>
    </row>
    <row r="147" spans="1:9">
      <c r="A147" s="3490" t="s">
        <v>3865</v>
      </c>
      <c r="B147" s="3491">
        <v>22</v>
      </c>
      <c r="C147" s="3491" t="s">
        <v>3442</v>
      </c>
      <c r="D147" s="3491" t="s">
        <v>3870</v>
      </c>
      <c r="E147" s="3491" t="s">
        <v>4411</v>
      </c>
      <c r="F147" s="3491" t="s">
        <v>4410</v>
      </c>
      <c r="G147" s="3493">
        <f t="shared" si="2"/>
        <v>10.54</v>
      </c>
      <c r="H147" s="3491" t="s">
        <v>4412</v>
      </c>
      <c r="I147" s="3493" t="s">
        <v>4250</v>
      </c>
    </row>
    <row r="148" spans="1:9">
      <c r="A148" s="3490" t="s">
        <v>3865</v>
      </c>
      <c r="B148" s="3491">
        <v>22</v>
      </c>
      <c r="C148" s="3491" t="s">
        <v>3442</v>
      </c>
      <c r="D148" s="3491" t="s">
        <v>3873</v>
      </c>
      <c r="E148" s="3491" t="s">
        <v>4411</v>
      </c>
      <c r="F148" s="3491" t="s">
        <v>4410</v>
      </c>
      <c r="G148" s="3493">
        <f t="shared" si="2"/>
        <v>7.61</v>
      </c>
      <c r="H148" s="3491" t="s">
        <v>4412</v>
      </c>
      <c r="I148" s="3493" t="s">
        <v>4249</v>
      </c>
    </row>
    <row r="149" spans="1:9">
      <c r="A149" s="3490" t="s">
        <v>3865</v>
      </c>
      <c r="B149" s="3491">
        <v>22</v>
      </c>
      <c r="C149" s="3491" t="s">
        <v>3442</v>
      </c>
      <c r="D149" s="3491" t="s">
        <v>3876</v>
      </c>
      <c r="E149" s="3491" t="s">
        <v>4411</v>
      </c>
      <c r="F149" s="3491" t="s">
        <v>4410</v>
      </c>
      <c r="G149" s="3493">
        <f t="shared" si="2"/>
        <v>8.24</v>
      </c>
      <c r="H149" s="3491" t="s">
        <v>4412</v>
      </c>
      <c r="I149" s="3493" t="s">
        <v>4251</v>
      </c>
    </row>
    <row r="150" spans="1:9">
      <c r="A150" s="3490" t="s">
        <v>3865</v>
      </c>
      <c r="B150" s="3491">
        <v>22</v>
      </c>
      <c r="C150" s="3491" t="s">
        <v>3442</v>
      </c>
      <c r="D150" s="3491" t="s">
        <v>3879</v>
      </c>
      <c r="E150" s="3491" t="s">
        <v>4411</v>
      </c>
      <c r="F150" s="3491" t="s">
        <v>4410</v>
      </c>
      <c r="G150" s="3493">
        <f t="shared" si="2"/>
        <v>10.51</v>
      </c>
      <c r="H150" s="3491" t="s">
        <v>4412</v>
      </c>
      <c r="I150" s="3493" t="s">
        <v>4363</v>
      </c>
    </row>
    <row r="151" spans="1:9">
      <c r="A151" s="3490" t="s">
        <v>3865</v>
      </c>
      <c r="B151" s="3491">
        <v>22</v>
      </c>
      <c r="C151" s="3491" t="s">
        <v>3442</v>
      </c>
      <c r="D151" s="3491" t="s">
        <v>3882</v>
      </c>
      <c r="E151" s="3491" t="s">
        <v>4411</v>
      </c>
      <c r="F151" s="3491" t="s">
        <v>4410</v>
      </c>
      <c r="G151" s="3493">
        <f t="shared" si="2"/>
        <v>10.51</v>
      </c>
      <c r="H151" s="3491" t="s">
        <v>4412</v>
      </c>
      <c r="I151" s="3493" t="s">
        <v>4363</v>
      </c>
    </row>
    <row r="152" spans="1:9">
      <c r="A152" s="3490" t="s">
        <v>3865</v>
      </c>
      <c r="B152" s="3491">
        <v>22</v>
      </c>
      <c r="C152" s="3491" t="s">
        <v>3442</v>
      </c>
      <c r="D152" s="3491" t="s">
        <v>3885</v>
      </c>
      <c r="E152" s="3491" t="s">
        <v>4411</v>
      </c>
      <c r="F152" s="3491" t="s">
        <v>4410</v>
      </c>
      <c r="G152" s="3493">
        <f t="shared" si="2"/>
        <v>6.38</v>
      </c>
      <c r="H152" s="3491" t="s">
        <v>4412</v>
      </c>
      <c r="I152" s="3493" t="s">
        <v>4364</v>
      </c>
    </row>
    <row r="153" spans="1:9">
      <c r="A153" s="3490" t="s">
        <v>3865</v>
      </c>
      <c r="B153" s="3491">
        <v>22</v>
      </c>
      <c r="C153" s="3491" t="s">
        <v>3442</v>
      </c>
      <c r="D153" s="3491" t="s">
        <v>3888</v>
      </c>
      <c r="E153" s="3491" t="s">
        <v>4411</v>
      </c>
      <c r="F153" s="3491" t="s">
        <v>4410</v>
      </c>
      <c r="G153" s="3493">
        <f t="shared" si="2"/>
        <v>4.3899999999999997</v>
      </c>
      <c r="H153" s="3491" t="s">
        <v>4412</v>
      </c>
      <c r="I153" s="3493" t="s">
        <v>4365</v>
      </c>
    </row>
    <row r="154" spans="1:9">
      <c r="A154" s="3490" t="s">
        <v>3865</v>
      </c>
      <c r="B154" s="3491">
        <v>22</v>
      </c>
      <c r="C154" s="3491" t="s">
        <v>3442</v>
      </c>
      <c r="D154" s="3491" t="s">
        <v>3891</v>
      </c>
      <c r="E154" s="3491" t="s">
        <v>4411</v>
      </c>
      <c r="F154" s="3491" t="s">
        <v>4410</v>
      </c>
      <c r="G154" s="3493">
        <f t="shared" si="2"/>
        <v>7.1</v>
      </c>
      <c r="H154" s="3491" t="s">
        <v>4412</v>
      </c>
      <c r="I154" s="3493" t="s">
        <v>4310</v>
      </c>
    </row>
    <row r="155" spans="1:9">
      <c r="A155" s="3490" t="s">
        <v>3865</v>
      </c>
      <c r="B155" s="3491">
        <v>22</v>
      </c>
      <c r="C155" s="3491" t="s">
        <v>3442</v>
      </c>
      <c r="D155" s="3491" t="s">
        <v>3894</v>
      </c>
      <c r="E155" s="3491" t="s">
        <v>4411</v>
      </c>
      <c r="F155" s="3491" t="s">
        <v>4410</v>
      </c>
      <c r="G155" s="3493">
        <f t="shared" si="2"/>
        <v>6.88</v>
      </c>
      <c r="H155" s="3491" t="s">
        <v>4412</v>
      </c>
      <c r="I155" s="3493" t="s">
        <v>4312</v>
      </c>
    </row>
    <row r="156" spans="1:9">
      <c r="A156" s="3490" t="s">
        <v>3865</v>
      </c>
      <c r="B156" s="3491">
        <v>22</v>
      </c>
      <c r="C156" s="3491" t="s">
        <v>3524</v>
      </c>
      <c r="D156" s="3491" t="s">
        <v>3897</v>
      </c>
      <c r="E156" s="3491" t="s">
        <v>4411</v>
      </c>
      <c r="F156" s="3491" t="s">
        <v>4410</v>
      </c>
      <c r="G156" s="3493">
        <f t="shared" si="2"/>
        <v>10.23</v>
      </c>
      <c r="H156" s="3491" t="s">
        <v>4412</v>
      </c>
      <c r="I156" s="3493" t="s">
        <v>4252</v>
      </c>
    </row>
    <row r="157" spans="1:9">
      <c r="A157" s="3490" t="s">
        <v>3865</v>
      </c>
      <c r="B157" s="3491">
        <v>22</v>
      </c>
      <c r="C157" s="3491" t="s">
        <v>3524</v>
      </c>
      <c r="D157" s="3491" t="s">
        <v>3900</v>
      </c>
      <c r="E157" s="3491" t="s">
        <v>4411</v>
      </c>
      <c r="F157" s="3491" t="s">
        <v>4410</v>
      </c>
      <c r="G157" s="3493">
        <f t="shared" si="2"/>
        <v>8.9700000000000006</v>
      </c>
      <c r="H157" s="3491" t="s">
        <v>4412</v>
      </c>
      <c r="I157" s="3493" t="s">
        <v>4253</v>
      </c>
    </row>
    <row r="158" spans="1:9">
      <c r="A158" s="3490" t="s">
        <v>3865</v>
      </c>
      <c r="B158" s="3491">
        <v>22</v>
      </c>
      <c r="C158" s="3491" t="s">
        <v>3524</v>
      </c>
      <c r="D158" s="3491" t="s">
        <v>3903</v>
      </c>
      <c r="E158" s="3491" t="s">
        <v>4411</v>
      </c>
      <c r="F158" s="3491" t="s">
        <v>4410</v>
      </c>
      <c r="G158" s="3493">
        <f t="shared" si="2"/>
        <v>8.9700000000000006</v>
      </c>
      <c r="H158" s="3491" t="s">
        <v>4412</v>
      </c>
      <c r="I158" s="3493" t="s">
        <v>4253</v>
      </c>
    </row>
    <row r="159" spans="1:9">
      <c r="A159" s="3490" t="s">
        <v>3865</v>
      </c>
      <c r="B159" s="3491">
        <v>22</v>
      </c>
      <c r="C159" s="3491" t="s">
        <v>3524</v>
      </c>
      <c r="D159" s="3491" t="s">
        <v>3906</v>
      </c>
      <c r="E159" s="3491" t="s">
        <v>4411</v>
      </c>
      <c r="F159" s="3491" t="s">
        <v>4410</v>
      </c>
      <c r="G159" s="3493">
        <f t="shared" si="2"/>
        <v>8.9700000000000006</v>
      </c>
      <c r="H159" s="3491" t="s">
        <v>4412</v>
      </c>
      <c r="I159" s="3493" t="s">
        <v>4253</v>
      </c>
    </row>
    <row r="160" spans="1:9">
      <c r="A160" s="3490" t="s">
        <v>3865</v>
      </c>
      <c r="B160" s="3491">
        <v>22</v>
      </c>
      <c r="C160" s="3491" t="s">
        <v>3524</v>
      </c>
      <c r="D160" s="3491" t="s">
        <v>3909</v>
      </c>
      <c r="E160" s="3491" t="s">
        <v>4411</v>
      </c>
      <c r="F160" s="3491" t="s">
        <v>4410</v>
      </c>
      <c r="G160" s="3493">
        <f t="shared" si="2"/>
        <v>8.1300000000000008</v>
      </c>
      <c r="H160" s="3491" t="s">
        <v>4412</v>
      </c>
      <c r="I160" s="3493" t="s">
        <v>4254</v>
      </c>
    </row>
    <row r="161" spans="1:9">
      <c r="A161" s="3490" t="s">
        <v>3865</v>
      </c>
      <c r="B161" s="3491">
        <v>22</v>
      </c>
      <c r="C161" s="3491" t="s">
        <v>3524</v>
      </c>
      <c r="D161" s="3491" t="s">
        <v>3912</v>
      </c>
      <c r="E161" s="3491" t="s">
        <v>4411</v>
      </c>
      <c r="F161" s="3491" t="s">
        <v>4410</v>
      </c>
      <c r="G161" s="3493">
        <f t="shared" si="2"/>
        <v>10.54</v>
      </c>
      <c r="H161" s="3491" t="s">
        <v>4412</v>
      </c>
      <c r="I161" s="3493" t="s">
        <v>4250</v>
      </c>
    </row>
    <row r="162" spans="1:9">
      <c r="A162" s="3490" t="s">
        <v>3865</v>
      </c>
      <c r="B162" s="3491">
        <v>22</v>
      </c>
      <c r="C162" s="3491" t="s">
        <v>3524</v>
      </c>
      <c r="D162" s="3491" t="s">
        <v>3915</v>
      </c>
      <c r="E162" s="3491" t="s">
        <v>4411</v>
      </c>
      <c r="F162" s="3491" t="s">
        <v>4410</v>
      </c>
      <c r="G162" s="3493">
        <f t="shared" si="2"/>
        <v>9.2200000000000006</v>
      </c>
      <c r="H162" s="3491" t="s">
        <v>4412</v>
      </c>
      <c r="I162" s="3493" t="s">
        <v>4327</v>
      </c>
    </row>
    <row r="163" spans="1:9">
      <c r="A163" s="3490" t="s">
        <v>3865</v>
      </c>
      <c r="B163" s="3491">
        <v>22</v>
      </c>
      <c r="C163" s="3491" t="s">
        <v>3524</v>
      </c>
      <c r="D163" s="3491" t="s">
        <v>3918</v>
      </c>
      <c r="E163" s="3491" t="s">
        <v>4411</v>
      </c>
      <c r="F163" s="3491" t="s">
        <v>4410</v>
      </c>
      <c r="G163" s="3493">
        <f t="shared" si="2"/>
        <v>6.46</v>
      </c>
      <c r="H163" s="3491" t="s">
        <v>4412</v>
      </c>
      <c r="I163" s="3493" t="s">
        <v>4328</v>
      </c>
    </row>
    <row r="164" spans="1:9">
      <c r="A164" s="3490" t="s">
        <v>3865</v>
      </c>
      <c r="B164" s="3491">
        <v>22</v>
      </c>
      <c r="C164" s="3491" t="s">
        <v>3524</v>
      </c>
      <c r="D164" s="3491" t="s">
        <v>3921</v>
      </c>
      <c r="E164" s="3491" t="s">
        <v>4411</v>
      </c>
      <c r="F164" s="3491" t="s">
        <v>4410</v>
      </c>
      <c r="G164" s="3493">
        <f t="shared" si="2"/>
        <v>6.74</v>
      </c>
      <c r="H164" s="3491" t="s">
        <v>4412</v>
      </c>
      <c r="I164" s="3493" t="s">
        <v>4313</v>
      </c>
    </row>
    <row r="165" spans="1:9">
      <c r="A165" s="3490" t="s">
        <v>3865</v>
      </c>
      <c r="B165" s="3491">
        <v>22</v>
      </c>
      <c r="C165" s="3491" t="s">
        <v>3524</v>
      </c>
      <c r="D165" s="3491" t="s">
        <v>3924</v>
      </c>
      <c r="E165" s="3491" t="s">
        <v>4411</v>
      </c>
      <c r="F165" s="3491" t="s">
        <v>4410</v>
      </c>
      <c r="G165" s="3493">
        <f t="shared" si="2"/>
        <v>8.07</v>
      </c>
      <c r="H165" s="3491" t="s">
        <v>4412</v>
      </c>
      <c r="I165" s="3493" t="s">
        <v>4335</v>
      </c>
    </row>
    <row r="166" spans="1:9">
      <c r="A166" s="3490" t="s">
        <v>3865</v>
      </c>
      <c r="B166" s="3491">
        <v>22</v>
      </c>
      <c r="C166" s="3491" t="s">
        <v>3524</v>
      </c>
      <c r="D166" s="3491" t="s">
        <v>3927</v>
      </c>
      <c r="E166" s="3491" t="s">
        <v>4411</v>
      </c>
      <c r="F166" s="3491" t="s">
        <v>4410</v>
      </c>
      <c r="G166" s="3493">
        <f t="shared" si="2"/>
        <v>5.23</v>
      </c>
      <c r="H166" s="3491" t="s">
        <v>4412</v>
      </c>
      <c r="I166" s="3493" t="s">
        <v>4336</v>
      </c>
    </row>
    <row r="167" spans="1:9">
      <c r="A167" s="3490" t="s">
        <v>3865</v>
      </c>
      <c r="B167" s="3491">
        <v>22</v>
      </c>
      <c r="C167" s="3491" t="s">
        <v>3524</v>
      </c>
      <c r="D167" s="3491" t="s">
        <v>3930</v>
      </c>
      <c r="E167" s="3491" t="s">
        <v>4411</v>
      </c>
      <c r="F167" s="3491" t="s">
        <v>4410</v>
      </c>
      <c r="G167" s="3493">
        <f t="shared" si="2"/>
        <v>7.75</v>
      </c>
      <c r="H167" s="3491" t="s">
        <v>4412</v>
      </c>
      <c r="I167" s="3493" t="s">
        <v>4337</v>
      </c>
    </row>
    <row r="168" spans="1:9">
      <c r="A168" s="3490" t="s">
        <v>3865</v>
      </c>
      <c r="B168" s="3491">
        <v>22</v>
      </c>
      <c r="C168" s="3491" t="s">
        <v>3524</v>
      </c>
      <c r="D168" s="3491" t="s">
        <v>3933</v>
      </c>
      <c r="E168" s="3491" t="s">
        <v>4411</v>
      </c>
      <c r="F168" s="3491" t="s">
        <v>4410</v>
      </c>
      <c r="G168" s="3493">
        <f t="shared" si="2"/>
        <v>8.2100000000000009</v>
      </c>
      <c r="H168" s="3491" t="s">
        <v>4412</v>
      </c>
      <c r="I168" s="3493" t="s">
        <v>4338</v>
      </c>
    </row>
    <row r="169" spans="1:9">
      <c r="A169" s="3490" t="s">
        <v>3865</v>
      </c>
      <c r="B169" s="3491">
        <v>22</v>
      </c>
      <c r="C169" s="3491" t="s">
        <v>3524</v>
      </c>
      <c r="D169" s="3491" t="s">
        <v>3936</v>
      </c>
      <c r="E169" s="3491" t="s">
        <v>4411</v>
      </c>
      <c r="F169" s="3491" t="s">
        <v>4410</v>
      </c>
      <c r="G169" s="3493">
        <f t="shared" si="2"/>
        <v>7.83</v>
      </c>
      <c r="H169" s="3491" t="s">
        <v>4412</v>
      </c>
      <c r="I169" s="3493" t="s">
        <v>4339</v>
      </c>
    </row>
    <row r="170" spans="1:9">
      <c r="A170" s="3490" t="s">
        <v>3865</v>
      </c>
      <c r="B170" s="3491">
        <v>22</v>
      </c>
      <c r="C170" s="3491" t="s">
        <v>3524</v>
      </c>
      <c r="D170" s="3491" t="s">
        <v>3939</v>
      </c>
      <c r="E170" s="3491" t="s">
        <v>4411</v>
      </c>
      <c r="F170" s="3491" t="s">
        <v>4410</v>
      </c>
      <c r="G170" s="3493">
        <f t="shared" si="2"/>
        <v>7.59</v>
      </c>
      <c r="H170" s="3491" t="s">
        <v>4412</v>
      </c>
      <c r="I170" s="3493" t="s">
        <v>4340</v>
      </c>
    </row>
    <row r="171" spans="1:9">
      <c r="A171" s="3490" t="s">
        <v>3941</v>
      </c>
      <c r="B171" s="3491">
        <v>22</v>
      </c>
      <c r="C171" s="3491" t="s">
        <v>3524</v>
      </c>
      <c r="D171" s="3491" t="s">
        <v>3943</v>
      </c>
      <c r="E171" s="3491" t="s">
        <v>4411</v>
      </c>
      <c r="F171" s="3491" t="s">
        <v>4410</v>
      </c>
      <c r="G171" s="3493">
        <f t="shared" si="2"/>
        <v>10.11</v>
      </c>
      <c r="H171" s="3491" t="s">
        <v>4412</v>
      </c>
      <c r="I171" s="3493" t="s">
        <v>4329</v>
      </c>
    </row>
    <row r="172" spans="1:9">
      <c r="A172" s="3490" t="s">
        <v>3941</v>
      </c>
      <c r="B172" s="3491">
        <v>22</v>
      </c>
      <c r="C172" s="3491" t="s">
        <v>3524</v>
      </c>
      <c r="D172" s="3491" t="s">
        <v>3946</v>
      </c>
      <c r="E172" s="3491" t="s">
        <v>4411</v>
      </c>
      <c r="F172" s="3491" t="s">
        <v>4410</v>
      </c>
      <c r="G172" s="3493">
        <f t="shared" si="2"/>
        <v>8.8699999999999992</v>
      </c>
      <c r="H172" s="3491" t="s">
        <v>4412</v>
      </c>
      <c r="I172" s="3493" t="s">
        <v>4281</v>
      </c>
    </row>
    <row r="173" spans="1:9">
      <c r="A173" s="3490" t="s">
        <v>3941</v>
      </c>
      <c r="B173" s="3491">
        <v>22</v>
      </c>
      <c r="C173" s="3491" t="s">
        <v>3524</v>
      </c>
      <c r="D173" s="3491" t="s">
        <v>3949</v>
      </c>
      <c r="E173" s="3491" t="s">
        <v>4411</v>
      </c>
      <c r="F173" s="3491" t="s">
        <v>4410</v>
      </c>
      <c r="G173" s="3493">
        <f t="shared" si="2"/>
        <v>8.8699999999999992</v>
      </c>
      <c r="H173" s="3491" t="s">
        <v>4412</v>
      </c>
      <c r="I173" s="3493" t="s">
        <v>4281</v>
      </c>
    </row>
    <row r="174" spans="1:9">
      <c r="A174" s="3490" t="s">
        <v>3941</v>
      </c>
      <c r="B174" s="3491">
        <v>22</v>
      </c>
      <c r="C174" s="3491" t="s">
        <v>3524</v>
      </c>
      <c r="D174" s="3491" t="s">
        <v>3952</v>
      </c>
      <c r="E174" s="3491" t="s">
        <v>4411</v>
      </c>
      <c r="F174" s="3491" t="s">
        <v>4410</v>
      </c>
      <c r="G174" s="3493">
        <f t="shared" si="2"/>
        <v>8.8699999999999992</v>
      </c>
      <c r="H174" s="3491" t="s">
        <v>4412</v>
      </c>
      <c r="I174" s="3493" t="s">
        <v>4281</v>
      </c>
    </row>
    <row r="175" spans="1:9">
      <c r="A175" s="3490" t="s">
        <v>3941</v>
      </c>
      <c r="B175" s="3491">
        <v>22</v>
      </c>
      <c r="C175" s="3491" t="s">
        <v>3524</v>
      </c>
      <c r="D175" s="3491" t="s">
        <v>3955</v>
      </c>
      <c r="E175" s="3491" t="s">
        <v>4411</v>
      </c>
      <c r="F175" s="3491" t="s">
        <v>4410</v>
      </c>
      <c r="G175" s="3493">
        <f t="shared" si="2"/>
        <v>8.0399999999999991</v>
      </c>
      <c r="H175" s="3491" t="s">
        <v>4412</v>
      </c>
      <c r="I175" s="3493" t="s">
        <v>4333</v>
      </c>
    </row>
    <row r="176" spans="1:9">
      <c r="A176" s="3490" t="s">
        <v>3941</v>
      </c>
      <c r="B176" s="3491">
        <v>22</v>
      </c>
      <c r="C176" s="3491" t="s">
        <v>3524</v>
      </c>
      <c r="D176" s="3491" t="s">
        <v>3958</v>
      </c>
      <c r="E176" s="3491" t="s">
        <v>4411</v>
      </c>
      <c r="F176" s="3491" t="s">
        <v>4410</v>
      </c>
      <c r="G176" s="3493">
        <f t="shared" si="2"/>
        <v>10.42</v>
      </c>
      <c r="H176" s="3491" t="s">
        <v>4412</v>
      </c>
      <c r="I176" s="3493" t="s">
        <v>4334</v>
      </c>
    </row>
    <row r="177" spans="1:9">
      <c r="A177" s="3490" t="s">
        <v>3941</v>
      </c>
      <c r="B177" s="3491">
        <v>22</v>
      </c>
      <c r="C177" s="3491" t="s">
        <v>3524</v>
      </c>
      <c r="D177" s="3491" t="s">
        <v>3961</v>
      </c>
      <c r="E177" s="3491" t="s">
        <v>4411</v>
      </c>
      <c r="F177" s="3491" t="s">
        <v>4410</v>
      </c>
      <c r="G177" s="3493">
        <f t="shared" si="2"/>
        <v>8.1</v>
      </c>
      <c r="H177" s="3491" t="s">
        <v>4412</v>
      </c>
      <c r="I177" s="3493" t="s">
        <v>4341</v>
      </c>
    </row>
    <row r="178" spans="1:9">
      <c r="A178" s="3490" t="s">
        <v>3941</v>
      </c>
      <c r="B178" s="3491">
        <v>22</v>
      </c>
      <c r="C178" s="3491" t="s">
        <v>3524</v>
      </c>
      <c r="D178" s="3491" t="s">
        <v>3964</v>
      </c>
      <c r="E178" s="3491" t="s">
        <v>4411</v>
      </c>
      <c r="F178" s="3491" t="s">
        <v>4410</v>
      </c>
      <c r="G178" s="3493">
        <f t="shared" si="2"/>
        <v>7.97</v>
      </c>
      <c r="H178" s="3491" t="s">
        <v>4412</v>
      </c>
      <c r="I178" s="3493" t="s">
        <v>4261</v>
      </c>
    </row>
    <row r="179" spans="1:9">
      <c r="A179" s="3490" t="s">
        <v>3941</v>
      </c>
      <c r="B179" s="3491">
        <v>22</v>
      </c>
      <c r="C179" s="3491" t="s">
        <v>3524</v>
      </c>
      <c r="D179" s="3491" t="s">
        <v>3967</v>
      </c>
      <c r="E179" s="3491" t="s">
        <v>4411</v>
      </c>
      <c r="F179" s="3491" t="s">
        <v>4410</v>
      </c>
      <c r="G179" s="3493">
        <f t="shared" si="2"/>
        <v>9.6199999999999992</v>
      </c>
      <c r="H179" s="3491" t="s">
        <v>4412</v>
      </c>
      <c r="I179" s="3493" t="s">
        <v>4297</v>
      </c>
    </row>
    <row r="180" spans="1:9">
      <c r="A180" s="3490" t="s">
        <v>3941</v>
      </c>
      <c r="B180" s="3491">
        <v>22</v>
      </c>
      <c r="C180" s="3491" t="s">
        <v>3524</v>
      </c>
      <c r="D180" s="3491" t="s">
        <v>3970</v>
      </c>
      <c r="E180" s="3491" t="s">
        <v>4411</v>
      </c>
      <c r="F180" s="3491" t="s">
        <v>4410</v>
      </c>
      <c r="G180" s="3493">
        <f t="shared" si="2"/>
        <v>9.2799999999999994</v>
      </c>
      <c r="H180" s="3491" t="s">
        <v>4412</v>
      </c>
      <c r="I180" s="3493" t="s">
        <v>4298</v>
      </c>
    </row>
    <row r="181" spans="1:9">
      <c r="A181" s="3490" t="s">
        <v>3941</v>
      </c>
      <c r="B181" s="3491">
        <v>22</v>
      </c>
      <c r="C181" s="3491" t="s">
        <v>3524</v>
      </c>
      <c r="D181" s="3491" t="s">
        <v>3973</v>
      </c>
      <c r="E181" s="3491" t="s">
        <v>4411</v>
      </c>
      <c r="F181" s="3491" t="s">
        <v>4410</v>
      </c>
      <c r="G181" s="3493">
        <f t="shared" si="2"/>
        <v>8.02</v>
      </c>
      <c r="H181" s="3491" t="s">
        <v>4412</v>
      </c>
      <c r="I181" s="3493" t="s">
        <v>4262</v>
      </c>
    </row>
    <row r="182" spans="1:9">
      <c r="A182" s="3490" t="s">
        <v>3941</v>
      </c>
      <c r="B182" s="3491">
        <v>22</v>
      </c>
      <c r="C182" s="3491" t="s">
        <v>3524</v>
      </c>
      <c r="D182" s="3491" t="s">
        <v>3976</v>
      </c>
      <c r="E182" s="3491" t="s">
        <v>4411</v>
      </c>
      <c r="F182" s="3491" t="s">
        <v>4410</v>
      </c>
      <c r="G182" s="3493">
        <f t="shared" si="2"/>
        <v>8.14</v>
      </c>
      <c r="H182" s="3491" t="s">
        <v>4412</v>
      </c>
      <c r="I182" s="3493" t="s">
        <v>4289</v>
      </c>
    </row>
    <row r="183" spans="1:9">
      <c r="A183" s="3490" t="s">
        <v>3941</v>
      </c>
      <c r="B183" s="3491">
        <v>22</v>
      </c>
      <c r="C183" s="3491" t="s">
        <v>3524</v>
      </c>
      <c r="D183" s="3491" t="s">
        <v>3979</v>
      </c>
      <c r="E183" s="3491" t="s">
        <v>4411</v>
      </c>
      <c r="F183" s="3491" t="s">
        <v>4410</v>
      </c>
      <c r="G183" s="3493">
        <f t="shared" si="2"/>
        <v>8.14</v>
      </c>
      <c r="H183" s="3491" t="s">
        <v>4412</v>
      </c>
      <c r="I183" s="3493" t="s">
        <v>4289</v>
      </c>
    </row>
    <row r="184" spans="1:9">
      <c r="A184" s="3490" t="s">
        <v>3941</v>
      </c>
      <c r="B184" s="3491">
        <v>22</v>
      </c>
      <c r="C184" s="3491" t="s">
        <v>3524</v>
      </c>
      <c r="D184" s="3491" t="s">
        <v>3982</v>
      </c>
      <c r="E184" s="3491" t="s">
        <v>4411</v>
      </c>
      <c r="F184" s="3491" t="s">
        <v>4410</v>
      </c>
      <c r="G184" s="3493">
        <f t="shared" si="2"/>
        <v>8.02</v>
      </c>
      <c r="H184" s="3491" t="s">
        <v>4412</v>
      </c>
      <c r="I184" s="3493" t="s">
        <v>4262</v>
      </c>
    </row>
    <row r="185" spans="1:9">
      <c r="A185" s="3490" t="s">
        <v>3941</v>
      </c>
      <c r="B185" s="3491">
        <v>22</v>
      </c>
      <c r="C185" s="3491" t="s">
        <v>3524</v>
      </c>
      <c r="D185" s="3491" t="s">
        <v>3985</v>
      </c>
      <c r="E185" s="3491" t="s">
        <v>4411</v>
      </c>
      <c r="F185" s="3491" t="s">
        <v>4410</v>
      </c>
      <c r="G185" s="3493">
        <f t="shared" si="2"/>
        <v>11.06</v>
      </c>
      <c r="H185" s="3491" t="s">
        <v>4412</v>
      </c>
      <c r="I185" s="3493" t="s">
        <v>4294</v>
      </c>
    </row>
    <row r="186" spans="1:9">
      <c r="A186" s="3490" t="s">
        <v>3941</v>
      </c>
      <c r="B186" s="3491">
        <v>22</v>
      </c>
      <c r="C186" s="3491" t="s">
        <v>3524</v>
      </c>
      <c r="D186" s="3491" t="s">
        <v>3988</v>
      </c>
      <c r="E186" s="3491" t="s">
        <v>4411</v>
      </c>
      <c r="F186" s="3491" t="s">
        <v>4410</v>
      </c>
      <c r="G186" s="3493">
        <f t="shared" si="2"/>
        <v>8.8699999999999992</v>
      </c>
      <c r="H186" s="3491" t="s">
        <v>4412</v>
      </c>
      <c r="I186" s="3493" t="s">
        <v>4281</v>
      </c>
    </row>
    <row r="187" spans="1:9">
      <c r="A187" s="3490" t="s">
        <v>3941</v>
      </c>
      <c r="B187" s="3491">
        <v>22</v>
      </c>
      <c r="C187" s="3491" t="s">
        <v>3524</v>
      </c>
      <c r="D187" s="3491" t="s">
        <v>3991</v>
      </c>
      <c r="E187" s="3491" t="s">
        <v>4411</v>
      </c>
      <c r="F187" s="3491" t="s">
        <v>4410</v>
      </c>
      <c r="G187" s="3493">
        <f t="shared" si="2"/>
        <v>8.8699999999999992</v>
      </c>
      <c r="H187" s="3491" t="s">
        <v>4412</v>
      </c>
      <c r="I187" s="3493" t="s">
        <v>4281</v>
      </c>
    </row>
    <row r="188" spans="1:9">
      <c r="A188" s="3490" t="s">
        <v>3941</v>
      </c>
      <c r="B188" s="3491">
        <v>22</v>
      </c>
      <c r="C188" s="3491" t="s">
        <v>3524</v>
      </c>
      <c r="D188" s="3491" t="s">
        <v>3994</v>
      </c>
      <c r="E188" s="3491" t="s">
        <v>4411</v>
      </c>
      <c r="F188" s="3491" t="s">
        <v>4410</v>
      </c>
      <c r="G188" s="3493">
        <f t="shared" si="2"/>
        <v>8.8699999999999992</v>
      </c>
      <c r="H188" s="3491" t="s">
        <v>4412</v>
      </c>
      <c r="I188" s="3493" t="s">
        <v>4281</v>
      </c>
    </row>
    <row r="189" spans="1:9">
      <c r="A189" s="3490" t="s">
        <v>3941</v>
      </c>
      <c r="B189" s="3491">
        <v>22</v>
      </c>
      <c r="C189" s="3491" t="s">
        <v>3524</v>
      </c>
      <c r="D189" s="3491" t="s">
        <v>3997</v>
      </c>
      <c r="E189" s="3491" t="s">
        <v>4411</v>
      </c>
      <c r="F189" s="3491" t="s">
        <v>4410</v>
      </c>
      <c r="G189" s="3493">
        <f t="shared" si="2"/>
        <v>9.18</v>
      </c>
      <c r="H189" s="3491" t="s">
        <v>4412</v>
      </c>
      <c r="I189" s="3493" t="s">
        <v>4282</v>
      </c>
    </row>
    <row r="190" spans="1:9">
      <c r="A190" s="3490" t="s">
        <v>3941</v>
      </c>
      <c r="B190" s="3491">
        <v>22</v>
      </c>
      <c r="C190" s="3491" t="s">
        <v>3524</v>
      </c>
      <c r="D190" s="3491" t="s">
        <v>4000</v>
      </c>
      <c r="E190" s="3491" t="s">
        <v>4411</v>
      </c>
      <c r="F190" s="3491" t="s">
        <v>4410</v>
      </c>
      <c r="G190" s="3493">
        <f t="shared" si="2"/>
        <v>10.92</v>
      </c>
      <c r="H190" s="3491" t="s">
        <v>4412</v>
      </c>
      <c r="I190" s="3493" t="s">
        <v>4324</v>
      </c>
    </row>
    <row r="191" spans="1:9">
      <c r="A191" s="3490" t="s">
        <v>4002</v>
      </c>
      <c r="B191" s="3491">
        <v>16</v>
      </c>
      <c r="C191" s="3491" t="s">
        <v>3442</v>
      </c>
      <c r="D191" s="3491" t="s">
        <v>4004</v>
      </c>
      <c r="E191" s="3491" t="s">
        <v>4411</v>
      </c>
      <c r="F191" s="3491" t="s">
        <v>4410</v>
      </c>
      <c r="G191" s="3493">
        <f t="shared" si="2"/>
        <v>8.94</v>
      </c>
      <c r="H191" s="3491" t="s">
        <v>4412</v>
      </c>
      <c r="I191" s="3493" t="s">
        <v>4278</v>
      </c>
    </row>
    <row r="192" spans="1:9">
      <c r="A192" s="3490" t="s">
        <v>4002</v>
      </c>
      <c r="B192" s="3491">
        <v>16</v>
      </c>
      <c r="C192" s="3491" t="s">
        <v>3442</v>
      </c>
      <c r="D192" s="3491" t="s">
        <v>4007</v>
      </c>
      <c r="E192" s="3491" t="s">
        <v>4411</v>
      </c>
      <c r="F192" s="3491" t="s">
        <v>4410</v>
      </c>
      <c r="G192" s="3493">
        <f t="shared" si="2"/>
        <v>10.65</v>
      </c>
      <c r="H192" s="3491" t="s">
        <v>4412</v>
      </c>
      <c r="I192" s="3493" t="s">
        <v>4268</v>
      </c>
    </row>
    <row r="193" spans="1:9">
      <c r="A193" s="3490" t="s">
        <v>4002</v>
      </c>
      <c r="B193" s="3491">
        <v>16</v>
      </c>
      <c r="C193" s="3491" t="s">
        <v>3442</v>
      </c>
      <c r="D193" s="3491" t="s">
        <v>4010</v>
      </c>
      <c r="E193" s="3491" t="s">
        <v>4411</v>
      </c>
      <c r="F193" s="3491" t="s">
        <v>4410</v>
      </c>
      <c r="G193" s="3493">
        <f t="shared" si="2"/>
        <v>7.6</v>
      </c>
      <c r="H193" s="3491" t="s">
        <v>4412</v>
      </c>
      <c r="I193" s="3493" t="s">
        <v>4265</v>
      </c>
    </row>
    <row r="194" spans="1:9">
      <c r="A194" s="3490" t="s">
        <v>4002</v>
      </c>
      <c r="B194" s="3491">
        <v>16</v>
      </c>
      <c r="C194" s="3491" t="s">
        <v>3442</v>
      </c>
      <c r="D194" s="3491" t="s">
        <v>4013</v>
      </c>
      <c r="E194" s="3491" t="s">
        <v>4411</v>
      </c>
      <c r="F194" s="3491" t="s">
        <v>4410</v>
      </c>
      <c r="G194" s="3493">
        <f t="shared" si="2"/>
        <v>7.72</v>
      </c>
      <c r="H194" s="3491" t="s">
        <v>4412</v>
      </c>
      <c r="I194" s="3493" t="s">
        <v>4263</v>
      </c>
    </row>
    <row r="195" spans="1:9">
      <c r="A195" s="3490" t="s">
        <v>4002</v>
      </c>
      <c r="B195" s="3491">
        <v>16</v>
      </c>
      <c r="C195" s="3491" t="s">
        <v>3442</v>
      </c>
      <c r="D195" s="3491" t="s">
        <v>4015</v>
      </c>
      <c r="E195" s="3491" t="s">
        <v>4411</v>
      </c>
      <c r="F195" s="3491" t="s">
        <v>4410</v>
      </c>
      <c r="G195" s="3493">
        <f t="shared" si="2"/>
        <v>7.72</v>
      </c>
      <c r="H195" s="3491" t="s">
        <v>4412</v>
      </c>
      <c r="I195" s="3493" t="s">
        <v>4263</v>
      </c>
    </row>
    <row r="196" spans="1:9">
      <c r="A196" s="3490" t="s">
        <v>4002</v>
      </c>
      <c r="B196" s="3491">
        <v>16</v>
      </c>
      <c r="C196" s="3491" t="s">
        <v>3442</v>
      </c>
      <c r="D196" s="3491" t="s">
        <v>4017</v>
      </c>
      <c r="E196" s="3491" t="s">
        <v>4411</v>
      </c>
      <c r="F196" s="3491" t="s">
        <v>4410</v>
      </c>
      <c r="G196" s="3493">
        <f t="shared" si="2"/>
        <v>7.6</v>
      </c>
      <c r="H196" s="3491" t="s">
        <v>4412</v>
      </c>
      <c r="I196" s="3493" t="s">
        <v>4265</v>
      </c>
    </row>
    <row r="197" spans="1:9">
      <c r="A197" s="3490" t="s">
        <v>4002</v>
      </c>
      <c r="B197" s="3491">
        <v>16</v>
      </c>
      <c r="C197" s="3491" t="s">
        <v>3442</v>
      </c>
      <c r="D197" s="3491" t="s">
        <v>4020</v>
      </c>
      <c r="E197" s="3491" t="s">
        <v>4411</v>
      </c>
      <c r="F197" s="3491" t="s">
        <v>4410</v>
      </c>
      <c r="G197" s="3493">
        <f t="shared" si="2"/>
        <v>4.3499999999999996</v>
      </c>
      <c r="H197" s="3491" t="s">
        <v>4412</v>
      </c>
      <c r="I197" s="3493" t="s">
        <v>4266</v>
      </c>
    </row>
    <row r="198" spans="1:9">
      <c r="A198" s="3490" t="s">
        <v>4002</v>
      </c>
      <c r="B198" s="3491">
        <v>16</v>
      </c>
      <c r="C198" s="3491" t="s">
        <v>3442</v>
      </c>
      <c r="D198" s="3491" t="s">
        <v>4023</v>
      </c>
      <c r="E198" s="3491" t="s">
        <v>4411</v>
      </c>
      <c r="F198" s="3491" t="s">
        <v>4410</v>
      </c>
      <c r="G198" s="3493">
        <f t="shared" ref="G198:G235" si="3">I198*$J$1</f>
        <v>8.1999999999999993</v>
      </c>
      <c r="H198" s="3491" t="s">
        <v>4412</v>
      </c>
      <c r="I198" s="3493" t="s">
        <v>4271</v>
      </c>
    </row>
    <row r="199" spans="1:9">
      <c r="A199" s="3490" t="s">
        <v>4002</v>
      </c>
      <c r="B199" s="3491">
        <v>16</v>
      </c>
      <c r="C199" s="3491" t="s">
        <v>3442</v>
      </c>
      <c r="D199" s="3491" t="s">
        <v>4026</v>
      </c>
      <c r="E199" s="3491" t="s">
        <v>4411</v>
      </c>
      <c r="F199" s="3491" t="s">
        <v>4410</v>
      </c>
      <c r="G199" s="3493">
        <f t="shared" si="3"/>
        <v>7.58</v>
      </c>
      <c r="H199" s="3491" t="s">
        <v>4412</v>
      </c>
      <c r="I199" s="3493" t="s">
        <v>4276</v>
      </c>
    </row>
    <row r="200" spans="1:9">
      <c r="A200" s="3490" t="s">
        <v>4002</v>
      </c>
      <c r="B200" s="3491">
        <v>16</v>
      </c>
      <c r="C200" s="3491" t="s">
        <v>3524</v>
      </c>
      <c r="D200" s="3491" t="s">
        <v>4029</v>
      </c>
      <c r="E200" s="3491" t="s">
        <v>4411</v>
      </c>
      <c r="F200" s="3491" t="s">
        <v>4410</v>
      </c>
      <c r="G200" s="3493">
        <f t="shared" si="3"/>
        <v>11.03</v>
      </c>
      <c r="H200" s="3491" t="s">
        <v>4412</v>
      </c>
      <c r="I200" s="3493" t="s">
        <v>4277</v>
      </c>
    </row>
    <row r="201" spans="1:9">
      <c r="A201" s="3490" t="s">
        <v>4002</v>
      </c>
      <c r="B201" s="3491">
        <v>16</v>
      </c>
      <c r="C201" s="3491" t="s">
        <v>3524</v>
      </c>
      <c r="D201" s="3491" t="s">
        <v>4032</v>
      </c>
      <c r="E201" s="3491" t="s">
        <v>4411</v>
      </c>
      <c r="F201" s="3491" t="s">
        <v>4410</v>
      </c>
      <c r="G201" s="3493">
        <f t="shared" si="3"/>
        <v>8.94</v>
      </c>
      <c r="H201" s="3491" t="s">
        <v>4412</v>
      </c>
      <c r="I201" s="3493" t="s">
        <v>4278</v>
      </c>
    </row>
    <row r="202" spans="1:9">
      <c r="A202" s="3490" t="s">
        <v>4002</v>
      </c>
      <c r="B202" s="3491">
        <v>16</v>
      </c>
      <c r="C202" s="3491" t="s">
        <v>3524</v>
      </c>
      <c r="D202" s="3491" t="s">
        <v>4035</v>
      </c>
      <c r="E202" s="3491" t="s">
        <v>4411</v>
      </c>
      <c r="F202" s="3491" t="s">
        <v>4410</v>
      </c>
      <c r="G202" s="3493">
        <f t="shared" si="3"/>
        <v>10.65</v>
      </c>
      <c r="H202" s="3491" t="s">
        <v>4412</v>
      </c>
      <c r="I202" s="3493" t="s">
        <v>4268</v>
      </c>
    </row>
    <row r="203" spans="1:9">
      <c r="A203" s="3490" t="s">
        <v>4002</v>
      </c>
      <c r="B203" s="3491">
        <v>16</v>
      </c>
      <c r="C203" s="3491" t="s">
        <v>3524</v>
      </c>
      <c r="D203" s="3491" t="s">
        <v>4038</v>
      </c>
      <c r="E203" s="3491" t="s">
        <v>4411</v>
      </c>
      <c r="F203" s="3491" t="s">
        <v>4410</v>
      </c>
      <c r="G203" s="3493">
        <f t="shared" si="3"/>
        <v>9.07</v>
      </c>
      <c r="H203" s="3491" t="s">
        <v>4412</v>
      </c>
      <c r="I203" s="3493" t="s">
        <v>4279</v>
      </c>
    </row>
    <row r="204" spans="1:9">
      <c r="A204" s="3490" t="s">
        <v>4002</v>
      </c>
      <c r="B204" s="3491">
        <v>16</v>
      </c>
      <c r="C204" s="3491" t="s">
        <v>3524</v>
      </c>
      <c r="D204" s="3491" t="s">
        <v>4041</v>
      </c>
      <c r="E204" s="3491" t="s">
        <v>4411</v>
      </c>
      <c r="F204" s="3491" t="s">
        <v>4410</v>
      </c>
      <c r="G204" s="3493">
        <f t="shared" si="3"/>
        <v>9.07</v>
      </c>
      <c r="H204" s="3491" t="s">
        <v>4412</v>
      </c>
      <c r="I204" s="3493" t="s">
        <v>4279</v>
      </c>
    </row>
    <row r="205" spans="1:9">
      <c r="A205" s="3490" t="s">
        <v>4002</v>
      </c>
      <c r="B205" s="3491">
        <v>16</v>
      </c>
      <c r="C205" s="3491" t="s">
        <v>3524</v>
      </c>
      <c r="D205" s="3491" t="s">
        <v>4044</v>
      </c>
      <c r="E205" s="3491" t="s">
        <v>4411</v>
      </c>
      <c r="F205" s="3491" t="s">
        <v>4410</v>
      </c>
      <c r="G205" s="3493">
        <f t="shared" si="3"/>
        <v>9.07</v>
      </c>
      <c r="H205" s="3491" t="s">
        <v>4412</v>
      </c>
      <c r="I205" s="3493" t="s">
        <v>4279</v>
      </c>
    </row>
    <row r="206" spans="1:9">
      <c r="A206" s="3490" t="s">
        <v>4002</v>
      </c>
      <c r="B206" s="3491">
        <v>16</v>
      </c>
      <c r="C206" s="3491" t="s">
        <v>3524</v>
      </c>
      <c r="D206" s="3491" t="s">
        <v>4047</v>
      </c>
      <c r="E206" s="3491" t="s">
        <v>4411</v>
      </c>
      <c r="F206" s="3491" t="s">
        <v>4410</v>
      </c>
      <c r="G206" s="3493">
        <f t="shared" si="3"/>
        <v>7.6</v>
      </c>
      <c r="H206" s="3491" t="s">
        <v>4412</v>
      </c>
      <c r="I206" s="3493" t="s">
        <v>4265</v>
      </c>
    </row>
    <row r="207" spans="1:9">
      <c r="A207" s="3490" t="s">
        <v>4002</v>
      </c>
      <c r="B207" s="3491">
        <v>16</v>
      </c>
      <c r="C207" s="3491" t="s">
        <v>3524</v>
      </c>
      <c r="D207" s="3491" t="s">
        <v>4050</v>
      </c>
      <c r="E207" s="3491" t="s">
        <v>4411</v>
      </c>
      <c r="F207" s="3491" t="s">
        <v>4410</v>
      </c>
      <c r="G207" s="3493">
        <f t="shared" si="3"/>
        <v>7.72</v>
      </c>
      <c r="H207" s="3491" t="s">
        <v>4412</v>
      </c>
      <c r="I207" s="3493" t="s">
        <v>4263</v>
      </c>
    </row>
    <row r="208" spans="1:9">
      <c r="A208" s="3490" t="s">
        <v>4002</v>
      </c>
      <c r="B208" s="3491">
        <v>16</v>
      </c>
      <c r="C208" s="3491" t="s">
        <v>3524</v>
      </c>
      <c r="D208" s="3491" t="s">
        <v>4053</v>
      </c>
      <c r="E208" s="3491" t="s">
        <v>4411</v>
      </c>
      <c r="F208" s="3491" t="s">
        <v>4410</v>
      </c>
      <c r="G208" s="3493">
        <f t="shared" si="3"/>
        <v>10.49</v>
      </c>
      <c r="H208" s="3491" t="s">
        <v>4412</v>
      </c>
      <c r="I208" s="3493" t="s">
        <v>4325</v>
      </c>
    </row>
    <row r="209" spans="1:9">
      <c r="A209" s="3490" t="s">
        <v>4002</v>
      </c>
      <c r="B209" s="3491">
        <v>16</v>
      </c>
      <c r="C209" s="3491" t="s">
        <v>3524</v>
      </c>
      <c r="D209" s="3491" t="s">
        <v>4056</v>
      </c>
      <c r="E209" s="3491" t="s">
        <v>4411</v>
      </c>
      <c r="F209" s="3491" t="s">
        <v>4410</v>
      </c>
      <c r="G209" s="3493">
        <f t="shared" si="3"/>
        <v>10.49</v>
      </c>
      <c r="H209" s="3491" t="s">
        <v>4412</v>
      </c>
      <c r="I209" s="3493" t="s">
        <v>4325</v>
      </c>
    </row>
    <row r="210" spans="1:9">
      <c r="A210" s="3490" t="s">
        <v>4002</v>
      </c>
      <c r="B210" s="3491">
        <v>16</v>
      </c>
      <c r="C210" s="3491" t="s">
        <v>3524</v>
      </c>
      <c r="D210" s="3491" t="s">
        <v>4059</v>
      </c>
      <c r="E210" s="3491" t="s">
        <v>4411</v>
      </c>
      <c r="F210" s="3491" t="s">
        <v>4410</v>
      </c>
      <c r="G210" s="3493">
        <f t="shared" si="3"/>
        <v>10.49</v>
      </c>
      <c r="H210" s="3491" t="s">
        <v>4412</v>
      </c>
      <c r="I210" s="3493" t="s">
        <v>4325</v>
      </c>
    </row>
    <row r="211" spans="1:9">
      <c r="A211" s="3490" t="s">
        <v>4002</v>
      </c>
      <c r="B211" s="3491">
        <v>16</v>
      </c>
      <c r="C211" s="3491" t="s">
        <v>3524</v>
      </c>
      <c r="D211" s="3491" t="s">
        <v>4062</v>
      </c>
      <c r="E211" s="3491" t="s">
        <v>4411</v>
      </c>
      <c r="F211" s="3491" t="s">
        <v>4410</v>
      </c>
      <c r="G211" s="3493">
        <f t="shared" si="3"/>
        <v>7.72</v>
      </c>
      <c r="H211" s="3491" t="s">
        <v>4412</v>
      </c>
      <c r="I211" s="3493" t="s">
        <v>4263</v>
      </c>
    </row>
    <row r="212" spans="1:9">
      <c r="A212" s="3490" t="s">
        <v>4002</v>
      </c>
      <c r="B212" s="3491">
        <v>16</v>
      </c>
      <c r="C212" s="3491" t="s">
        <v>3524</v>
      </c>
      <c r="D212" s="3491" t="s">
        <v>4065</v>
      </c>
      <c r="E212" s="3491" t="s">
        <v>4411</v>
      </c>
      <c r="F212" s="3491" t="s">
        <v>4410</v>
      </c>
      <c r="G212" s="3493">
        <f t="shared" si="3"/>
        <v>7.6</v>
      </c>
      <c r="H212" s="3491" t="s">
        <v>4412</v>
      </c>
      <c r="I212" s="3493" t="s">
        <v>4265</v>
      </c>
    </row>
    <row r="213" spans="1:9">
      <c r="A213" s="3490" t="s">
        <v>4002</v>
      </c>
      <c r="B213" s="3491">
        <v>16</v>
      </c>
      <c r="C213" s="3491" t="s">
        <v>3524</v>
      </c>
      <c r="D213" s="3491" t="s">
        <v>4068</v>
      </c>
      <c r="E213" s="3491" t="s">
        <v>4411</v>
      </c>
      <c r="F213" s="3491" t="s">
        <v>4410</v>
      </c>
      <c r="G213" s="3493">
        <f t="shared" si="3"/>
        <v>8.1999999999999993</v>
      </c>
      <c r="H213" s="3491" t="s">
        <v>4412</v>
      </c>
      <c r="I213" s="3493" t="s">
        <v>4271</v>
      </c>
    </row>
    <row r="214" spans="1:9">
      <c r="A214" s="3490" t="s">
        <v>4002</v>
      </c>
      <c r="B214" s="3491">
        <v>16</v>
      </c>
      <c r="C214" s="3491" t="s">
        <v>3524</v>
      </c>
      <c r="D214" s="3491" t="s">
        <v>4071</v>
      </c>
      <c r="E214" s="3491" t="s">
        <v>4411</v>
      </c>
      <c r="F214" s="3491" t="s">
        <v>4410</v>
      </c>
      <c r="G214" s="3493">
        <f t="shared" si="3"/>
        <v>8.1999999999999993</v>
      </c>
      <c r="H214" s="3491" t="s">
        <v>4412</v>
      </c>
      <c r="I214" s="3493" t="s">
        <v>4271</v>
      </c>
    </row>
    <row r="215" spans="1:9">
      <c r="A215" s="3490" t="s">
        <v>4002</v>
      </c>
      <c r="B215" s="3491">
        <v>16</v>
      </c>
      <c r="C215" s="3491" t="s">
        <v>3524</v>
      </c>
      <c r="D215" s="3491" t="s">
        <v>4074</v>
      </c>
      <c r="E215" s="3491" t="s">
        <v>4411</v>
      </c>
      <c r="F215" s="3491" t="s">
        <v>4410</v>
      </c>
      <c r="G215" s="3493">
        <f t="shared" si="3"/>
        <v>7.74</v>
      </c>
      <c r="H215" s="3491" t="s">
        <v>4412</v>
      </c>
      <c r="I215" s="3493" t="s">
        <v>4280</v>
      </c>
    </row>
    <row r="216" spans="1:9">
      <c r="A216" s="3490" t="s">
        <v>4002</v>
      </c>
      <c r="B216" s="3491">
        <v>16</v>
      </c>
      <c r="C216" s="3491" t="s">
        <v>3524</v>
      </c>
      <c r="D216" s="3491" t="s">
        <v>4077</v>
      </c>
      <c r="E216" s="3491" t="s">
        <v>4411</v>
      </c>
      <c r="F216" s="3491" t="s">
        <v>4410</v>
      </c>
      <c r="G216" s="3493">
        <f t="shared" si="3"/>
        <v>7.58</v>
      </c>
      <c r="H216" s="3491" t="s">
        <v>4412</v>
      </c>
      <c r="I216" s="3493" t="s">
        <v>4276</v>
      </c>
    </row>
    <row r="217" spans="1:9">
      <c r="A217" s="3490" t="s">
        <v>4002</v>
      </c>
      <c r="B217" s="3491">
        <v>16</v>
      </c>
      <c r="C217" s="3491" t="s">
        <v>3524</v>
      </c>
      <c r="D217" s="3491" t="s">
        <v>4080</v>
      </c>
      <c r="E217" s="3491" t="s">
        <v>4411</v>
      </c>
      <c r="F217" s="3491" t="s">
        <v>4410</v>
      </c>
      <c r="G217" s="3493">
        <f t="shared" si="3"/>
        <v>7.38</v>
      </c>
      <c r="H217" s="3491" t="s">
        <v>4412</v>
      </c>
      <c r="I217" s="3493" t="s">
        <v>4362</v>
      </c>
    </row>
    <row r="218" spans="1:9">
      <c r="A218" s="3490" t="s">
        <v>4082</v>
      </c>
      <c r="B218" s="3491">
        <v>21</v>
      </c>
      <c r="C218" s="3491" t="s">
        <v>3442</v>
      </c>
      <c r="D218" s="3491" t="s">
        <v>4084</v>
      </c>
      <c r="E218" s="3491" t="s">
        <v>4411</v>
      </c>
      <c r="F218" s="3491" t="s">
        <v>4410</v>
      </c>
      <c r="G218" s="3493">
        <f t="shared" si="3"/>
        <v>11.23</v>
      </c>
      <c r="H218" s="3491" t="s">
        <v>4412</v>
      </c>
      <c r="I218" s="3493" t="s">
        <v>4299</v>
      </c>
    </row>
    <row r="219" spans="1:9">
      <c r="A219" s="3490" t="s">
        <v>4082</v>
      </c>
      <c r="B219" s="3491">
        <v>21</v>
      </c>
      <c r="C219" s="3491" t="s">
        <v>3442</v>
      </c>
      <c r="D219" s="3491" t="s">
        <v>4087</v>
      </c>
      <c r="E219" s="3491" t="s">
        <v>4411</v>
      </c>
      <c r="F219" s="3491" t="s">
        <v>4410</v>
      </c>
      <c r="G219" s="3493">
        <f t="shared" si="3"/>
        <v>7.95</v>
      </c>
      <c r="H219" s="3491" t="s">
        <v>4412</v>
      </c>
      <c r="I219" s="3493" t="s">
        <v>4300</v>
      </c>
    </row>
    <row r="220" spans="1:9">
      <c r="A220" s="3490" t="s">
        <v>4082</v>
      </c>
      <c r="B220" s="3491">
        <v>21</v>
      </c>
      <c r="C220" s="3491" t="s">
        <v>3442</v>
      </c>
      <c r="D220" s="3491" t="s">
        <v>4090</v>
      </c>
      <c r="E220" s="3491" t="s">
        <v>4411</v>
      </c>
      <c r="F220" s="3491" t="s">
        <v>4410</v>
      </c>
      <c r="G220" s="3493">
        <f t="shared" si="3"/>
        <v>12.19</v>
      </c>
      <c r="H220" s="3491" t="s">
        <v>4412</v>
      </c>
      <c r="I220" s="3493" t="s">
        <v>4301</v>
      </c>
    </row>
    <row r="221" spans="1:9">
      <c r="A221" s="3490" t="s">
        <v>4082</v>
      </c>
      <c r="B221" s="3491">
        <v>21</v>
      </c>
      <c r="C221" s="3491" t="s">
        <v>3442</v>
      </c>
      <c r="D221" s="3491" t="s">
        <v>4093</v>
      </c>
      <c r="E221" s="3491" t="s">
        <v>4411</v>
      </c>
      <c r="F221" s="3491" t="s">
        <v>4410</v>
      </c>
      <c r="G221" s="3493">
        <f t="shared" si="3"/>
        <v>8.3800000000000008</v>
      </c>
      <c r="H221" s="3491" t="s">
        <v>4412</v>
      </c>
      <c r="I221" s="3493" t="s">
        <v>4305</v>
      </c>
    </row>
    <row r="222" spans="1:9">
      <c r="A222" s="3490" t="s">
        <v>4082</v>
      </c>
      <c r="B222" s="3491">
        <v>21</v>
      </c>
      <c r="C222" s="3491" t="s">
        <v>3442</v>
      </c>
      <c r="D222" s="3491" t="s">
        <v>4096</v>
      </c>
      <c r="E222" s="3491" t="s">
        <v>4411</v>
      </c>
      <c r="F222" s="3491" t="s">
        <v>4410</v>
      </c>
      <c r="G222" s="3493">
        <f t="shared" si="3"/>
        <v>8.3800000000000008</v>
      </c>
      <c r="H222" s="3491" t="s">
        <v>4412</v>
      </c>
      <c r="I222" s="3493" t="s">
        <v>4305</v>
      </c>
    </row>
    <row r="223" spans="1:9">
      <c r="A223" s="3490" t="s">
        <v>4082</v>
      </c>
      <c r="B223" s="3491">
        <v>21</v>
      </c>
      <c r="C223" s="3491" t="s">
        <v>3442</v>
      </c>
      <c r="D223" s="3491" t="s">
        <v>4099</v>
      </c>
      <c r="E223" s="3491" t="s">
        <v>4411</v>
      </c>
      <c r="F223" s="3491" t="s">
        <v>4410</v>
      </c>
      <c r="G223" s="3493">
        <f t="shared" si="3"/>
        <v>7.75</v>
      </c>
      <c r="H223" s="3491" t="s">
        <v>4412</v>
      </c>
      <c r="I223" s="3493" t="s">
        <v>4337</v>
      </c>
    </row>
    <row r="224" spans="1:9">
      <c r="A224" s="3490" t="s">
        <v>4082</v>
      </c>
      <c r="B224" s="3491">
        <v>21</v>
      </c>
      <c r="C224" s="3491" t="s">
        <v>3442</v>
      </c>
      <c r="D224" s="3491" t="s">
        <v>4102</v>
      </c>
      <c r="E224" s="3491" t="s">
        <v>4411</v>
      </c>
      <c r="F224" s="3491" t="s">
        <v>4410</v>
      </c>
      <c r="G224" s="3493">
        <f t="shared" si="3"/>
        <v>7.22</v>
      </c>
      <c r="H224" s="3491" t="s">
        <v>4412</v>
      </c>
      <c r="I224" s="3493" t="s">
        <v>4342</v>
      </c>
    </row>
    <row r="225" spans="1:9">
      <c r="A225" s="3490" t="s">
        <v>4082</v>
      </c>
      <c r="B225" s="3491">
        <v>21</v>
      </c>
      <c r="C225" s="3491" t="s">
        <v>3442</v>
      </c>
      <c r="D225" s="3491" t="s">
        <v>4105</v>
      </c>
      <c r="E225" s="3491" t="s">
        <v>4411</v>
      </c>
      <c r="F225" s="3491" t="s">
        <v>4410</v>
      </c>
      <c r="G225" s="3493">
        <f t="shared" si="3"/>
        <v>7.22</v>
      </c>
      <c r="H225" s="3491" t="s">
        <v>4412</v>
      </c>
      <c r="I225" s="3493" t="s">
        <v>4342</v>
      </c>
    </row>
    <row r="226" spans="1:9">
      <c r="A226" s="3490" t="s">
        <v>4082</v>
      </c>
      <c r="B226" s="3491">
        <v>21</v>
      </c>
      <c r="C226" s="3491" t="s">
        <v>3442</v>
      </c>
      <c r="D226" s="3491" t="s">
        <v>4108</v>
      </c>
      <c r="E226" s="3491" t="s">
        <v>4411</v>
      </c>
      <c r="F226" s="3491" t="s">
        <v>4410</v>
      </c>
      <c r="G226" s="3493">
        <f t="shared" si="3"/>
        <v>10.64</v>
      </c>
      <c r="H226" s="3491" t="s">
        <v>4412</v>
      </c>
      <c r="I226" s="3493" t="s">
        <v>4284</v>
      </c>
    </row>
    <row r="227" spans="1:9">
      <c r="A227" s="3490" t="s">
        <v>4082</v>
      </c>
      <c r="B227" s="3491">
        <v>21</v>
      </c>
      <c r="C227" s="3491" t="s">
        <v>3442</v>
      </c>
      <c r="D227" s="3491" t="s">
        <v>4111</v>
      </c>
      <c r="E227" s="3491" t="s">
        <v>4411</v>
      </c>
      <c r="F227" s="3491" t="s">
        <v>4410</v>
      </c>
      <c r="G227" s="3493">
        <f t="shared" si="3"/>
        <v>8.3800000000000008</v>
      </c>
      <c r="H227" s="3491" t="s">
        <v>4412</v>
      </c>
      <c r="I227" s="3493" t="s">
        <v>4305</v>
      </c>
    </row>
    <row r="228" spans="1:9">
      <c r="A228" s="3490" t="s">
        <v>4082</v>
      </c>
      <c r="B228" s="3491">
        <v>21</v>
      </c>
      <c r="C228" s="3491" t="s">
        <v>3442</v>
      </c>
      <c r="D228" s="3491" t="s">
        <v>4114</v>
      </c>
      <c r="E228" s="3491" t="s">
        <v>4411</v>
      </c>
      <c r="F228" s="3491" t="s">
        <v>4410</v>
      </c>
      <c r="G228" s="3493">
        <f t="shared" si="3"/>
        <v>10.38</v>
      </c>
      <c r="H228" s="3491" t="s">
        <v>4412</v>
      </c>
      <c r="I228" s="3493" t="s">
        <v>4307</v>
      </c>
    </row>
    <row r="229" spans="1:9">
      <c r="A229" s="3490" t="s">
        <v>4082</v>
      </c>
      <c r="B229" s="3491">
        <v>21</v>
      </c>
      <c r="C229" s="3491" t="s">
        <v>3442</v>
      </c>
      <c r="D229" s="3491" t="s">
        <v>4117</v>
      </c>
      <c r="E229" s="3491" t="s">
        <v>4411</v>
      </c>
      <c r="F229" s="3491" t="s">
        <v>4410</v>
      </c>
      <c r="G229" s="3493">
        <f t="shared" si="3"/>
        <v>10.98</v>
      </c>
      <c r="H229" s="3491" t="s">
        <v>4412</v>
      </c>
      <c r="I229" s="3493" t="s">
        <v>4306</v>
      </c>
    </row>
    <row r="230" spans="1:9">
      <c r="A230" s="3490" t="s">
        <v>4082</v>
      </c>
      <c r="B230" s="3491">
        <v>21</v>
      </c>
      <c r="C230" s="3491" t="s">
        <v>3442</v>
      </c>
      <c r="D230" s="3491" t="s">
        <v>4120</v>
      </c>
      <c r="E230" s="3491" t="s">
        <v>4411</v>
      </c>
      <c r="F230" s="3491" t="s">
        <v>4410</v>
      </c>
      <c r="G230" s="3493">
        <f t="shared" si="3"/>
        <v>10.98</v>
      </c>
      <c r="H230" s="3491" t="s">
        <v>4412</v>
      </c>
      <c r="I230" s="3493" t="s">
        <v>4306</v>
      </c>
    </row>
    <row r="231" spans="1:9">
      <c r="A231" s="3490" t="s">
        <v>4082</v>
      </c>
      <c r="B231" s="3491">
        <v>21</v>
      </c>
      <c r="C231" s="3491" t="s">
        <v>3442</v>
      </c>
      <c r="D231" s="3491" t="s">
        <v>4123</v>
      </c>
      <c r="E231" s="3491" t="s">
        <v>4411</v>
      </c>
      <c r="F231" s="3491" t="s">
        <v>4410</v>
      </c>
      <c r="G231" s="3493">
        <f t="shared" si="3"/>
        <v>10.38</v>
      </c>
      <c r="H231" s="3491" t="s">
        <v>4412</v>
      </c>
      <c r="I231" s="3493" t="s">
        <v>4307</v>
      </c>
    </row>
    <row r="232" spans="1:9">
      <c r="A232" s="3490" t="s">
        <v>4082</v>
      </c>
      <c r="B232" s="3491">
        <v>21</v>
      </c>
      <c r="C232" s="3491" t="s">
        <v>3442</v>
      </c>
      <c r="D232" s="3491" t="s">
        <v>4126</v>
      </c>
      <c r="E232" s="3491" t="s">
        <v>4411</v>
      </c>
      <c r="F232" s="3491" t="s">
        <v>4410</v>
      </c>
      <c r="G232" s="3493">
        <f t="shared" si="3"/>
        <v>8.3800000000000008</v>
      </c>
      <c r="H232" s="3491" t="s">
        <v>4412</v>
      </c>
      <c r="I232" s="3493" t="s">
        <v>4305</v>
      </c>
    </row>
    <row r="233" spans="1:9">
      <c r="A233" s="3490" t="s">
        <v>4082</v>
      </c>
      <c r="B233" s="3491">
        <v>21</v>
      </c>
      <c r="C233" s="3491" t="s">
        <v>3442</v>
      </c>
      <c r="D233" s="3491" t="s">
        <v>4129</v>
      </c>
      <c r="E233" s="3491" t="s">
        <v>4411</v>
      </c>
      <c r="F233" s="3491" t="s">
        <v>4410</v>
      </c>
      <c r="G233" s="3493">
        <f t="shared" si="3"/>
        <v>10.64</v>
      </c>
      <c r="H233" s="3491" t="s">
        <v>4412</v>
      </c>
      <c r="I233" s="3493" t="s">
        <v>4284</v>
      </c>
    </row>
    <row r="234" spans="1:9">
      <c r="A234" s="3490" t="s">
        <v>4082</v>
      </c>
      <c r="B234" s="3491">
        <v>21</v>
      </c>
      <c r="C234" s="3491" t="s">
        <v>3442</v>
      </c>
      <c r="D234" s="3491" t="s">
        <v>4132</v>
      </c>
      <c r="E234" s="3491" t="s">
        <v>4411</v>
      </c>
      <c r="F234" s="3491" t="s">
        <v>4410</v>
      </c>
      <c r="G234" s="3493">
        <f t="shared" si="3"/>
        <v>12.03</v>
      </c>
      <c r="H234" s="3491" t="s">
        <v>4412</v>
      </c>
      <c r="I234" s="3493" t="s">
        <v>4344</v>
      </c>
    </row>
    <row r="235" spans="1:9">
      <c r="A235" s="3490" t="s">
        <v>4082</v>
      </c>
      <c r="B235" s="3491">
        <v>21</v>
      </c>
      <c r="C235" s="3491" t="s">
        <v>3442</v>
      </c>
      <c r="D235" s="3491" t="s">
        <v>4135</v>
      </c>
      <c r="E235" s="3491" t="s">
        <v>4411</v>
      </c>
      <c r="F235" s="3491" t="s">
        <v>4410</v>
      </c>
      <c r="G235" s="3493">
        <f t="shared" si="3"/>
        <v>10.41</v>
      </c>
      <c r="H235" s="3491" t="s">
        <v>4412</v>
      </c>
      <c r="I235" s="3493" t="s">
        <v>4361</v>
      </c>
    </row>
    <row r="236" spans="1:9">
      <c r="A236" s="3847" t="s">
        <v>4425</v>
      </c>
      <c r="B236" s="3847"/>
      <c r="C236" s="3847"/>
      <c r="D236" s="3847"/>
      <c r="E236" s="3847"/>
      <c r="F236" s="3847"/>
      <c r="G236" s="3493">
        <f>SUM(G5:G235)</f>
        <v>2031.39</v>
      </c>
      <c r="H236" s="3494" t="s">
        <v>4424</v>
      </c>
    </row>
    <row r="237" spans="1:9">
      <c r="A237" s="3840" t="s">
        <v>4426</v>
      </c>
      <c r="B237" s="3840"/>
      <c r="C237" s="3840"/>
      <c r="D237" s="3840"/>
      <c r="E237" s="3840"/>
      <c r="F237" s="3840"/>
      <c r="G237" s="3840"/>
      <c r="H237" s="3840"/>
    </row>
    <row r="238" spans="1:9">
      <c r="A238" s="3495" t="s">
        <v>4427</v>
      </c>
      <c r="B238" s="3840" t="s">
        <v>4428</v>
      </c>
      <c r="C238" s="3840"/>
      <c r="D238" s="3840"/>
      <c r="E238" s="3496" t="s">
        <v>4429</v>
      </c>
      <c r="F238" s="3840" t="s">
        <v>4430</v>
      </c>
      <c r="G238" s="3840"/>
      <c r="H238" s="3840"/>
    </row>
    <row r="240" spans="1:9">
      <c r="A240" s="3492" t="s">
        <v>4414</v>
      </c>
      <c r="B240" s="3841" t="s">
        <v>4432</v>
      </c>
      <c r="C240" s="3842"/>
      <c r="D240" s="3842"/>
      <c r="E240" s="3842"/>
      <c r="F240" s="3842"/>
      <c r="G240" s="3842"/>
      <c r="H240" s="3843"/>
    </row>
    <row r="241" spans="1:9">
      <c r="A241" s="3492" t="s">
        <v>4415</v>
      </c>
      <c r="B241" s="3844" t="s">
        <v>4416</v>
      </c>
      <c r="C241" s="3845"/>
      <c r="D241" s="3846"/>
      <c r="E241" s="3489" t="s">
        <v>4417</v>
      </c>
      <c r="F241" s="3844" t="s">
        <v>4418</v>
      </c>
      <c r="G241" s="3845"/>
      <c r="H241" s="3846"/>
    </row>
    <row r="242" spans="1:9">
      <c r="A242" s="3492" t="s">
        <v>4419</v>
      </c>
      <c r="B242" s="3841" t="s">
        <v>4431</v>
      </c>
      <c r="C242" s="3842"/>
      <c r="D242" s="3843"/>
      <c r="E242" s="3489" t="s">
        <v>4420</v>
      </c>
      <c r="F242" s="3844" t="s">
        <v>4423</v>
      </c>
      <c r="G242" s="3845"/>
      <c r="H242" s="3846"/>
    </row>
    <row r="243" spans="1:9" ht="25.8">
      <c r="A243" s="3488" t="s">
        <v>4404</v>
      </c>
      <c r="B243" s="3489" t="s">
        <v>4405</v>
      </c>
      <c r="C243" s="3489" t="s">
        <v>4406</v>
      </c>
      <c r="D243" s="3489" t="s">
        <v>4407</v>
      </c>
      <c r="E243" s="3489" t="s">
        <v>4408</v>
      </c>
      <c r="F243" s="3489" t="s">
        <v>4409</v>
      </c>
      <c r="G243" s="3489" t="s">
        <v>4413</v>
      </c>
      <c r="H243" s="3489" t="s">
        <v>672</v>
      </c>
    </row>
    <row r="244" spans="1:9">
      <c r="A244" s="3490" t="s">
        <v>4448</v>
      </c>
      <c r="B244" s="3491">
        <v>20</v>
      </c>
      <c r="C244" s="3491" t="s">
        <v>4449</v>
      </c>
      <c r="D244" s="3491" t="s">
        <v>4139</v>
      </c>
      <c r="E244" s="3491" t="s">
        <v>4450</v>
      </c>
      <c r="F244" s="3491" t="s">
        <v>4451</v>
      </c>
      <c r="G244" s="3493">
        <f t="shared" ref="G244:G271" si="4">I244*$J$1</f>
        <v>7.38</v>
      </c>
      <c r="H244" s="3491" t="s">
        <v>4452</v>
      </c>
      <c r="I244" t="s">
        <v>4433</v>
      </c>
    </row>
    <row r="245" spans="1:9">
      <c r="A245" s="3490" t="s">
        <v>4137</v>
      </c>
      <c r="B245" s="3491">
        <v>20</v>
      </c>
      <c r="C245" s="3491" t="s">
        <v>4449</v>
      </c>
      <c r="D245" s="3491" t="s">
        <v>4142</v>
      </c>
      <c r="E245" s="3491" t="s">
        <v>4453</v>
      </c>
      <c r="F245" s="3491" t="s">
        <v>4451</v>
      </c>
      <c r="G245" s="3493">
        <f t="shared" si="4"/>
        <v>5.23</v>
      </c>
      <c r="H245" s="3491" t="s">
        <v>4454</v>
      </c>
      <c r="I245" t="s">
        <v>4434</v>
      </c>
    </row>
    <row r="246" spans="1:9">
      <c r="A246" s="3490" t="s">
        <v>4448</v>
      </c>
      <c r="B246" s="3491">
        <v>20</v>
      </c>
      <c r="C246" s="3491" t="s">
        <v>4455</v>
      </c>
      <c r="D246" s="3491" t="s">
        <v>4145</v>
      </c>
      <c r="E246" s="3491" t="s">
        <v>4450</v>
      </c>
      <c r="F246" s="3491" t="s">
        <v>4451</v>
      </c>
      <c r="G246" s="3493">
        <f t="shared" si="4"/>
        <v>4.3499999999999996</v>
      </c>
      <c r="H246" s="3491" t="s">
        <v>4456</v>
      </c>
      <c r="I246" t="s">
        <v>4435</v>
      </c>
    </row>
    <row r="247" spans="1:9">
      <c r="A247" s="3490" t="s">
        <v>4457</v>
      </c>
      <c r="B247" s="3491">
        <v>20</v>
      </c>
      <c r="C247" s="3491" t="s">
        <v>3442</v>
      </c>
      <c r="D247" s="3491" t="s">
        <v>4148</v>
      </c>
      <c r="E247" s="3491" t="s">
        <v>4411</v>
      </c>
      <c r="F247" s="3491" t="s">
        <v>4410</v>
      </c>
      <c r="G247" s="3493">
        <f t="shared" si="4"/>
        <v>10.49</v>
      </c>
      <c r="H247" s="3491" t="s">
        <v>4412</v>
      </c>
      <c r="I247" t="s">
        <v>4436</v>
      </c>
    </row>
    <row r="248" spans="1:9">
      <c r="A248" s="3490" t="s">
        <v>4137</v>
      </c>
      <c r="B248" s="3491">
        <v>20</v>
      </c>
      <c r="C248" s="3491" t="s">
        <v>4455</v>
      </c>
      <c r="D248" s="3491" t="s">
        <v>4151</v>
      </c>
      <c r="E248" s="3491" t="s">
        <v>4450</v>
      </c>
      <c r="F248" s="3491" t="s">
        <v>4458</v>
      </c>
      <c r="G248" s="3493">
        <f t="shared" si="4"/>
        <v>10.49</v>
      </c>
      <c r="H248" s="3491" t="s">
        <v>4412</v>
      </c>
      <c r="I248" t="s">
        <v>4436</v>
      </c>
    </row>
    <row r="249" spans="1:9">
      <c r="A249" s="3490" t="s">
        <v>4137</v>
      </c>
      <c r="B249" s="3491">
        <v>20</v>
      </c>
      <c r="C249" s="3491" t="s">
        <v>4455</v>
      </c>
      <c r="D249" s="3491" t="s">
        <v>4154</v>
      </c>
      <c r="E249" s="3491" t="s">
        <v>4411</v>
      </c>
      <c r="F249" s="3491" t="s">
        <v>4410</v>
      </c>
      <c r="G249" s="3493">
        <f t="shared" si="4"/>
        <v>10.43</v>
      </c>
      <c r="H249" s="3491" t="s">
        <v>4454</v>
      </c>
      <c r="I249" t="s">
        <v>4437</v>
      </c>
    </row>
    <row r="250" spans="1:9">
      <c r="A250" s="3490" t="s">
        <v>4137</v>
      </c>
      <c r="B250" s="3491">
        <v>20</v>
      </c>
      <c r="C250" s="3491" t="s">
        <v>4449</v>
      </c>
      <c r="D250" s="3491" t="s">
        <v>4157</v>
      </c>
      <c r="E250" s="3491" t="s">
        <v>4453</v>
      </c>
      <c r="F250" s="3491" t="s">
        <v>4459</v>
      </c>
      <c r="G250" s="3493">
        <f t="shared" si="4"/>
        <v>10.58</v>
      </c>
      <c r="H250" s="3491" t="s">
        <v>4454</v>
      </c>
      <c r="I250" t="s">
        <v>4438</v>
      </c>
    </row>
    <row r="251" spans="1:9">
      <c r="A251" s="3490" t="s">
        <v>4137</v>
      </c>
      <c r="B251" s="3491">
        <v>20</v>
      </c>
      <c r="C251" s="3491" t="s">
        <v>3442</v>
      </c>
      <c r="D251" s="3491" t="s">
        <v>4160</v>
      </c>
      <c r="E251" s="3491" t="s">
        <v>4411</v>
      </c>
      <c r="F251" s="3491" t="s">
        <v>4410</v>
      </c>
      <c r="G251" s="3493">
        <f t="shared" si="4"/>
        <v>8.23</v>
      </c>
      <c r="H251" s="3491" t="s">
        <v>4412</v>
      </c>
      <c r="I251" t="s">
        <v>4439</v>
      </c>
    </row>
    <row r="252" spans="1:9">
      <c r="A252" s="3490" t="s">
        <v>4448</v>
      </c>
      <c r="B252" s="3491">
        <v>20</v>
      </c>
      <c r="C252" s="3491" t="s">
        <v>3524</v>
      </c>
      <c r="D252" s="3491" t="s">
        <v>4163</v>
      </c>
      <c r="E252" s="3491" t="s">
        <v>4411</v>
      </c>
      <c r="F252" s="3491" t="s">
        <v>4451</v>
      </c>
      <c r="G252" s="3493">
        <f t="shared" si="4"/>
        <v>7.38</v>
      </c>
      <c r="H252" s="3491" t="s">
        <v>4454</v>
      </c>
      <c r="I252" t="s">
        <v>4433</v>
      </c>
    </row>
    <row r="253" spans="1:9">
      <c r="A253" s="3490" t="s">
        <v>4137</v>
      </c>
      <c r="B253" s="3491">
        <v>20</v>
      </c>
      <c r="C253" s="3491" t="s">
        <v>4460</v>
      </c>
      <c r="D253" s="3491" t="s">
        <v>4166</v>
      </c>
      <c r="E253" s="3491" t="s">
        <v>4450</v>
      </c>
      <c r="F253" s="3491" t="s">
        <v>4451</v>
      </c>
      <c r="G253" s="3493">
        <f t="shared" si="4"/>
        <v>7.65</v>
      </c>
      <c r="H253" s="3491" t="s">
        <v>4412</v>
      </c>
      <c r="I253" t="s">
        <v>4440</v>
      </c>
    </row>
    <row r="254" spans="1:9">
      <c r="A254" s="3490" t="s">
        <v>4448</v>
      </c>
      <c r="B254" s="3491">
        <v>20</v>
      </c>
      <c r="C254" s="3491" t="s">
        <v>3524</v>
      </c>
      <c r="D254" s="3491" t="s">
        <v>4169</v>
      </c>
      <c r="E254" s="3491" t="s">
        <v>4461</v>
      </c>
      <c r="F254" s="3491" t="s">
        <v>4451</v>
      </c>
      <c r="G254" s="3493">
        <f t="shared" si="4"/>
        <v>8.25</v>
      </c>
      <c r="H254" s="3491" t="s">
        <v>4412</v>
      </c>
      <c r="I254" t="s">
        <v>4441</v>
      </c>
    </row>
    <row r="255" spans="1:9">
      <c r="A255" s="3490" t="s">
        <v>4137</v>
      </c>
      <c r="B255" s="3491">
        <v>20</v>
      </c>
      <c r="C255" s="3491" t="s">
        <v>3524</v>
      </c>
      <c r="D255" s="3491" t="s">
        <v>4172</v>
      </c>
      <c r="E255" s="3491" t="s">
        <v>4453</v>
      </c>
      <c r="F255" s="3491" t="s">
        <v>4410</v>
      </c>
      <c r="G255" s="3493">
        <f t="shared" si="4"/>
        <v>8.1999999999999993</v>
      </c>
      <c r="H255" s="3491" t="s">
        <v>4412</v>
      </c>
      <c r="I255" t="s">
        <v>4442</v>
      </c>
    </row>
    <row r="256" spans="1:9">
      <c r="A256" s="3490" t="s">
        <v>4462</v>
      </c>
      <c r="B256" s="3491">
        <v>20</v>
      </c>
      <c r="C256" s="3491" t="s">
        <v>3524</v>
      </c>
      <c r="D256" s="3491" t="s">
        <v>4175</v>
      </c>
      <c r="E256" s="3491" t="s">
        <v>4411</v>
      </c>
      <c r="F256" s="3491" t="s">
        <v>4410</v>
      </c>
      <c r="G256" s="3493">
        <f t="shared" si="4"/>
        <v>6.87</v>
      </c>
      <c r="H256" s="3491" t="s">
        <v>4454</v>
      </c>
      <c r="I256" t="s">
        <v>4443</v>
      </c>
    </row>
    <row r="257" spans="1:12">
      <c r="A257" s="3490" t="s">
        <v>4137</v>
      </c>
      <c r="B257" s="3491">
        <v>20</v>
      </c>
      <c r="C257" s="3491" t="s">
        <v>4460</v>
      </c>
      <c r="D257" s="3491" t="s">
        <v>4178</v>
      </c>
      <c r="E257" s="3491" t="s">
        <v>4453</v>
      </c>
      <c r="F257" s="3491" t="s">
        <v>4410</v>
      </c>
      <c r="G257" s="3493">
        <f t="shared" si="4"/>
        <v>7.74</v>
      </c>
      <c r="H257" s="3491" t="s">
        <v>4454</v>
      </c>
      <c r="I257" t="s">
        <v>4444</v>
      </c>
    </row>
    <row r="258" spans="1:12">
      <c r="A258" s="3490" t="s">
        <v>4137</v>
      </c>
      <c r="B258" s="3491">
        <v>20</v>
      </c>
      <c r="C258" s="3491" t="s">
        <v>3524</v>
      </c>
      <c r="D258" s="3491" t="s">
        <v>4181</v>
      </c>
      <c r="E258" s="3491" t="s">
        <v>4411</v>
      </c>
      <c r="F258" s="3491" t="s">
        <v>4410</v>
      </c>
      <c r="G258" s="3493">
        <f t="shared" si="4"/>
        <v>7.74</v>
      </c>
      <c r="H258" s="3491" t="s">
        <v>4412</v>
      </c>
      <c r="I258" t="s">
        <v>4444</v>
      </c>
    </row>
    <row r="259" spans="1:12">
      <c r="A259" s="3490" t="s">
        <v>4137</v>
      </c>
      <c r="B259" s="3491">
        <v>20</v>
      </c>
      <c r="C259" s="3491" t="s">
        <v>3524</v>
      </c>
      <c r="D259" s="3491" t="s">
        <v>4184</v>
      </c>
      <c r="E259" s="3491" t="s">
        <v>4411</v>
      </c>
      <c r="F259" s="3491" t="s">
        <v>4410</v>
      </c>
      <c r="G259" s="3493">
        <f t="shared" si="4"/>
        <v>7.6</v>
      </c>
      <c r="H259" s="3491" t="s">
        <v>4412</v>
      </c>
      <c r="I259" t="s">
        <v>4445</v>
      </c>
    </row>
    <row r="260" spans="1:12">
      <c r="A260" s="3490" t="s">
        <v>4137</v>
      </c>
      <c r="B260" s="3491">
        <v>20</v>
      </c>
      <c r="C260" s="3491" t="s">
        <v>3524</v>
      </c>
      <c r="D260" s="3491" t="s">
        <v>4187</v>
      </c>
      <c r="E260" s="3491" t="s">
        <v>4411</v>
      </c>
      <c r="F260" s="3491" t="s">
        <v>4410</v>
      </c>
      <c r="G260" s="3493">
        <f t="shared" si="4"/>
        <v>7.71</v>
      </c>
      <c r="H260" s="3491" t="s">
        <v>4412</v>
      </c>
      <c r="I260" t="s">
        <v>4446</v>
      </c>
    </row>
    <row r="261" spans="1:12">
      <c r="A261" s="3490" t="s">
        <v>4137</v>
      </c>
      <c r="B261" s="3491">
        <v>20</v>
      </c>
      <c r="C261" s="3491" t="s">
        <v>3524</v>
      </c>
      <c r="D261" s="3491" t="s">
        <v>4190</v>
      </c>
      <c r="E261" s="3491" t="s">
        <v>4411</v>
      </c>
      <c r="F261" s="3491" t="s">
        <v>4410</v>
      </c>
      <c r="G261" s="3493">
        <f t="shared" si="4"/>
        <v>10.49</v>
      </c>
      <c r="H261" s="3491" t="s">
        <v>4412</v>
      </c>
      <c r="I261" t="s">
        <v>4436</v>
      </c>
    </row>
    <row r="262" spans="1:12">
      <c r="A262" s="3490" t="s">
        <v>4137</v>
      </c>
      <c r="B262" s="3491">
        <v>20</v>
      </c>
      <c r="C262" s="3491" t="s">
        <v>3524</v>
      </c>
      <c r="D262" s="3491" t="s">
        <v>4193</v>
      </c>
      <c r="E262" s="3491" t="s">
        <v>4411</v>
      </c>
      <c r="F262" s="3491" t="s">
        <v>4410</v>
      </c>
      <c r="G262" s="3493">
        <f t="shared" si="4"/>
        <v>10.49</v>
      </c>
      <c r="H262" s="3491" t="s">
        <v>4412</v>
      </c>
      <c r="I262" t="s">
        <v>4436</v>
      </c>
    </row>
    <row r="263" spans="1:12">
      <c r="A263" s="3490" t="s">
        <v>4137</v>
      </c>
      <c r="B263" s="3491">
        <v>20</v>
      </c>
      <c r="C263" s="3491" t="s">
        <v>3524</v>
      </c>
      <c r="D263" s="3491" t="s">
        <v>4196</v>
      </c>
      <c r="E263" s="3491" t="s">
        <v>4411</v>
      </c>
      <c r="F263" s="3491" t="s">
        <v>4410</v>
      </c>
      <c r="G263" s="3493">
        <f t="shared" si="4"/>
        <v>10.49</v>
      </c>
      <c r="H263" s="3491" t="s">
        <v>4412</v>
      </c>
      <c r="I263" t="s">
        <v>4436</v>
      </c>
    </row>
    <row r="264" spans="1:12">
      <c r="A264" s="3490" t="s">
        <v>4137</v>
      </c>
      <c r="B264" s="3491">
        <v>20</v>
      </c>
      <c r="C264" s="3491" t="s">
        <v>3524</v>
      </c>
      <c r="D264" s="3491" t="s">
        <v>4199</v>
      </c>
      <c r="E264" s="3491" t="s">
        <v>4411</v>
      </c>
      <c r="F264" s="3491" t="s">
        <v>4410</v>
      </c>
      <c r="G264" s="3493">
        <f t="shared" si="4"/>
        <v>10.49</v>
      </c>
      <c r="H264" s="3491" t="s">
        <v>4412</v>
      </c>
      <c r="I264" t="s">
        <v>4436</v>
      </c>
    </row>
    <row r="265" spans="1:12">
      <c r="A265" s="3490" t="s">
        <v>4137</v>
      </c>
      <c r="B265" s="3491">
        <v>20</v>
      </c>
      <c r="C265" s="3491" t="s">
        <v>3524</v>
      </c>
      <c r="D265" s="3491" t="s">
        <v>4202</v>
      </c>
      <c r="E265" s="3491" t="s">
        <v>4411</v>
      </c>
      <c r="F265" s="3491" t="s">
        <v>4410</v>
      </c>
      <c r="G265" s="3493">
        <f t="shared" si="4"/>
        <v>7.71</v>
      </c>
      <c r="H265" s="3491" t="s">
        <v>4412</v>
      </c>
      <c r="I265" t="s">
        <v>4446</v>
      </c>
      <c r="L265">
        <f>G236+G272+G284</f>
        <v>2310.5100000000002</v>
      </c>
    </row>
    <row r="266" spans="1:12">
      <c r="A266" s="3490" t="s">
        <v>4137</v>
      </c>
      <c r="B266" s="3491">
        <v>20</v>
      </c>
      <c r="C266" s="3491" t="s">
        <v>3524</v>
      </c>
      <c r="D266" s="3491" t="s">
        <v>4205</v>
      </c>
      <c r="E266" s="3491" t="s">
        <v>4411</v>
      </c>
      <c r="F266" s="3491" t="s">
        <v>4410</v>
      </c>
      <c r="G266" s="3493">
        <f t="shared" si="4"/>
        <v>7.6</v>
      </c>
      <c r="H266" s="3491" t="s">
        <v>4412</v>
      </c>
      <c r="I266" t="s">
        <v>4445</v>
      </c>
    </row>
    <row r="267" spans="1:12">
      <c r="A267" s="3490" t="s">
        <v>4137</v>
      </c>
      <c r="B267" s="3491">
        <v>20</v>
      </c>
      <c r="C267" s="3491" t="s">
        <v>3524</v>
      </c>
      <c r="D267" s="3491" t="s">
        <v>4208</v>
      </c>
      <c r="E267" s="3491" t="s">
        <v>4411</v>
      </c>
      <c r="F267" s="3491" t="s">
        <v>4410</v>
      </c>
      <c r="G267" s="3493">
        <f t="shared" si="4"/>
        <v>9.06</v>
      </c>
      <c r="H267" s="3491" t="s">
        <v>4412</v>
      </c>
      <c r="I267" t="s">
        <v>4447</v>
      </c>
    </row>
    <row r="268" spans="1:12">
      <c r="A268" s="3490" t="s">
        <v>4137</v>
      </c>
      <c r="B268" s="3491">
        <v>20</v>
      </c>
      <c r="C268" s="3491" t="s">
        <v>3524</v>
      </c>
      <c r="D268" s="3491" t="s">
        <v>4211</v>
      </c>
      <c r="E268" s="3491" t="s">
        <v>4411</v>
      </c>
      <c r="F268" s="3491" t="s">
        <v>4410</v>
      </c>
      <c r="G268" s="3493">
        <f t="shared" si="4"/>
        <v>9.06</v>
      </c>
      <c r="H268" s="3491" t="s">
        <v>4412</v>
      </c>
      <c r="I268" t="s">
        <v>4447</v>
      </c>
    </row>
    <row r="269" spans="1:12">
      <c r="A269" s="3490" t="s">
        <v>4137</v>
      </c>
      <c r="B269" s="3491">
        <v>20</v>
      </c>
      <c r="C269" s="3491" t="s">
        <v>3524</v>
      </c>
      <c r="D269" s="3491" t="s">
        <v>4214</v>
      </c>
      <c r="E269" s="3491" t="s">
        <v>4411</v>
      </c>
      <c r="F269" s="3491" t="s">
        <v>4410</v>
      </c>
      <c r="G269" s="3493">
        <f t="shared" si="4"/>
        <v>9.06</v>
      </c>
      <c r="H269" s="3491" t="s">
        <v>4412</v>
      </c>
      <c r="I269" t="s">
        <v>4447</v>
      </c>
    </row>
    <row r="270" spans="1:12">
      <c r="A270" s="3490" t="s">
        <v>4137</v>
      </c>
      <c r="B270" s="3491">
        <v>20</v>
      </c>
      <c r="C270" s="3491" t="s">
        <v>3524</v>
      </c>
      <c r="D270" s="3491" t="s">
        <v>4217</v>
      </c>
      <c r="E270" s="3491" t="s">
        <v>4411</v>
      </c>
      <c r="F270" s="3491" t="s">
        <v>4410</v>
      </c>
      <c r="G270" s="3493">
        <f t="shared" si="4"/>
        <v>10.58</v>
      </c>
      <c r="H270" s="3491" t="s">
        <v>4412</v>
      </c>
      <c r="I270" t="s">
        <v>4438</v>
      </c>
    </row>
    <row r="271" spans="1:12">
      <c r="A271" s="3490" t="s">
        <v>4137</v>
      </c>
      <c r="B271" s="3491">
        <v>20</v>
      </c>
      <c r="C271" s="3491" t="s">
        <v>3524</v>
      </c>
      <c r="D271" s="3491" t="s">
        <v>4220</v>
      </c>
      <c r="E271" s="3491" t="s">
        <v>4411</v>
      </c>
      <c r="F271" s="3491" t="s">
        <v>4410</v>
      </c>
      <c r="G271" s="3493">
        <f t="shared" si="4"/>
        <v>8.23</v>
      </c>
      <c r="H271" s="3491" t="s">
        <v>4412</v>
      </c>
      <c r="I271" t="s">
        <v>4439</v>
      </c>
    </row>
    <row r="272" spans="1:12">
      <c r="A272" s="3847" t="s">
        <v>4425</v>
      </c>
      <c r="B272" s="3847"/>
      <c r="C272" s="3847"/>
      <c r="D272" s="3847"/>
      <c r="E272" s="3847"/>
      <c r="F272" s="3847"/>
      <c r="G272" s="3493">
        <f>SUM(G244:G271)</f>
        <v>239.58000000000007</v>
      </c>
      <c r="H272" s="3494" t="s">
        <v>4424</v>
      </c>
    </row>
    <row r="273" spans="1:9">
      <c r="A273" s="3840" t="s">
        <v>4426</v>
      </c>
      <c r="B273" s="3840"/>
      <c r="C273" s="3840"/>
      <c r="D273" s="3840"/>
      <c r="E273" s="3840"/>
      <c r="F273" s="3840"/>
      <c r="G273" s="3840"/>
      <c r="H273" s="3840"/>
    </row>
    <row r="274" spans="1:9">
      <c r="A274" s="3495" t="s">
        <v>4427</v>
      </c>
      <c r="B274" s="3840" t="s">
        <v>4428</v>
      </c>
      <c r="C274" s="3840"/>
      <c r="D274" s="3840"/>
      <c r="E274" s="3496" t="s">
        <v>4429</v>
      </c>
      <c r="F274" s="3840" t="s">
        <v>4430</v>
      </c>
      <c r="G274" s="3840"/>
      <c r="H274" s="3840"/>
    </row>
    <row r="276" spans="1:9">
      <c r="A276" s="3492" t="s">
        <v>4414</v>
      </c>
      <c r="B276" s="3841" t="s">
        <v>4432</v>
      </c>
      <c r="C276" s="3842"/>
      <c r="D276" s="3842"/>
      <c r="E276" s="3842"/>
      <c r="F276" s="3842"/>
      <c r="G276" s="3842"/>
      <c r="H276" s="3843"/>
    </row>
    <row r="277" spans="1:9">
      <c r="A277" s="3492" t="s">
        <v>4415</v>
      </c>
      <c r="B277" s="3844" t="s">
        <v>4416</v>
      </c>
      <c r="C277" s="3845"/>
      <c r="D277" s="3846"/>
      <c r="E277" s="3489" t="s">
        <v>4417</v>
      </c>
      <c r="F277" s="3844" t="s">
        <v>4418</v>
      </c>
      <c r="G277" s="3845"/>
      <c r="H277" s="3846"/>
    </row>
    <row r="278" spans="1:9">
      <c r="A278" s="3492" t="s">
        <v>4419</v>
      </c>
      <c r="B278" s="3841" t="s">
        <v>4463</v>
      </c>
      <c r="C278" s="3842"/>
      <c r="D278" s="3843"/>
      <c r="E278" s="3489" t="s">
        <v>4420</v>
      </c>
      <c r="F278" s="3844" t="s">
        <v>4423</v>
      </c>
      <c r="G278" s="3845"/>
      <c r="H278" s="3846"/>
    </row>
    <row r="279" spans="1:9" ht="25.8">
      <c r="A279" s="3488" t="s">
        <v>4404</v>
      </c>
      <c r="B279" s="3489" t="s">
        <v>4405</v>
      </c>
      <c r="C279" s="3489" t="s">
        <v>4406</v>
      </c>
      <c r="D279" s="3489" t="s">
        <v>4407</v>
      </c>
      <c r="E279" s="3489" t="s">
        <v>4408</v>
      </c>
      <c r="F279" s="3489" t="s">
        <v>4409</v>
      </c>
      <c r="G279" s="3489" t="s">
        <v>4413</v>
      </c>
      <c r="H279" s="3489" t="s">
        <v>672</v>
      </c>
    </row>
    <row r="280" spans="1:9">
      <c r="A280" s="3490" t="s">
        <v>4222</v>
      </c>
      <c r="B280" s="3491">
        <v>21</v>
      </c>
      <c r="C280" s="3491" t="s">
        <v>3442</v>
      </c>
      <c r="D280" s="3491" t="s">
        <v>4224</v>
      </c>
      <c r="E280" s="3491" t="s">
        <v>4411</v>
      </c>
      <c r="F280" s="3491" t="s">
        <v>4464</v>
      </c>
      <c r="G280" s="3493">
        <f t="shared" ref="G280:G283" si="5">I280*$J$1</f>
        <v>10.45</v>
      </c>
      <c r="H280" s="3491" t="s">
        <v>4412</v>
      </c>
      <c r="I280" s="3493" t="s">
        <v>4377</v>
      </c>
    </row>
    <row r="281" spans="1:9">
      <c r="A281" s="3490" t="s">
        <v>4222</v>
      </c>
      <c r="B281" s="3491">
        <v>21</v>
      </c>
      <c r="C281" s="3491" t="s">
        <v>3442</v>
      </c>
      <c r="D281" s="3491" t="s">
        <v>4227</v>
      </c>
      <c r="E281" s="3491" t="s">
        <v>4411</v>
      </c>
      <c r="F281" s="3491" t="s">
        <v>4464</v>
      </c>
      <c r="G281" s="3493">
        <f t="shared" si="5"/>
        <v>10.45</v>
      </c>
      <c r="H281" s="3491" t="s">
        <v>4412</v>
      </c>
      <c r="I281" s="3493" t="s">
        <v>4377</v>
      </c>
    </row>
    <row r="282" spans="1:9">
      <c r="A282" s="3490" t="s">
        <v>4222</v>
      </c>
      <c r="B282" s="3491">
        <v>21</v>
      </c>
      <c r="C282" s="3491" t="s">
        <v>3442</v>
      </c>
      <c r="D282" s="3491" t="s">
        <v>4230</v>
      </c>
      <c r="E282" s="3491" t="s">
        <v>4411</v>
      </c>
      <c r="F282" s="3491" t="s">
        <v>4464</v>
      </c>
      <c r="G282" s="3493">
        <f t="shared" si="5"/>
        <v>10.45</v>
      </c>
      <c r="H282" s="3491" t="s">
        <v>4412</v>
      </c>
      <c r="I282" s="3493" t="s">
        <v>4377</v>
      </c>
    </row>
    <row r="283" spans="1:9">
      <c r="A283" s="3490" t="s">
        <v>4222</v>
      </c>
      <c r="B283" s="3491">
        <v>21</v>
      </c>
      <c r="C283" s="3491" t="s">
        <v>3442</v>
      </c>
      <c r="D283" s="3491" t="s">
        <v>4233</v>
      </c>
      <c r="E283" s="3491" t="s">
        <v>4411</v>
      </c>
      <c r="F283" s="3491" t="s">
        <v>4464</v>
      </c>
      <c r="G283" s="3493">
        <f t="shared" si="5"/>
        <v>8.19</v>
      </c>
      <c r="H283" s="3491" t="s">
        <v>4412</v>
      </c>
      <c r="I283" s="3493" t="s">
        <v>4379</v>
      </c>
    </row>
    <row r="284" spans="1:9">
      <c r="A284" s="3847" t="s">
        <v>4425</v>
      </c>
      <c r="B284" s="3847"/>
      <c r="C284" s="3847"/>
      <c r="D284" s="3847"/>
      <c r="E284" s="3847"/>
      <c r="F284" s="3847"/>
      <c r="G284" s="3493">
        <f>SUM(G280:G283)</f>
        <v>39.54</v>
      </c>
      <c r="H284" s="3494" t="s">
        <v>4424</v>
      </c>
    </row>
    <row r="285" spans="1:9">
      <c r="A285" s="3840" t="s">
        <v>4426</v>
      </c>
      <c r="B285" s="3840"/>
      <c r="C285" s="3840"/>
      <c r="D285" s="3840"/>
      <c r="E285" s="3840"/>
      <c r="F285" s="3840"/>
      <c r="G285" s="3840"/>
      <c r="H285" s="3840"/>
    </row>
    <row r="286" spans="1:9">
      <c r="A286" s="3495" t="s">
        <v>4427</v>
      </c>
      <c r="B286" s="3840" t="s">
        <v>4428</v>
      </c>
      <c r="C286" s="3840"/>
      <c r="D286" s="3840"/>
      <c r="E286" s="3496" t="s">
        <v>4429</v>
      </c>
      <c r="F286" s="3840" t="s">
        <v>4430</v>
      </c>
      <c r="G286" s="3840"/>
      <c r="H286" s="3840"/>
    </row>
  </sheetData>
  <mergeCells count="27">
    <mergeCell ref="B1:H1"/>
    <mergeCell ref="B241:D241"/>
    <mergeCell ref="F241:H241"/>
    <mergeCell ref="B2:D2"/>
    <mergeCell ref="F2:H2"/>
    <mergeCell ref="B3:D3"/>
    <mergeCell ref="F3:H3"/>
    <mergeCell ref="A236:F236"/>
    <mergeCell ref="A237:H237"/>
    <mergeCell ref="B238:D238"/>
    <mergeCell ref="F238:H238"/>
    <mergeCell ref="B240:H240"/>
    <mergeCell ref="B242:D242"/>
    <mergeCell ref="F242:H242"/>
    <mergeCell ref="A272:F272"/>
    <mergeCell ref="A273:H273"/>
    <mergeCell ref="B274:D274"/>
    <mergeCell ref="F274:H274"/>
    <mergeCell ref="A285:H285"/>
    <mergeCell ref="B286:D286"/>
    <mergeCell ref="F286:H286"/>
    <mergeCell ref="B276:H276"/>
    <mergeCell ref="B277:D277"/>
    <mergeCell ref="F277:H277"/>
    <mergeCell ref="B278:D278"/>
    <mergeCell ref="F278:H278"/>
    <mergeCell ref="A284:F284"/>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5" zoomScale="90" zoomScaleNormal="90" workbookViewId="0">
      <selection activeCell="C62" sqref="C62"/>
    </sheetView>
  </sheetViews>
  <sheetFormatPr defaultRowHeight="14.4"/>
  <cols>
    <col min="1" max="1" width="13.88671875" customWidth="1"/>
    <col min="11" max="17" width="0" hidden="1" customWidth="1"/>
    <col min="25" max="30" width="0" hidden="1" customWidth="1"/>
  </cols>
  <sheetData>
    <row r="1" spans="1:44">
      <c r="A1" s="3218">
        <f>基准地价修正!G23</f>
        <v>45882</v>
      </c>
      <c r="B1" s="3207" t="s">
        <v>3374</v>
      </c>
      <c r="C1" s="3208"/>
      <c r="D1" s="3208"/>
      <c r="E1" s="3208"/>
      <c r="F1" s="3208"/>
      <c r="G1" s="3208"/>
      <c r="H1" s="3208"/>
      <c r="I1" s="3208"/>
      <c r="J1" s="3162"/>
      <c r="K1" s="3208" t="s">
        <v>454</v>
      </c>
      <c r="L1" s="3208"/>
      <c r="M1" s="3208"/>
      <c r="N1" s="3208"/>
      <c r="O1" s="3208"/>
      <c r="P1" s="3208"/>
      <c r="Q1" s="3162"/>
      <c r="R1" s="3848" t="s">
        <v>456</v>
      </c>
      <c r="S1" s="3849"/>
      <c r="T1" s="3849"/>
      <c r="U1" s="3849"/>
      <c r="V1" s="3849"/>
      <c r="W1" s="3849"/>
      <c r="X1" s="3162"/>
      <c r="Y1" s="3848" t="s">
        <v>457</v>
      </c>
      <c r="Z1" s="3849"/>
      <c r="AA1" s="3849"/>
      <c r="AB1" s="3849"/>
      <c r="AC1" s="3849"/>
      <c r="AD1" s="3849"/>
    </row>
    <row r="2" spans="1:44" s="3140" customFormat="1" ht="1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c r="AF2" t="s">
        <v>3401</v>
      </c>
      <c r="AG2" t="s">
        <v>673</v>
      </c>
      <c r="AH2" t="s">
        <v>21</v>
      </c>
      <c r="AI2" t="s">
        <v>3402</v>
      </c>
      <c r="AJ2" t="s">
        <v>3</v>
      </c>
      <c r="AK2" t="s">
        <v>3403</v>
      </c>
      <c r="AM2" t="s">
        <v>3401</v>
      </c>
      <c r="AN2" t="s">
        <v>673</v>
      </c>
      <c r="AO2" t="s">
        <v>21</v>
      </c>
      <c r="AP2" t="s">
        <v>3402</v>
      </c>
      <c r="AQ2" t="s">
        <v>3</v>
      </c>
      <c r="AR2" t="s">
        <v>3403</v>
      </c>
    </row>
    <row r="3" spans="1:44" s="3158" customFormat="1" ht="13.2">
      <c r="A3" s="3146" t="s">
        <v>2816</v>
      </c>
      <c r="B3" s="3147"/>
      <c r="C3" s="3148"/>
      <c r="D3" s="3148">
        <f>ROUND(AVERAGEIF(D4:D24,"&lt;&gt;0"),2)</f>
        <v>0.39</v>
      </c>
      <c r="E3" s="3148">
        <f t="shared" ref="E3:H3" si="0">ROUND(AVERAGEIF(E4:E24,"&lt;&gt;0"),2)</f>
        <v>0.21</v>
      </c>
      <c r="F3" s="3148">
        <f t="shared" si="0"/>
        <v>-0.06</v>
      </c>
      <c r="G3" s="3148">
        <f t="shared" si="0"/>
        <v>0.46</v>
      </c>
      <c r="H3" s="3148">
        <f t="shared" si="0"/>
        <v>0.51</v>
      </c>
      <c r="I3" s="3148">
        <f>F3</f>
        <v>-0.06</v>
      </c>
      <c r="J3" s="3149"/>
      <c r="K3" s="3150">
        <f>ROUND(AVERAGEIF(K4:K24,"&lt;&gt;0"),4)</f>
        <v>3.8999999999999998E-3</v>
      </c>
      <c r="L3" s="3151">
        <f t="shared" ref="L3:O3" si="1">ROUND(AVERAGEIF(L4:L24,"&lt;&gt;0"),4)</f>
        <v>2.0999999999999999E-3</v>
      </c>
      <c r="M3" s="3151">
        <f t="shared" si="1"/>
        <v>-5.9999999999999995E-4</v>
      </c>
      <c r="N3" s="3151">
        <f t="shared" si="1"/>
        <v>4.5999999999999999E-3</v>
      </c>
      <c r="O3" s="3151">
        <f t="shared" si="1"/>
        <v>5.1000000000000004E-3</v>
      </c>
      <c r="P3" s="3151">
        <f>M3</f>
        <v>-5.9999999999999995E-4</v>
      </c>
      <c r="Q3" s="3149"/>
      <c r="R3" s="3152">
        <f>ROUND(SUMPRODUCT(PRODUCT(1+K4:K24)),4)</f>
        <v>1.0674999999999999</v>
      </c>
      <c r="S3" s="3153">
        <f t="shared" ref="S3:V3" si="2">ROUND(SUMPRODUCT(PRODUCT(1+L4:L24)),4)</f>
        <v>1.0355000000000001</v>
      </c>
      <c r="T3" s="3153">
        <f t="shared" si="2"/>
        <v>0.98880000000000001</v>
      </c>
      <c r="U3" s="3153">
        <f t="shared" si="2"/>
        <v>1.0798000000000001</v>
      </c>
      <c r="V3" s="3153">
        <f t="shared" si="2"/>
        <v>1.0911</v>
      </c>
      <c r="W3" s="3152">
        <f>T3</f>
        <v>0.98880000000000001</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2" t="s">
        <v>3400</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1.0571999999999999</v>
      </c>
      <c r="S5" s="3180">
        <f>ROUND(IF(项目基本情况!$B$8="出让",SUMPRODUCT(PRODUCT(1+L5:$L$24)),SUMPRODUCT(PRODUCT(1+L5:$L$23))),4)</f>
        <v>1.0339</v>
      </c>
      <c r="T5" s="3180">
        <f>ROUND(IF(项目基本情况!$B$8="出让",SUMPRODUCT(PRODUCT(1+M5:$M$24)),SUMPRODUCT(PRODUCT(1+M5:$M$23))),4)</f>
        <v>0.99129999999999996</v>
      </c>
      <c r="U5" s="3180">
        <f>ROUND(IF(项目基本情况!$B$8="出让",SUMPRODUCT(PRODUCT(1+N5:$N$24)),SUMPRODUCT(PRODUCT(1+N5:$N$23))),4)</f>
        <v>1.0679000000000001</v>
      </c>
      <c r="V5" s="3180">
        <f>ROUND(IF(项目基本情况!$B$8="出让",SUMPRODUCT(PRODUCT(1+O5:$O$24)),SUMPRODUCT(PRODUCT(1+O5:$O$23))),4)</f>
        <v>1.0871999999999999</v>
      </c>
      <c r="W5" s="3180">
        <f t="shared" ref="W5:W11" si="11">T5</f>
        <v>0.99129999999999996</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49">
        <f>$AF$24*R5</f>
        <v>105.72</v>
      </c>
      <c r="AG5" s="3449">
        <f t="shared" ref="AG5:AK5" si="18">$AF$24*S5</f>
        <v>103.39</v>
      </c>
      <c r="AH5" s="3449">
        <f t="shared" si="18"/>
        <v>99.13</v>
      </c>
      <c r="AI5" s="3449">
        <f t="shared" si="18"/>
        <v>106.79</v>
      </c>
      <c r="AJ5" s="3449">
        <f t="shared" si="18"/>
        <v>108.72</v>
      </c>
      <c r="AK5" s="3449">
        <f t="shared" si="18"/>
        <v>99.13</v>
      </c>
      <c r="AM5" s="3455">
        <v>100</v>
      </c>
      <c r="AN5" s="3455">
        <v>100</v>
      </c>
      <c r="AO5" s="3455">
        <v>100</v>
      </c>
      <c r="AP5" s="3455">
        <v>100</v>
      </c>
      <c r="AQ5" s="3455">
        <v>100</v>
      </c>
      <c r="AR5" s="3455">
        <v>100</v>
      </c>
    </row>
    <row r="6" spans="1:44" s="3182" customFormat="1" ht="13.2">
      <c r="A6" s="2202" t="s">
        <v>3399</v>
      </c>
      <c r="B6" s="3174">
        <v>2025</v>
      </c>
      <c r="C6" s="3175">
        <v>3</v>
      </c>
      <c r="D6" s="3176">
        <v>0</v>
      </c>
      <c r="E6" s="3176">
        <v>0</v>
      </c>
      <c r="F6" s="3176">
        <v>0</v>
      </c>
      <c r="G6" s="3176">
        <v>0</v>
      </c>
      <c r="H6" s="3176">
        <v>0</v>
      </c>
      <c r="I6" s="3177">
        <f t="shared" ref="I6" si="19">F6</f>
        <v>0</v>
      </c>
      <c r="J6" s="3178"/>
      <c r="K6" s="3179">
        <f t="shared" ref="K6" si="20">D6/100</f>
        <v>0</v>
      </c>
      <c r="L6" s="3169">
        <f t="shared" ref="L6" si="21">E6/100</f>
        <v>0</v>
      </c>
      <c r="M6" s="3169">
        <f t="shared" ref="M6" si="22">F6/100</f>
        <v>0</v>
      </c>
      <c r="N6" s="3169">
        <f t="shared" ref="N6" si="23">G6/100</f>
        <v>0</v>
      </c>
      <c r="O6" s="3169">
        <f t="shared" ref="O6" si="24">H6/100</f>
        <v>0</v>
      </c>
      <c r="P6" s="3169">
        <f t="shared" si="10"/>
        <v>0</v>
      </c>
      <c r="Q6" s="3178"/>
      <c r="R6" s="3180">
        <f>ROUND(IF(项目基本情况!$B$8="出让",SUMPRODUCT(PRODUCT(1+K6:$K$24)),SUMPRODUCT(PRODUCT(1+K6:$K$23))),4)</f>
        <v>1.0571999999999999</v>
      </c>
      <c r="S6" s="3180">
        <f>ROUND(IF(项目基本情况!$B$8="出让",SUMPRODUCT(PRODUCT(1+L6:$L$24)),SUMPRODUCT(PRODUCT(1+L6:$L$23))),4)</f>
        <v>1.0339</v>
      </c>
      <c r="T6" s="3180">
        <f>ROUND(IF(项目基本情况!$B$8="出让",SUMPRODUCT(PRODUCT(1+M6:$M$24)),SUMPRODUCT(PRODUCT(1+M6:$M$23))),4)</f>
        <v>0.99129999999999996</v>
      </c>
      <c r="U6" s="3180">
        <f>ROUND(IF(项目基本情况!$B$8="出让",SUMPRODUCT(PRODUCT(1+N6:$N$24)),SUMPRODUCT(PRODUCT(1+N6:$N$23))),4)</f>
        <v>1.0679000000000001</v>
      </c>
      <c r="V6" s="3180">
        <f>ROUND(IF(项目基本情况!$B$8="出让",SUMPRODUCT(PRODUCT(1+O6:$O$24)),SUMPRODUCT(PRODUCT(1+O6:$O$23))),4)</f>
        <v>1.0871999999999999</v>
      </c>
      <c r="W6" s="3180">
        <f t="shared" si="11"/>
        <v>0.99129999999999996</v>
      </c>
      <c r="X6" s="3178"/>
      <c r="Y6" s="3181">
        <f t="shared" si="12"/>
        <v>0</v>
      </c>
      <c r="Z6" s="3181">
        <f t="shared" ref="Z6" si="25">IF(E6=0,0,ROUND(AVERAGE(E6:E19)/100,4))</f>
        <v>0</v>
      </c>
      <c r="AA6" s="3181">
        <f t="shared" ref="AA6" si="26">IF(F6=0,0,ROUND(AVERAGE(F6:F19)/100,4))</f>
        <v>0</v>
      </c>
      <c r="AB6" s="3181">
        <f t="shared" ref="AB6" si="27">IF(G6=0,0,ROUND(AVERAGE(G6:G19)/100,4))</f>
        <v>0</v>
      </c>
      <c r="AC6" s="3181">
        <f t="shared" ref="AC6" si="28">IF(H6=0,0,ROUND(AVERAGE(H6:H19)/100,4))</f>
        <v>0</v>
      </c>
      <c r="AD6" s="3181">
        <f t="shared" ref="AD6" si="29">AA6</f>
        <v>0</v>
      </c>
      <c r="AF6" s="3449">
        <f t="shared" ref="AF6:AF23" si="30">$AF$24*R6</f>
        <v>105.72</v>
      </c>
      <c r="AG6" s="3449">
        <f t="shared" ref="AG6:AG23" si="31">$AF$24*S6</f>
        <v>103.39</v>
      </c>
      <c r="AH6" s="3449">
        <f t="shared" ref="AH6:AH23" si="32">$AF$24*T6</f>
        <v>99.13</v>
      </c>
      <c r="AI6" s="3449">
        <f t="shared" ref="AI6:AI23" si="33">$AF$24*U6</f>
        <v>106.79</v>
      </c>
      <c r="AJ6" s="3449">
        <f t="shared" ref="AJ6:AJ23" si="34">$AF$24*V6</f>
        <v>108.72</v>
      </c>
      <c r="AK6" s="3449">
        <f t="shared" ref="AK6:AK23" si="35">$AF$24*W6</f>
        <v>99.13</v>
      </c>
      <c r="AM6" s="3449">
        <f>AM5/(1+D5/100)</f>
        <v>100</v>
      </c>
      <c r="AN6" s="3449">
        <f t="shared" ref="AN6:AR6" si="36">AN5/(1+E5/100)</f>
        <v>100</v>
      </c>
      <c r="AO6" s="3449">
        <f t="shared" si="36"/>
        <v>100</v>
      </c>
      <c r="AP6" s="3449">
        <f t="shared" si="36"/>
        <v>100</v>
      </c>
      <c r="AQ6" s="3449">
        <f t="shared" si="36"/>
        <v>100</v>
      </c>
      <c r="AR6" s="3449">
        <f t="shared" si="36"/>
        <v>100</v>
      </c>
    </row>
    <row r="7" spans="1:44" s="3192" customFormat="1" ht="13.2">
      <c r="A7" s="3183" t="s">
        <v>3398</v>
      </c>
      <c r="B7" s="3184">
        <v>2025</v>
      </c>
      <c r="C7" s="3185">
        <v>2</v>
      </c>
      <c r="D7" s="3186">
        <v>0</v>
      </c>
      <c r="E7" s="3186">
        <v>0</v>
      </c>
      <c r="F7" s="3186">
        <v>0</v>
      </c>
      <c r="G7" s="3186">
        <v>0</v>
      </c>
      <c r="H7" s="3187">
        <v>0</v>
      </c>
      <c r="I7" s="3188">
        <f t="shared" ref="I7" si="37">F7</f>
        <v>0</v>
      </c>
      <c r="J7" s="3189"/>
      <c r="K7" s="3190">
        <f t="shared" ref="K7" si="38">D7/100</f>
        <v>0</v>
      </c>
      <c r="L7" s="3191">
        <f t="shared" ref="L7" si="39">E7/100</f>
        <v>0</v>
      </c>
      <c r="M7" s="3191">
        <f t="shared" ref="M7" si="40">F7/100</f>
        <v>0</v>
      </c>
      <c r="N7" s="3191">
        <f t="shared" ref="N7" si="41">G7/100</f>
        <v>0</v>
      </c>
      <c r="O7" s="3191">
        <f t="shared" ref="O7" si="42">H7/100</f>
        <v>0</v>
      </c>
      <c r="P7" s="3191">
        <f t="shared" si="10"/>
        <v>0</v>
      </c>
      <c r="Q7" s="3189"/>
      <c r="R7" s="3189">
        <f>ROUND(IF(项目基本情况!$B$8="出让",SUMPRODUCT(PRODUCT(1+K7:$K$24)),SUMPRODUCT(PRODUCT(1+K7:$K$23))),4)</f>
        <v>1.0571999999999999</v>
      </c>
      <c r="S7" s="3189">
        <f>ROUND(IF(项目基本情况!$B$8="出让",SUMPRODUCT(PRODUCT(1+L7:$L$24)),SUMPRODUCT(PRODUCT(1+L7:$L$23))),4)</f>
        <v>1.0339</v>
      </c>
      <c r="T7" s="3189">
        <f>ROUND(IF(项目基本情况!$B$8="出让",SUMPRODUCT(PRODUCT(1+M7:$M$24)),SUMPRODUCT(PRODUCT(1+M7:$M$23))),4)</f>
        <v>0.99129999999999996</v>
      </c>
      <c r="U7" s="3189">
        <f>ROUND(IF(项目基本情况!$B$8="出让",SUMPRODUCT(PRODUCT(1+N7:$N$24)),SUMPRODUCT(PRODUCT(1+N7:$N$23))),4)</f>
        <v>1.0679000000000001</v>
      </c>
      <c r="V7" s="3189">
        <f>ROUND(IF(项目基本情况!$B$8="出让",SUMPRODUCT(PRODUCT(1+O7:$O$24)),SUMPRODUCT(PRODUCT(1+O7:$O$23))),4)</f>
        <v>1.0871999999999999</v>
      </c>
      <c r="W7" s="3189">
        <f t="shared" si="11"/>
        <v>0.99129999999999996</v>
      </c>
      <c r="X7" s="3189"/>
      <c r="Y7" s="3191">
        <f t="shared" si="12"/>
        <v>0</v>
      </c>
      <c r="Z7" s="3191">
        <f t="shared" ref="Z7" si="43">IF(E7=0,0,ROUND(AVERAGE(E7:E20)/100,4))</f>
        <v>0</v>
      </c>
      <c r="AA7" s="3191">
        <f t="shared" ref="AA7" si="44">IF(F7=0,0,ROUND(AVERAGE(F7:F20)/100,4))</f>
        <v>0</v>
      </c>
      <c r="AB7" s="3191">
        <f t="shared" ref="AB7" si="45">IF(G7=0,0,ROUND(AVERAGE(G7:G20)/100,4))</f>
        <v>0</v>
      </c>
      <c r="AC7" s="3191">
        <f t="shared" ref="AC7" si="46">IF(H7=0,0,ROUND(AVERAGE(H7:H20)/100,4))</f>
        <v>0</v>
      </c>
      <c r="AD7" s="3191">
        <f t="shared" ref="AD7" si="47">AA7</f>
        <v>0</v>
      </c>
      <c r="AF7" s="3450">
        <f t="shared" si="30"/>
        <v>105.72</v>
      </c>
      <c r="AG7" s="3450">
        <f t="shared" si="31"/>
        <v>103.39</v>
      </c>
      <c r="AH7" s="3450">
        <f t="shared" si="32"/>
        <v>99.13</v>
      </c>
      <c r="AI7" s="3450">
        <f t="shared" si="33"/>
        <v>106.79</v>
      </c>
      <c r="AJ7" s="3450">
        <f t="shared" si="34"/>
        <v>108.72</v>
      </c>
      <c r="AK7" s="3450">
        <f t="shared" si="35"/>
        <v>99.13</v>
      </c>
      <c r="AM7" s="3450">
        <f t="shared" ref="AM7:AM24" si="48">AM6/(1+D6/100)</f>
        <v>100</v>
      </c>
      <c r="AN7" s="3450">
        <f t="shared" ref="AN7:AN24" si="49">AN6/(1+E6/100)</f>
        <v>100</v>
      </c>
      <c r="AO7" s="3450">
        <f t="shared" ref="AO7:AO24" si="50">AO6/(1+F6/100)</f>
        <v>100</v>
      </c>
      <c r="AP7" s="3450">
        <f t="shared" ref="AP7:AP24" si="51">AP6/(1+G6/100)</f>
        <v>100</v>
      </c>
      <c r="AQ7" s="3450">
        <f t="shared" ref="AQ7:AQ24" si="52">AQ6/(1+H6/100)</f>
        <v>100</v>
      </c>
      <c r="AR7" s="3450">
        <f t="shared" ref="AR7:AR24" si="53">AR6/(1+I6/100)</f>
        <v>100</v>
      </c>
    </row>
    <row r="8" spans="1:44" s="3182" customFormat="1" ht="13.2">
      <c r="A8" s="2202" t="s">
        <v>3406</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49">
        <f t="shared" si="30"/>
        <v>105.72</v>
      </c>
      <c r="AG8" s="3449">
        <f t="shared" si="31"/>
        <v>103.39</v>
      </c>
      <c r="AH8" s="3449">
        <f t="shared" si="32"/>
        <v>99.13</v>
      </c>
      <c r="AI8" s="3449">
        <f t="shared" si="33"/>
        <v>106.79</v>
      </c>
      <c r="AJ8" s="3449">
        <f t="shared" si="34"/>
        <v>108.72</v>
      </c>
      <c r="AK8" s="3449">
        <f t="shared" si="35"/>
        <v>99.13</v>
      </c>
      <c r="AM8" s="3449">
        <f t="shared" si="48"/>
        <v>100</v>
      </c>
      <c r="AN8" s="3449">
        <f t="shared" si="49"/>
        <v>100</v>
      </c>
      <c r="AO8" s="3449">
        <f t="shared" si="50"/>
        <v>100</v>
      </c>
      <c r="AP8" s="3449">
        <f t="shared" si="51"/>
        <v>100</v>
      </c>
      <c r="AQ8" s="3449">
        <f t="shared" si="52"/>
        <v>100</v>
      </c>
      <c r="AR8" s="3449">
        <f t="shared" si="53"/>
        <v>100</v>
      </c>
    </row>
    <row r="9" spans="1:44" s="3182" customFormat="1" ht="13.2">
      <c r="A9" s="2202" t="s">
        <v>3405</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49">
        <f t="shared" si="30"/>
        <v>105.11999999999999</v>
      </c>
      <c r="AG9" s="3449">
        <f t="shared" si="31"/>
        <v>103.98</v>
      </c>
      <c r="AH9" s="3449">
        <f t="shared" si="32"/>
        <v>100.03</v>
      </c>
      <c r="AI9" s="3449">
        <f t="shared" si="33"/>
        <v>105.61</v>
      </c>
      <c r="AJ9" s="3449">
        <f t="shared" si="34"/>
        <v>108.27</v>
      </c>
      <c r="AK9" s="3449">
        <f t="shared" si="35"/>
        <v>100.03</v>
      </c>
      <c r="AM9" s="3449">
        <f t="shared" si="48"/>
        <v>99.433230585661718</v>
      </c>
      <c r="AN9" s="3449">
        <f t="shared" si="49"/>
        <v>100.57326762546515</v>
      </c>
      <c r="AO9" s="3449">
        <f t="shared" si="50"/>
        <v>100.90817356205852</v>
      </c>
      <c r="AP9" s="3449">
        <f t="shared" si="51"/>
        <v>98.892405063291136</v>
      </c>
      <c r="AQ9" s="3449">
        <f t="shared" si="52"/>
        <v>99.581756622186816</v>
      </c>
      <c r="AR9" s="3449">
        <f t="shared" si="53"/>
        <v>100.90817356205852</v>
      </c>
    </row>
    <row r="10" spans="1:44" s="3182" customFormat="1" ht="13.2">
      <c r="A10" s="2202" t="s">
        <v>3378</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49">
        <f t="shared" si="30"/>
        <v>106.2</v>
      </c>
      <c r="AG10" s="3449">
        <f t="shared" si="31"/>
        <v>104.47999999999999</v>
      </c>
      <c r="AH10" s="3449">
        <f t="shared" si="32"/>
        <v>100.79</v>
      </c>
      <c r="AI10" s="3449">
        <f t="shared" si="33"/>
        <v>106.72999999999999</v>
      </c>
      <c r="AJ10" s="3449">
        <f t="shared" si="34"/>
        <v>108.18</v>
      </c>
      <c r="AK10" s="3449">
        <f t="shared" si="35"/>
        <v>100.79</v>
      </c>
      <c r="AM10" s="3449">
        <f t="shared" si="48"/>
        <v>100.45790117767399</v>
      </c>
      <c r="AN10" s="3449">
        <f t="shared" si="49"/>
        <v>101.05834769439826</v>
      </c>
      <c r="AO10" s="3449">
        <f t="shared" si="50"/>
        <v>101.670703840865</v>
      </c>
      <c r="AP10" s="3449">
        <f t="shared" si="51"/>
        <v>99.941793899233076</v>
      </c>
      <c r="AQ10" s="3449">
        <f t="shared" si="52"/>
        <v>99.502154898268216</v>
      </c>
      <c r="AR10" s="3449">
        <f t="shared" si="53"/>
        <v>101.670703840865</v>
      </c>
    </row>
    <row r="11" spans="1:44" s="3182" customFormat="1" ht="13.2">
      <c r="A11" s="3173" t="s">
        <v>3372</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49">
        <f t="shared" si="30"/>
        <v>107.48</v>
      </c>
      <c r="AG11" s="3449">
        <f t="shared" si="31"/>
        <v>104.98</v>
      </c>
      <c r="AH11" s="3449">
        <f t="shared" si="32"/>
        <v>101.08</v>
      </c>
      <c r="AI11" s="3449">
        <f t="shared" si="33"/>
        <v>107.52999999999999</v>
      </c>
      <c r="AJ11" s="3449">
        <f t="shared" si="34"/>
        <v>108.41000000000001</v>
      </c>
      <c r="AK11" s="3449">
        <f t="shared" si="35"/>
        <v>101.08</v>
      </c>
      <c r="AM11" s="3449">
        <f t="shared" si="48"/>
        <v>101.66774737139357</v>
      </c>
      <c r="AN11" s="3449">
        <f t="shared" si="49"/>
        <v>101.53556484918946</v>
      </c>
      <c r="AO11" s="3449">
        <f t="shared" si="50"/>
        <v>101.9664064194815</v>
      </c>
      <c r="AP11" s="3449">
        <f t="shared" si="51"/>
        <v>100.68687678746028</v>
      </c>
      <c r="AQ11" s="3449">
        <f t="shared" si="52"/>
        <v>99.711549151486338</v>
      </c>
      <c r="AR11" s="3449">
        <f t="shared" si="53"/>
        <v>101.9664064194815</v>
      </c>
    </row>
    <row r="12" spans="1:44" s="3182" customFormat="1" ht="13.2">
      <c r="A12" s="3173" t="s">
        <v>3371</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49">
        <f t="shared" si="30"/>
        <v>108.11999999999999</v>
      </c>
      <c r="AG12" s="3449">
        <f t="shared" si="31"/>
        <v>105.2</v>
      </c>
      <c r="AH12" s="3449">
        <f t="shared" si="32"/>
        <v>102.49999999999999</v>
      </c>
      <c r="AI12" s="3449">
        <f t="shared" si="33"/>
        <v>108.88</v>
      </c>
      <c r="AJ12" s="3449">
        <f t="shared" si="34"/>
        <v>108.04</v>
      </c>
      <c r="AK12" s="3449">
        <f t="shared" si="35"/>
        <v>102.49999999999999</v>
      </c>
      <c r="AM12" s="3449">
        <f t="shared" si="48"/>
        <v>102.27114713951673</v>
      </c>
      <c r="AN12" s="3449">
        <f t="shared" si="49"/>
        <v>101.74923824951344</v>
      </c>
      <c r="AO12" s="3449">
        <f t="shared" si="50"/>
        <v>103.3932330353696</v>
      </c>
      <c r="AP12" s="3449">
        <f t="shared" si="51"/>
        <v>101.95107005615662</v>
      </c>
      <c r="AQ12" s="3449">
        <f t="shared" si="52"/>
        <v>99.373678644096401</v>
      </c>
      <c r="AR12" s="3449">
        <f t="shared" si="53"/>
        <v>103.3932330353696</v>
      </c>
    </row>
    <row r="13" spans="1:44" s="3182" customFormat="1" ht="13.2">
      <c r="A13" s="3173" t="s">
        <v>3367</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49">
        <f t="shared" si="30"/>
        <v>108.04</v>
      </c>
      <c r="AG13" s="3449">
        <f t="shared" si="31"/>
        <v>104.71999999999998</v>
      </c>
      <c r="AH13" s="3449">
        <f t="shared" si="32"/>
        <v>102.66</v>
      </c>
      <c r="AI13" s="3449">
        <f t="shared" si="33"/>
        <v>108.59</v>
      </c>
      <c r="AJ13" s="3449">
        <f t="shared" si="34"/>
        <v>107.41000000000001</v>
      </c>
      <c r="AK13" s="3449">
        <f t="shared" si="35"/>
        <v>102.66</v>
      </c>
      <c r="AM13" s="3449">
        <f t="shared" si="48"/>
        <v>102.18939562301833</v>
      </c>
      <c r="AN13" s="3449">
        <f t="shared" si="49"/>
        <v>101.28333490893236</v>
      </c>
      <c r="AO13" s="3449">
        <f t="shared" si="50"/>
        <v>103.55892731908014</v>
      </c>
      <c r="AP13" s="3449">
        <f t="shared" si="51"/>
        <v>101.68668467599903</v>
      </c>
      <c r="AQ13" s="3449">
        <f t="shared" si="52"/>
        <v>98.79081284829148</v>
      </c>
      <c r="AR13" s="3449">
        <f t="shared" si="53"/>
        <v>103.55892731908014</v>
      </c>
    </row>
    <row r="14" spans="1:44" s="3182" customFormat="1" ht="13.2">
      <c r="A14" s="3173" t="s">
        <v>3366</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49">
        <f t="shared" si="30"/>
        <v>107.83</v>
      </c>
      <c r="AG14" s="3449">
        <f t="shared" si="31"/>
        <v>104.47</v>
      </c>
      <c r="AH14" s="3449">
        <f t="shared" si="32"/>
        <v>102.82</v>
      </c>
      <c r="AI14" s="3449">
        <f t="shared" si="33"/>
        <v>108.41000000000001</v>
      </c>
      <c r="AJ14" s="3449">
        <f t="shared" si="34"/>
        <v>106.74999999999999</v>
      </c>
      <c r="AK14" s="3449">
        <f t="shared" si="35"/>
        <v>102.82</v>
      </c>
      <c r="AM14" s="3449">
        <f t="shared" si="48"/>
        <v>101.99560397546495</v>
      </c>
      <c r="AN14" s="3449">
        <f t="shared" si="49"/>
        <v>101.04083690037147</v>
      </c>
      <c r="AO14" s="3449">
        <f t="shared" si="50"/>
        <v>103.72488713850174</v>
      </c>
      <c r="AP14" s="3449">
        <f t="shared" si="51"/>
        <v>101.51411068782971</v>
      </c>
      <c r="AQ14" s="3449">
        <f t="shared" si="52"/>
        <v>98.191842608380355</v>
      </c>
      <c r="AR14" s="3449">
        <f t="shared" si="53"/>
        <v>103.72488713850174</v>
      </c>
    </row>
    <row r="15" spans="1:44" s="3182" customFormat="1" ht="13.2">
      <c r="A15" s="3173" t="s">
        <v>3364</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49">
        <f t="shared" si="30"/>
        <v>107.55999999999999</v>
      </c>
      <c r="AG15" s="3449">
        <f t="shared" si="31"/>
        <v>103.95</v>
      </c>
      <c r="AH15" s="3449">
        <f t="shared" si="32"/>
        <v>102.50999999999999</v>
      </c>
      <c r="AI15" s="3449">
        <f t="shared" si="33"/>
        <v>108.18</v>
      </c>
      <c r="AJ15" s="3449">
        <f t="shared" si="34"/>
        <v>106.3</v>
      </c>
      <c r="AK15" s="3449">
        <f t="shared" si="35"/>
        <v>102.50999999999999</v>
      </c>
      <c r="AM15" s="3449">
        <f t="shared" si="48"/>
        <v>101.74125084834409</v>
      </c>
      <c r="AN15" s="3449">
        <f t="shared" si="49"/>
        <v>100.53814616952387</v>
      </c>
      <c r="AO15" s="3449">
        <f t="shared" si="50"/>
        <v>103.40433370401927</v>
      </c>
      <c r="AP15" s="3449">
        <f t="shared" si="51"/>
        <v>101.30137779446135</v>
      </c>
      <c r="AQ15" s="3449">
        <f t="shared" si="52"/>
        <v>97.771425478821428</v>
      </c>
      <c r="AR15" s="3449">
        <f t="shared" si="53"/>
        <v>103.40433370401927</v>
      </c>
    </row>
    <row r="16" spans="1:44" s="3182" customFormat="1" ht="13.2">
      <c r="A16" s="3173" t="s">
        <v>3363</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49">
        <f t="shared" si="30"/>
        <v>106.59</v>
      </c>
      <c r="AG16" s="3449">
        <f t="shared" si="31"/>
        <v>103.25999999999999</v>
      </c>
      <c r="AH16" s="3449">
        <f t="shared" si="32"/>
        <v>102.03</v>
      </c>
      <c r="AI16" s="3449">
        <f t="shared" si="33"/>
        <v>107.14999999999999</v>
      </c>
      <c r="AJ16" s="3449">
        <f t="shared" si="34"/>
        <v>105.55000000000001</v>
      </c>
      <c r="AK16" s="3449">
        <f t="shared" si="35"/>
        <v>102.03</v>
      </c>
      <c r="AM16" s="3449">
        <f t="shared" si="48"/>
        <v>100.82375468074926</v>
      </c>
      <c r="AN16" s="3449">
        <f t="shared" si="49"/>
        <v>99.878945131654959</v>
      </c>
      <c r="AO16" s="3449">
        <f t="shared" si="50"/>
        <v>102.92060685181573</v>
      </c>
      <c r="AP16" s="3449">
        <f t="shared" si="51"/>
        <v>100.33813172985474</v>
      </c>
      <c r="AQ16" s="3449">
        <f t="shared" si="52"/>
        <v>97.082142268713554</v>
      </c>
      <c r="AR16" s="3449">
        <f t="shared" si="53"/>
        <v>102.92060685181573</v>
      </c>
    </row>
    <row r="17" spans="1:44" s="3182" customFormat="1" ht="13.2">
      <c r="A17" s="3173" t="s">
        <v>3362</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49">
        <f t="shared" si="30"/>
        <v>105.65</v>
      </c>
      <c r="AG17" s="3449">
        <f t="shared" si="31"/>
        <v>102.50999999999999</v>
      </c>
      <c r="AH17" s="3449">
        <f t="shared" si="32"/>
        <v>101.44999999999999</v>
      </c>
      <c r="AI17" s="3449">
        <f t="shared" si="33"/>
        <v>106.18</v>
      </c>
      <c r="AJ17" s="3449">
        <f t="shared" si="34"/>
        <v>105.02</v>
      </c>
      <c r="AK17" s="3449">
        <f t="shared" si="35"/>
        <v>101.44999999999999</v>
      </c>
      <c r="AM17" s="3449">
        <f t="shared" si="48"/>
        <v>99.934339063087791</v>
      </c>
      <c r="AN17" s="3449">
        <f t="shared" si="49"/>
        <v>99.145270132673176</v>
      </c>
      <c r="AO17" s="3449">
        <f t="shared" si="50"/>
        <v>102.3372843311283</v>
      </c>
      <c r="AP17" s="3449">
        <f t="shared" si="51"/>
        <v>99.423436117573061</v>
      </c>
      <c r="AQ17" s="3449">
        <f t="shared" si="52"/>
        <v>96.599146536033402</v>
      </c>
      <c r="AR17" s="3449">
        <f t="shared" si="53"/>
        <v>102.3372843311283</v>
      </c>
    </row>
    <row r="18" spans="1:44" s="3182" customFormat="1" ht="13.2">
      <c r="A18" s="3173" t="s">
        <v>3360</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49">
        <f t="shared" si="30"/>
        <v>105</v>
      </c>
      <c r="AG18" s="3449">
        <f t="shared" si="31"/>
        <v>102.3</v>
      </c>
      <c r="AH18" s="3449">
        <f t="shared" si="32"/>
        <v>101.34</v>
      </c>
      <c r="AI18" s="3449">
        <f t="shared" si="33"/>
        <v>105.45</v>
      </c>
      <c r="AJ18" s="3449">
        <f t="shared" si="34"/>
        <v>104.47</v>
      </c>
      <c r="AK18" s="3449">
        <f t="shared" si="35"/>
        <v>101.34</v>
      </c>
      <c r="AM18" s="3449">
        <f t="shared" si="48"/>
        <v>99.318563966495518</v>
      </c>
      <c r="AN18" s="3449">
        <f t="shared" si="49"/>
        <v>98.947375381909353</v>
      </c>
      <c r="AO18" s="3449">
        <f t="shared" si="50"/>
        <v>102.22483701041683</v>
      </c>
      <c r="AP18" s="3449">
        <f t="shared" si="51"/>
        <v>98.742115520481747</v>
      </c>
      <c r="AQ18" s="3449">
        <f t="shared" si="52"/>
        <v>96.089870223847001</v>
      </c>
      <c r="AR18" s="3449">
        <f t="shared" si="53"/>
        <v>102.22483701041683</v>
      </c>
    </row>
    <row r="19" spans="1:44" s="3182" customFormat="1" ht="13.2">
      <c r="A19" s="3173" t="s">
        <v>3351</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49">
        <f t="shared" si="30"/>
        <v>104.30999999999999</v>
      </c>
      <c r="AG19" s="3449">
        <f t="shared" si="31"/>
        <v>101.97</v>
      </c>
      <c r="AH19" s="3449">
        <f t="shared" si="32"/>
        <v>101.1</v>
      </c>
      <c r="AI19" s="3449">
        <f t="shared" si="33"/>
        <v>104.69</v>
      </c>
      <c r="AJ19" s="3449">
        <f t="shared" si="34"/>
        <v>103.82000000000001</v>
      </c>
      <c r="AK19" s="3449">
        <f t="shared" si="35"/>
        <v>101.1</v>
      </c>
      <c r="AM19" s="3449">
        <f t="shared" si="48"/>
        <v>98.667359394491882</v>
      </c>
      <c r="AN19" s="3449">
        <f t="shared" si="49"/>
        <v>98.631753769845844</v>
      </c>
      <c r="AO19" s="3449">
        <f t="shared" si="50"/>
        <v>101.99025941376517</v>
      </c>
      <c r="AP19" s="3449">
        <f t="shared" si="51"/>
        <v>98.036254488166932</v>
      </c>
      <c r="AQ19" s="3449">
        <f t="shared" si="52"/>
        <v>95.488293971824504</v>
      </c>
      <c r="AR19" s="3449">
        <f t="shared" si="53"/>
        <v>101.99025941376517</v>
      </c>
    </row>
    <row r="20" spans="1:44" s="3182" customFormat="1" ht="13.2">
      <c r="A20" s="3173" t="s">
        <v>2817</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49">
        <f t="shared" si="30"/>
        <v>103.35000000000001</v>
      </c>
      <c r="AG20" s="3449">
        <f t="shared" si="31"/>
        <v>101.82</v>
      </c>
      <c r="AH20" s="3449">
        <f t="shared" si="32"/>
        <v>101.08999999999999</v>
      </c>
      <c r="AI20" s="3449">
        <f t="shared" si="33"/>
        <v>103.61</v>
      </c>
      <c r="AJ20" s="3449">
        <f t="shared" si="34"/>
        <v>102.71</v>
      </c>
      <c r="AK20" s="3449">
        <f t="shared" si="35"/>
        <v>101.08999999999999</v>
      </c>
      <c r="AM20" s="3449">
        <f t="shared" si="48"/>
        <v>97.758208059538163</v>
      </c>
      <c r="AN20" s="3449">
        <f t="shared" si="49"/>
        <v>98.484027728253452</v>
      </c>
      <c r="AO20" s="3449">
        <f t="shared" si="50"/>
        <v>101.98006140762442</v>
      </c>
      <c r="AP20" s="3449">
        <f t="shared" si="51"/>
        <v>97.017570003134026</v>
      </c>
      <c r="AQ20" s="3449">
        <f t="shared" si="52"/>
        <v>94.468039149015155</v>
      </c>
      <c r="AR20" s="3449">
        <f t="shared" si="53"/>
        <v>101.98006140762442</v>
      </c>
    </row>
    <row r="21" spans="1:44" s="3182" customFormat="1" ht="13.2">
      <c r="A21" s="3173" t="s">
        <v>2818</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49">
        <f t="shared" si="30"/>
        <v>102.44</v>
      </c>
      <c r="AG21" s="3449">
        <f t="shared" si="31"/>
        <v>101.38000000000001</v>
      </c>
      <c r="AH21" s="3449">
        <f t="shared" si="32"/>
        <v>100.72000000000001</v>
      </c>
      <c r="AI21" s="3449">
        <f t="shared" si="33"/>
        <v>102.62</v>
      </c>
      <c r="AJ21" s="3449">
        <f t="shared" si="34"/>
        <v>102.05</v>
      </c>
      <c r="AK21" s="3449">
        <f t="shared" si="35"/>
        <v>100.72000000000001</v>
      </c>
      <c r="AM21" s="3449">
        <f t="shared" si="48"/>
        <v>96.895835126908679</v>
      </c>
      <c r="AN21" s="3449">
        <f t="shared" si="49"/>
        <v>98.0525963045136</v>
      </c>
      <c r="AO21" s="3449">
        <f t="shared" si="50"/>
        <v>101.60412614090308</v>
      </c>
      <c r="AP21" s="3449">
        <f t="shared" si="51"/>
        <v>96.095057451598677</v>
      </c>
      <c r="AQ21" s="3449">
        <f t="shared" si="52"/>
        <v>93.867288502598527</v>
      </c>
      <c r="AR21" s="3449">
        <f t="shared" si="53"/>
        <v>101.60412614090308</v>
      </c>
    </row>
    <row r="22" spans="1:44" s="3182" customFormat="1" ht="13.2">
      <c r="A22" s="3173" t="s">
        <v>2819</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49">
        <f t="shared" si="30"/>
        <v>101.39</v>
      </c>
      <c r="AG22" s="3449">
        <f t="shared" si="31"/>
        <v>101.13000000000001</v>
      </c>
      <c r="AH22" s="3449">
        <f t="shared" si="32"/>
        <v>100.64999999999999</v>
      </c>
      <c r="AI22" s="3449">
        <f t="shared" si="33"/>
        <v>101.42999999999999</v>
      </c>
      <c r="AJ22" s="3449">
        <f t="shared" si="34"/>
        <v>101.49</v>
      </c>
      <c r="AK22" s="3449">
        <f t="shared" si="35"/>
        <v>100.64999999999999</v>
      </c>
      <c r="AM22" s="3449">
        <f t="shared" si="48"/>
        <v>95.907982903007706</v>
      </c>
      <c r="AN22" s="3449">
        <f t="shared" si="49"/>
        <v>97.81783350410376</v>
      </c>
      <c r="AO22" s="3449">
        <f t="shared" si="50"/>
        <v>101.53305300380042</v>
      </c>
      <c r="AP22" s="3449">
        <f t="shared" si="51"/>
        <v>94.983747604624568</v>
      </c>
      <c r="AQ22" s="3449">
        <f t="shared" si="52"/>
        <v>93.353842369565911</v>
      </c>
      <c r="AR22" s="3449">
        <f t="shared" si="53"/>
        <v>101.53305300380042</v>
      </c>
    </row>
    <row r="23" spans="1:44" s="3182" customFormat="1" ht="13.2">
      <c r="A23" s="3173" t="s">
        <v>2820</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49">
        <f t="shared" si="30"/>
        <v>100.92000000000002</v>
      </c>
      <c r="AG23" s="3449">
        <f t="shared" si="31"/>
        <v>100.72000000000001</v>
      </c>
      <c r="AH23" s="3449">
        <f t="shared" si="32"/>
        <v>100.41</v>
      </c>
      <c r="AI23" s="3449">
        <f t="shared" si="33"/>
        <v>100.95</v>
      </c>
      <c r="AJ23" s="3449">
        <f t="shared" si="34"/>
        <v>101.01</v>
      </c>
      <c r="AK23" s="3449">
        <f t="shared" si="35"/>
        <v>100.41</v>
      </c>
      <c r="AM23" s="3449">
        <f t="shared" si="48"/>
        <v>95.459324079832498</v>
      </c>
      <c r="AN23" s="3449">
        <f t="shared" si="49"/>
        <v>97.418417990343357</v>
      </c>
      <c r="AO23" s="3449">
        <f t="shared" si="50"/>
        <v>101.28995710674424</v>
      </c>
      <c r="AP23" s="3449">
        <f t="shared" si="51"/>
        <v>94.530003587405034</v>
      </c>
      <c r="AQ23" s="3449">
        <f t="shared" si="52"/>
        <v>92.907884523851436</v>
      </c>
      <c r="AR23" s="3449">
        <f t="shared" si="53"/>
        <v>101.28995710674424</v>
      </c>
    </row>
    <row r="24" spans="1:44" s="3204" customFormat="1" ht="15" thickBot="1">
      <c r="A24" s="3194" t="s">
        <v>2821</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57">
        <v>100</v>
      </c>
      <c r="AG24" s="3457">
        <v>100</v>
      </c>
      <c r="AH24" s="3457">
        <v>100</v>
      </c>
      <c r="AI24" s="3457">
        <v>100</v>
      </c>
      <c r="AJ24" s="3457">
        <v>100</v>
      </c>
      <c r="AK24" s="3457">
        <v>100</v>
      </c>
      <c r="AM24" s="3456">
        <f t="shared" si="48"/>
        <v>94.589104320087685</v>
      </c>
      <c r="AN24" s="3456">
        <f t="shared" si="49"/>
        <v>96.722019450301175</v>
      </c>
      <c r="AO24" s="3456">
        <f t="shared" si="50"/>
        <v>100.87636401428567</v>
      </c>
      <c r="AP24" s="3456">
        <f t="shared" si="51"/>
        <v>93.640419601193685</v>
      </c>
      <c r="AQ24" s="3456">
        <f t="shared" si="52"/>
        <v>91.978897657510586</v>
      </c>
      <c r="AR24" s="3456">
        <f t="shared" si="53"/>
        <v>100.87636401428567</v>
      </c>
    </row>
    <row r="25" spans="1:44" s="3006" customFormat="1" ht="15" thickTop="1"/>
    <row r="26" spans="1:44" s="3006" customFormat="1">
      <c r="A26" s="3439" t="s">
        <v>3377</v>
      </c>
    </row>
    <row r="27" spans="1:44" s="3006" customFormat="1">
      <c r="I27" s="3205" t="s">
        <v>2822</v>
      </c>
    </row>
    <row r="28" spans="1:44" s="3006" customFormat="1"/>
    <row r="29" spans="1:44" s="3206" customFormat="1" ht="13.2">
      <c r="B29" s="3207" t="s">
        <v>3375</v>
      </c>
      <c r="C29" s="3208"/>
      <c r="D29" s="3208"/>
      <c r="E29" s="3208"/>
      <c r="F29" s="3208"/>
      <c r="G29" s="3208"/>
      <c r="H29" s="3208"/>
      <c r="I29" s="3208"/>
      <c r="J29" s="3162"/>
      <c r="K29" s="3208" t="s">
        <v>2823</v>
      </c>
      <c r="L29" s="3208"/>
      <c r="M29" s="3208"/>
      <c r="N29" s="3208"/>
      <c r="O29" s="3208"/>
      <c r="P29" s="3208"/>
      <c r="Q29" s="3162"/>
      <c r="R29" s="3848" t="s">
        <v>2824</v>
      </c>
      <c r="S29" s="3849"/>
      <c r="T29" s="3849"/>
      <c r="U29" s="3849"/>
      <c r="V29" s="3849"/>
      <c r="W29" s="3849"/>
      <c r="X29" s="3162"/>
      <c r="Y29" s="3848" t="s">
        <v>2825</v>
      </c>
      <c r="Z29" s="3849"/>
      <c r="AA29" s="3849"/>
      <c r="AB29" s="3849"/>
      <c r="AC29" s="3849"/>
      <c r="AD29" s="3849"/>
    </row>
    <row r="30" spans="1:44" s="3140" customFormat="1" ht="15" thickBot="1">
      <c r="B30" s="3141"/>
      <c r="C30" s="3142"/>
      <c r="D30" s="3143" t="s">
        <v>2826</v>
      </c>
      <c r="E30" s="3144" t="s">
        <v>2827</v>
      </c>
      <c r="F30" s="3144" t="s">
        <v>2828</v>
      </c>
      <c r="G30" s="3144" t="s">
        <v>2829</v>
      </c>
      <c r="H30" s="3144"/>
      <c r="I30" s="3144" t="s">
        <v>2830</v>
      </c>
      <c r="J30" s="3145"/>
      <c r="K30" s="3143" t="s">
        <v>2826</v>
      </c>
      <c r="L30" s="3144" t="s">
        <v>2827</v>
      </c>
      <c r="M30" s="3144" t="s">
        <v>2828</v>
      </c>
      <c r="N30" s="3144" t="s">
        <v>2829</v>
      </c>
      <c r="O30" s="3144"/>
      <c r="P30" s="3144" t="s">
        <v>2830</v>
      </c>
      <c r="Q30" s="3145"/>
      <c r="R30" s="3143" t="s">
        <v>2826</v>
      </c>
      <c r="S30" s="3144" t="s">
        <v>2827</v>
      </c>
      <c r="T30" s="3144" t="s">
        <v>2828</v>
      </c>
      <c r="U30" s="3144" t="s">
        <v>2829</v>
      </c>
      <c r="V30" s="3144"/>
      <c r="W30" s="3144" t="s">
        <v>2830</v>
      </c>
      <c r="X30" s="3145"/>
      <c r="Y30" s="3143" t="s">
        <v>2826</v>
      </c>
      <c r="Z30" s="3144" t="s">
        <v>2827</v>
      </c>
      <c r="AA30" s="3144" t="s">
        <v>2828</v>
      </c>
      <c r="AB30" s="3144" t="s">
        <v>2829</v>
      </c>
      <c r="AC30" s="3144"/>
      <c r="AD30" s="3144" t="s">
        <v>2830</v>
      </c>
      <c r="AG30" t="s">
        <v>673</v>
      </c>
      <c r="AH30" t="s">
        <v>21</v>
      </c>
      <c r="AI30" t="s">
        <v>3402</v>
      </c>
      <c r="AJ30"/>
      <c r="AK30" t="s">
        <v>3403</v>
      </c>
      <c r="AN30" t="s">
        <v>673</v>
      </c>
      <c r="AO30" t="s">
        <v>21</v>
      </c>
      <c r="AP30" t="s">
        <v>3402</v>
      </c>
      <c r="AQ30"/>
      <c r="AR30" t="s">
        <v>3403</v>
      </c>
    </row>
    <row r="31" spans="1:44" s="3158" customFormat="1" ht="13.2">
      <c r="A31" s="3146" t="s">
        <v>2831</v>
      </c>
      <c r="B31" s="3147"/>
      <c r="C31" s="3148"/>
      <c r="D31" s="3148"/>
      <c r="E31" s="3148">
        <f t="shared" ref="E31:G31" si="115">ROUND(AVERAGEIF(E32:E52,"&lt;&gt;0"),2)</f>
        <v>0.09</v>
      </c>
      <c r="F31" s="3148">
        <f t="shared" si="115"/>
        <v>0.01</v>
      </c>
      <c r="G31" s="3148">
        <f t="shared" si="115"/>
        <v>0.24</v>
      </c>
      <c r="H31" s="3148"/>
      <c r="I31" s="3148">
        <f>F31</f>
        <v>0.01</v>
      </c>
      <c r="J31" s="3149"/>
      <c r="K31" s="3150"/>
      <c r="L31" s="3151">
        <f t="shared" ref="L31:N31" si="116">ROUND(AVERAGEIF(L32:L52,"&lt;&gt;0"),4)</f>
        <v>8.9999999999999998E-4</v>
      </c>
      <c r="M31" s="3151">
        <f t="shared" si="116"/>
        <v>1E-4</v>
      </c>
      <c r="N31" s="3151">
        <f t="shared" si="116"/>
        <v>2.3999999999999998E-3</v>
      </c>
      <c r="O31" s="3151"/>
      <c r="P31" s="3151">
        <f>M31</f>
        <v>1E-4</v>
      </c>
      <c r="Q31" s="3149"/>
      <c r="R31" s="3152"/>
      <c r="S31" s="3153">
        <f>ROUND(SUMPRODUCT(PRODUCT(1+L32:L52)),4)</f>
        <v>1.0153000000000001</v>
      </c>
      <c r="T31" s="3153">
        <f t="shared" ref="T31:U31" si="117">ROUND(SUMPRODUCT(PRODUCT(1+M32:M52)),4)</f>
        <v>1.0016</v>
      </c>
      <c r="U31" s="3153">
        <f t="shared" si="117"/>
        <v>1.044</v>
      </c>
      <c r="V31" s="3153"/>
      <c r="W31" s="3152">
        <f>T31</f>
        <v>1.0016</v>
      </c>
      <c r="X31" s="3149"/>
      <c r="Y31" s="3154"/>
      <c r="Z31" s="3155">
        <f t="shared" ref="Z31:AB31" si="118">ROUND(AVERAGEIF(Z32:Z52,"&lt;&gt;0"),4)</f>
        <v>3.3E-3</v>
      </c>
      <c r="AA31" s="3156">
        <f t="shared" si="118"/>
        <v>2.7000000000000001E-3</v>
      </c>
      <c r="AB31" s="3154">
        <f t="shared" si="118"/>
        <v>6.4999999999999997E-3</v>
      </c>
      <c r="AC31" s="3157"/>
      <c r="AD31" s="3154">
        <f>AA31</f>
        <v>2.7000000000000001E-3</v>
      </c>
    </row>
    <row r="32" spans="1:44" s="3159" customFormat="1" ht="13.2">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2" t="s">
        <v>3400</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1.0118</v>
      </c>
      <c r="T33" s="3180">
        <f>ROUND(IF(项目基本情况!$B$8="出让",SUMPRODUCT(PRODUCT(1+M33:M$52)),SUMPRODUCT(PRODUCT(1+M33:M$51))),4)</f>
        <v>0.99680000000000002</v>
      </c>
      <c r="U33" s="3180">
        <f>ROUND(IF(项目基本情况!$B$8="出让",SUMPRODUCT(PRODUCT(1+N33:N$52)),SUMPRODUCT(PRODUCT(1+N33:N$51))),4)</f>
        <v>1.0338000000000001</v>
      </c>
      <c r="V33" s="3180"/>
      <c r="W33" s="3180">
        <f t="shared" ref="W33:W39" si="124">T33</f>
        <v>0.99680000000000002</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49">
        <f t="shared" ref="AG33:AG50" si="129">$AG$52*S33</f>
        <v>101.18</v>
      </c>
      <c r="AH33" s="3449">
        <f t="shared" ref="AH33:AH50" si="130">$AG$52*T33</f>
        <v>99.68</v>
      </c>
      <c r="AI33" s="3449">
        <f t="shared" ref="AI33:AI50" si="131">$AG$52*U33</f>
        <v>103.38000000000001</v>
      </c>
      <c r="AJ33" s="3451"/>
      <c r="AK33" s="3449">
        <f t="shared" ref="AK33:AK50" si="132">$AG$52*W33</f>
        <v>99.68</v>
      </c>
      <c r="AN33" s="3454">
        <v>100</v>
      </c>
      <c r="AO33" s="3454">
        <v>100</v>
      </c>
      <c r="AP33" s="3454">
        <v>100</v>
      </c>
      <c r="AQ33" s="3454"/>
      <c r="AR33" s="3454">
        <v>100</v>
      </c>
    </row>
    <row r="34" spans="1:44" s="3182" customFormat="1" ht="13.2">
      <c r="A34" s="2202" t="s">
        <v>3399</v>
      </c>
      <c r="B34" s="3174">
        <v>2025</v>
      </c>
      <c r="C34" s="3175">
        <v>3</v>
      </c>
      <c r="D34" s="3176"/>
      <c r="E34" s="3176">
        <v>0</v>
      </c>
      <c r="F34" s="3176">
        <v>0</v>
      </c>
      <c r="G34" s="3176">
        <v>0</v>
      </c>
      <c r="H34" s="3176"/>
      <c r="I34" s="3177">
        <f t="shared" ref="I34" si="133">F34</f>
        <v>0</v>
      </c>
      <c r="J34" s="3178"/>
      <c r="K34" s="3179"/>
      <c r="L34" s="3169">
        <f t="shared" ref="L34" si="134">E34/100</f>
        <v>0</v>
      </c>
      <c r="M34" s="3169">
        <f t="shared" ref="M34" si="135">F34/100</f>
        <v>0</v>
      </c>
      <c r="N34" s="3169">
        <f t="shared" ref="N34" si="136">G34/100</f>
        <v>0</v>
      </c>
      <c r="O34" s="3169"/>
      <c r="P34" s="3169">
        <f t="shared" si="123"/>
        <v>0</v>
      </c>
      <c r="Q34" s="3178"/>
      <c r="R34" s="3180"/>
      <c r="S34" s="3180">
        <f>ROUND(IF(项目基本情况!$B$8="出让",SUMPRODUCT(PRODUCT(1+L34:L$52)),SUMPRODUCT(PRODUCT(1+L34:L$51))),4)</f>
        <v>1.0118</v>
      </c>
      <c r="T34" s="3180">
        <f>ROUND(IF(项目基本情况!$B$8="出让",SUMPRODUCT(PRODUCT(1+M34:M$52)),SUMPRODUCT(PRODUCT(1+M34:M$51))),4)</f>
        <v>0.99680000000000002</v>
      </c>
      <c r="U34" s="3180">
        <f>ROUND(IF(项目基本情况!$B$8="出让",SUMPRODUCT(PRODUCT(1+N34:N$52)),SUMPRODUCT(PRODUCT(1+N34:N$51))),4)</f>
        <v>1.0338000000000001</v>
      </c>
      <c r="V34" s="3180"/>
      <c r="W34" s="3180">
        <f t="shared" si="124"/>
        <v>0.99680000000000002</v>
      </c>
      <c r="X34" s="3178"/>
      <c r="Y34" s="3181"/>
      <c r="Z34" s="3209">
        <f t="shared" ref="Z34" si="137">IF(E34=0,0,ROUND(AVERAGE(E34:E47)/100,4))</f>
        <v>0</v>
      </c>
      <c r="AA34" s="3209">
        <f t="shared" ref="AA34" si="138">IF(F34=0,0,ROUND(AVERAGE(F34:F47)/100,4))</f>
        <v>0</v>
      </c>
      <c r="AB34" s="3209">
        <f t="shared" ref="AB34" si="139">IF(G34=0,0,ROUND(AVERAGE(G34:G47)/100,4))</f>
        <v>0</v>
      </c>
      <c r="AC34" s="3210"/>
      <c r="AD34" s="3181">
        <f t="shared" si="128"/>
        <v>0</v>
      </c>
      <c r="AG34" s="3449">
        <f t="shared" si="129"/>
        <v>101.18</v>
      </c>
      <c r="AH34" s="3449">
        <f t="shared" si="130"/>
        <v>99.68</v>
      </c>
      <c r="AI34" s="3449">
        <f t="shared" si="131"/>
        <v>103.38000000000001</v>
      </c>
      <c r="AJ34" s="3451"/>
      <c r="AK34" s="3449">
        <f t="shared" si="132"/>
        <v>99.68</v>
      </c>
      <c r="AN34" s="3449">
        <f>AN33/(1+E33/100)</f>
        <v>100</v>
      </c>
      <c r="AO34" s="3449">
        <f t="shared" ref="AO34:AR34" si="140">AO33/(1+F33/100)</f>
        <v>100</v>
      </c>
      <c r="AP34" s="3449">
        <f t="shared" si="140"/>
        <v>100</v>
      </c>
      <c r="AQ34" s="3449"/>
      <c r="AR34" s="3449">
        <f t="shared" si="140"/>
        <v>100</v>
      </c>
    </row>
    <row r="35" spans="1:44" s="3192" customFormat="1" ht="13.2">
      <c r="A35" s="3183" t="s">
        <v>3407</v>
      </c>
      <c r="B35" s="3184">
        <v>2025</v>
      </c>
      <c r="C35" s="3185">
        <v>2</v>
      </c>
      <c r="D35" s="3186"/>
      <c r="E35" s="3883">
        <v>-0.31</v>
      </c>
      <c r="F35" s="3883">
        <v>-1.03</v>
      </c>
      <c r="G35" s="3883">
        <v>0.03</v>
      </c>
      <c r="H35" s="3187"/>
      <c r="I35" s="3188">
        <f t="shared" ref="I35" si="141">F35</f>
        <v>-1.03</v>
      </c>
      <c r="J35" s="3189"/>
      <c r="K35" s="3190"/>
      <c r="L35" s="3191">
        <f t="shared" ref="L35" si="142">E35/100</f>
        <v>-3.0999999999999999E-3</v>
      </c>
      <c r="M35" s="3191">
        <f t="shared" ref="M35" si="143">F35/100</f>
        <v>-1.03E-2</v>
      </c>
      <c r="N35" s="3191">
        <f t="shared" ref="N35" si="144">G35/100</f>
        <v>2.9999999999999997E-4</v>
      </c>
      <c r="O35" s="3191"/>
      <c r="P35" s="3191">
        <f t="shared" si="123"/>
        <v>-1.03E-2</v>
      </c>
      <c r="Q35" s="3189"/>
      <c r="R35" s="3189"/>
      <c r="S35" s="3189">
        <f>ROUND(IF(项目基本情况!$B$8="出让",SUMPRODUCT(PRODUCT(1+L35:L$52)),SUMPRODUCT(PRODUCT(1+L35:L$51))),4)</f>
        <v>1.0118</v>
      </c>
      <c r="T35" s="3189">
        <f>ROUND(IF(项目基本情况!$B$8="出让",SUMPRODUCT(PRODUCT(1+M35:M$52)),SUMPRODUCT(PRODUCT(1+M35:M$51))),4)</f>
        <v>0.99680000000000002</v>
      </c>
      <c r="U35" s="3189">
        <f>ROUND(IF(项目基本情况!$B$8="出让",SUMPRODUCT(PRODUCT(1+N35:N$52)),SUMPRODUCT(PRODUCT(1+N35:N$51))),4)</f>
        <v>1.0338000000000001</v>
      </c>
      <c r="V35" s="3189"/>
      <c r="W35" s="3189">
        <f t="shared" si="124"/>
        <v>0.99680000000000002</v>
      </c>
      <c r="X35" s="3189"/>
      <c r="Y35" s="3191"/>
      <c r="Z35" s="3212">
        <f t="shared" ref="Z35" si="145">IF(E35=0,0,ROUND(AVERAGE(E35:E48)/100,4))</f>
        <v>-2.9999999999999997E-4</v>
      </c>
      <c r="AA35" s="3213">
        <f t="shared" ref="AA35" si="146">IF(F35=0,0,ROUND(AVERAGE(F35:F48)/100,4))</f>
        <v>-8.0000000000000004E-4</v>
      </c>
      <c r="AB35" s="3191">
        <f t="shared" ref="AB35" si="147">IF(G35=0,0,ROUND(AVERAGE(G35:G48)/100,4))</f>
        <v>5.0000000000000001E-4</v>
      </c>
      <c r="AC35" s="3214"/>
      <c r="AD35" s="3191">
        <f t="shared" si="128"/>
        <v>-8.0000000000000004E-4</v>
      </c>
      <c r="AG35" s="3450">
        <f t="shared" si="129"/>
        <v>101.18</v>
      </c>
      <c r="AH35" s="3450">
        <f t="shared" si="130"/>
        <v>99.68</v>
      </c>
      <c r="AI35" s="3450">
        <f t="shared" si="131"/>
        <v>103.38000000000001</v>
      </c>
      <c r="AJ35" s="3452"/>
      <c r="AK35" s="3450">
        <f t="shared" si="132"/>
        <v>99.68</v>
      </c>
      <c r="AN35" s="3450">
        <f t="shared" ref="AN35:AN52" si="148">AN34/(1+E34/100)</f>
        <v>100</v>
      </c>
      <c r="AO35" s="3450">
        <f t="shared" ref="AO35" si="149">AO34/(1+F34/100)</f>
        <v>100</v>
      </c>
      <c r="AP35" s="3450">
        <f t="shared" ref="AP35" si="150">AP34/(1+G34/100)</f>
        <v>100</v>
      </c>
      <c r="AQ35" s="3450"/>
      <c r="AR35" s="3450">
        <f t="shared" ref="AR35" si="151">AR34/(1+I34/100)</f>
        <v>100</v>
      </c>
    </row>
    <row r="36" spans="1:44" s="3182" customFormat="1" ht="13.2">
      <c r="A36" s="2202" t="s">
        <v>3404</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49">
        <f t="shared" si="129"/>
        <v>101.49</v>
      </c>
      <c r="AH36" s="3449">
        <f t="shared" si="130"/>
        <v>100.72000000000001</v>
      </c>
      <c r="AI36" s="3449">
        <f t="shared" si="131"/>
        <v>103.35000000000001</v>
      </c>
      <c r="AJ36" s="3451"/>
      <c r="AK36" s="3449">
        <f t="shared" si="132"/>
        <v>100.72000000000001</v>
      </c>
      <c r="AN36" s="3449">
        <f t="shared" si="148"/>
        <v>100.31096398836392</v>
      </c>
      <c r="AO36" s="3449">
        <f t="shared" ref="AO36:AO52" si="159">AO35/(1+F35/100)</f>
        <v>101.04071940992219</v>
      </c>
      <c r="AP36" s="3449">
        <f t="shared" ref="AP36:AP52" si="160">AP35/(1+G35/100)</f>
        <v>99.970008997300809</v>
      </c>
      <c r="AQ36" s="3449"/>
      <c r="AR36" s="3449">
        <f t="shared" ref="AR36:AR52" si="161">AR35/(1+I35/100)</f>
        <v>101.04071940992219</v>
      </c>
    </row>
    <row r="37" spans="1:44" s="3182" customFormat="1" ht="13.2">
      <c r="A37" s="2202" t="s">
        <v>3405</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49">
        <f t="shared" si="129"/>
        <v>103.01</v>
      </c>
      <c r="AH37" s="3449">
        <f t="shared" si="130"/>
        <v>101.71</v>
      </c>
      <c r="AI37" s="3449">
        <f t="shared" si="131"/>
        <v>103.88</v>
      </c>
      <c r="AJ37" s="3451"/>
      <c r="AK37" s="3449">
        <f t="shared" si="132"/>
        <v>101.71</v>
      </c>
      <c r="AN37" s="3449">
        <f t="shared" si="148"/>
        <v>101.80753474917682</v>
      </c>
      <c r="AO37" s="3449">
        <f t="shared" si="159"/>
        <v>102.04071845073943</v>
      </c>
      <c r="AP37" s="3449">
        <f t="shared" si="160"/>
        <v>100.48246959222114</v>
      </c>
      <c r="AQ37" s="3449"/>
      <c r="AR37" s="3449">
        <f t="shared" si="161"/>
        <v>102.04071845073943</v>
      </c>
    </row>
    <row r="38" spans="1:44" s="3182" customFormat="1" ht="13.2">
      <c r="A38" s="2202" t="s">
        <v>3369</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49">
        <f t="shared" si="129"/>
        <v>103.64</v>
      </c>
      <c r="AH38" s="3449">
        <f t="shared" si="130"/>
        <v>102.44</v>
      </c>
      <c r="AI38" s="3449">
        <f t="shared" si="131"/>
        <v>104.80000000000001</v>
      </c>
      <c r="AJ38" s="3451"/>
      <c r="AK38" s="3449">
        <f t="shared" si="132"/>
        <v>102.44</v>
      </c>
      <c r="AN38" s="3449">
        <f t="shared" si="148"/>
        <v>102.4323722197171</v>
      </c>
      <c r="AO38" s="3449">
        <f t="shared" si="159"/>
        <v>102.7703882070092</v>
      </c>
      <c r="AP38" s="3449">
        <f t="shared" si="160"/>
        <v>101.37456577100599</v>
      </c>
      <c r="AQ38" s="3449"/>
      <c r="AR38" s="3449">
        <f t="shared" si="161"/>
        <v>102.7703882070092</v>
      </c>
    </row>
    <row r="39" spans="1:44" s="3182" customFormat="1" ht="13.2">
      <c r="A39" s="3173" t="s">
        <v>3373</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49">
        <f t="shared" si="129"/>
        <v>104.32999999999998</v>
      </c>
      <c r="AH39" s="3449">
        <f t="shared" si="130"/>
        <v>102.98</v>
      </c>
      <c r="AI39" s="3449">
        <f t="shared" si="131"/>
        <v>107.89999999999999</v>
      </c>
      <c r="AJ39" s="3451"/>
      <c r="AK39" s="3449">
        <f t="shared" si="132"/>
        <v>102.98</v>
      </c>
      <c r="AN39" s="3449">
        <f t="shared" si="148"/>
        <v>103.11291747505244</v>
      </c>
      <c r="AO39" s="3449">
        <f t="shared" si="159"/>
        <v>103.30758766285605</v>
      </c>
      <c r="AP39" s="3449">
        <f t="shared" si="160"/>
        <v>104.36998432101923</v>
      </c>
      <c r="AQ39" s="3449"/>
      <c r="AR39" s="3449">
        <f t="shared" si="161"/>
        <v>103.30758766285605</v>
      </c>
    </row>
    <row r="40" spans="1:44" s="3182" customFormat="1" ht="13.2">
      <c r="A40" s="3173" t="s">
        <v>3370</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49">
        <f t="shared" si="129"/>
        <v>104.65</v>
      </c>
      <c r="AH40" s="3449">
        <f t="shared" si="130"/>
        <v>103.38000000000001</v>
      </c>
      <c r="AI40" s="3449">
        <f t="shared" si="131"/>
        <v>106.59</v>
      </c>
      <c r="AJ40" s="3451"/>
      <c r="AK40" s="3449">
        <f t="shared" si="132"/>
        <v>103.38000000000001</v>
      </c>
      <c r="AN40" s="3449">
        <f t="shared" si="148"/>
        <v>103.43356151575126</v>
      </c>
      <c r="AO40" s="3449">
        <f t="shared" si="159"/>
        <v>103.7120647152455</v>
      </c>
      <c r="AP40" s="3449">
        <f t="shared" si="160"/>
        <v>103.10183179000221</v>
      </c>
      <c r="AQ40" s="3449"/>
      <c r="AR40" s="3449">
        <f t="shared" si="161"/>
        <v>103.7120647152455</v>
      </c>
    </row>
    <row r="41" spans="1:44" s="3182" customFormat="1" ht="13.2">
      <c r="A41" s="3173" t="s">
        <v>3368</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49">
        <f t="shared" si="129"/>
        <v>104.39</v>
      </c>
      <c r="AH41" s="3449">
        <f t="shared" si="130"/>
        <v>102.97</v>
      </c>
      <c r="AI41" s="3449">
        <f t="shared" si="131"/>
        <v>107.27</v>
      </c>
      <c r="AJ41" s="3451"/>
      <c r="AK41" s="3449">
        <f t="shared" si="132"/>
        <v>102.97</v>
      </c>
      <c r="AN41" s="3449">
        <f t="shared" si="148"/>
        <v>103.17562245960227</v>
      </c>
      <c r="AO41" s="3449">
        <f t="shared" si="159"/>
        <v>103.29886923829234</v>
      </c>
      <c r="AP41" s="3449">
        <f t="shared" si="160"/>
        <v>103.75549138573231</v>
      </c>
      <c r="AQ41" s="3449"/>
      <c r="AR41" s="3449">
        <f t="shared" si="161"/>
        <v>103.29886923829234</v>
      </c>
    </row>
    <row r="42" spans="1:44" s="3182" customFormat="1" ht="13.2">
      <c r="A42" s="3173" t="s">
        <v>3366</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49">
        <f t="shared" si="129"/>
        <v>104.32</v>
      </c>
      <c r="AH42" s="3449">
        <f t="shared" si="130"/>
        <v>102.86999999999999</v>
      </c>
      <c r="AI42" s="3449">
        <f t="shared" si="131"/>
        <v>107.23</v>
      </c>
      <c r="AJ42" s="3451"/>
      <c r="AK42" s="3449">
        <f t="shared" si="132"/>
        <v>102.86999999999999</v>
      </c>
      <c r="AN42" s="3449">
        <f t="shared" si="148"/>
        <v>103.10345004457108</v>
      </c>
      <c r="AO42" s="3449">
        <f t="shared" si="159"/>
        <v>103.20598385282482</v>
      </c>
      <c r="AP42" s="3449">
        <f t="shared" si="160"/>
        <v>103.72437407351026</v>
      </c>
      <c r="AQ42" s="3449"/>
      <c r="AR42" s="3449">
        <f t="shared" si="161"/>
        <v>103.20598385282482</v>
      </c>
    </row>
    <row r="43" spans="1:44" s="3182" customFormat="1" ht="13.2">
      <c r="A43" s="3173" t="s">
        <v>3365</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49">
        <f t="shared" si="129"/>
        <v>103.96000000000001</v>
      </c>
      <c r="AH43" s="3449">
        <f t="shared" si="130"/>
        <v>102.69999999999999</v>
      </c>
      <c r="AI43" s="3449">
        <f t="shared" si="131"/>
        <v>106.67999999999999</v>
      </c>
      <c r="AJ43" s="3451"/>
      <c r="AK43" s="3449">
        <f t="shared" si="132"/>
        <v>102.69999999999999</v>
      </c>
      <c r="AN43" s="3449">
        <f t="shared" si="148"/>
        <v>102.74384658153569</v>
      </c>
      <c r="AO43" s="3449">
        <f t="shared" si="159"/>
        <v>103.03083143937786</v>
      </c>
      <c r="AP43" s="3449">
        <f t="shared" si="160"/>
        <v>103.18779752637312</v>
      </c>
      <c r="AQ43" s="3449"/>
      <c r="AR43" s="3449">
        <f t="shared" si="161"/>
        <v>103.03083143937786</v>
      </c>
    </row>
    <row r="44" spans="1:44" s="3182" customFormat="1" ht="13.2">
      <c r="A44" s="3173" t="s">
        <v>3363</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49">
        <f t="shared" si="129"/>
        <v>103.44</v>
      </c>
      <c r="AH44" s="3449">
        <f t="shared" si="130"/>
        <v>102.24</v>
      </c>
      <c r="AI44" s="3449">
        <f t="shared" si="131"/>
        <v>105.74</v>
      </c>
      <c r="AJ44" s="3451"/>
      <c r="AK44" s="3449">
        <f t="shared" si="132"/>
        <v>102.24</v>
      </c>
      <c r="AN44" s="3449">
        <f t="shared" si="148"/>
        <v>102.23268316570717</v>
      </c>
      <c r="AO44" s="3449">
        <f t="shared" si="159"/>
        <v>102.56926972561261</v>
      </c>
      <c r="AP44" s="3449">
        <f t="shared" si="160"/>
        <v>102.27752753134416</v>
      </c>
      <c r="AQ44" s="3449"/>
      <c r="AR44" s="3449">
        <f t="shared" si="161"/>
        <v>102.56926972561261</v>
      </c>
    </row>
    <row r="45" spans="1:44" s="3182" customFormat="1" ht="13.2">
      <c r="A45" s="3173" t="s">
        <v>3362</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49">
        <f t="shared" si="129"/>
        <v>102.86999999999999</v>
      </c>
      <c r="AH45" s="3449">
        <f t="shared" si="130"/>
        <v>101.64</v>
      </c>
      <c r="AI45" s="3449">
        <f t="shared" si="131"/>
        <v>105.06</v>
      </c>
      <c r="AJ45" s="3451"/>
      <c r="AK45" s="3449">
        <f t="shared" si="132"/>
        <v>101.64</v>
      </c>
      <c r="AN45" s="3449">
        <f t="shared" si="148"/>
        <v>101.67347903103646</v>
      </c>
      <c r="AO45" s="3449">
        <f t="shared" si="159"/>
        <v>101.96766052849449</v>
      </c>
      <c r="AP45" s="3449">
        <f t="shared" si="160"/>
        <v>101.62711400173308</v>
      </c>
      <c r="AQ45" s="3449"/>
      <c r="AR45" s="3449">
        <f t="shared" si="161"/>
        <v>101.96766052849449</v>
      </c>
    </row>
    <row r="46" spans="1:44" s="3182" customFormat="1" ht="13.2">
      <c r="A46" s="3173" t="s">
        <v>3361</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49">
        <f t="shared" si="129"/>
        <v>102.41</v>
      </c>
      <c r="AH46" s="3449">
        <f t="shared" si="130"/>
        <v>101.44</v>
      </c>
      <c r="AI46" s="3449">
        <f t="shared" si="131"/>
        <v>104.67</v>
      </c>
      <c r="AJ46" s="3451"/>
      <c r="AK46" s="3449">
        <f t="shared" si="132"/>
        <v>101.44</v>
      </c>
      <c r="AN46" s="3449">
        <f t="shared" si="148"/>
        <v>101.21799803985711</v>
      </c>
      <c r="AO46" s="3449">
        <f t="shared" si="159"/>
        <v>101.76413226396656</v>
      </c>
      <c r="AP46" s="3449">
        <f t="shared" si="160"/>
        <v>101.24239290868009</v>
      </c>
      <c r="AQ46" s="3449"/>
      <c r="AR46" s="3449">
        <f t="shared" si="161"/>
        <v>101.76413226396656</v>
      </c>
    </row>
    <row r="47" spans="1:44" s="3182" customFormat="1" ht="13.2">
      <c r="A47" s="3173" t="s">
        <v>3351</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49">
        <f t="shared" si="129"/>
        <v>102.10999999999999</v>
      </c>
      <c r="AH47" s="3449">
        <f t="shared" si="130"/>
        <v>101.14000000000001</v>
      </c>
      <c r="AI47" s="3449">
        <f t="shared" si="131"/>
        <v>103.81</v>
      </c>
      <c r="AJ47" s="3451"/>
      <c r="AK47" s="3449">
        <f t="shared" si="132"/>
        <v>101.14000000000001</v>
      </c>
      <c r="AN47" s="3449">
        <f t="shared" si="148"/>
        <v>100.9152522830081</v>
      </c>
      <c r="AO47" s="3449">
        <f t="shared" si="159"/>
        <v>101.46986964200475</v>
      </c>
      <c r="AP47" s="3449">
        <f t="shared" si="160"/>
        <v>100.40899822342566</v>
      </c>
      <c r="AQ47" s="3449"/>
      <c r="AR47" s="3449">
        <f t="shared" si="161"/>
        <v>101.46986964200475</v>
      </c>
    </row>
    <row r="48" spans="1:44" s="3182" customFormat="1" ht="13.2">
      <c r="A48" s="3173" t="s">
        <v>2832</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49">
        <f t="shared" si="129"/>
        <v>102.22</v>
      </c>
      <c r="AH48" s="3449">
        <f t="shared" si="130"/>
        <v>101.27999999999999</v>
      </c>
      <c r="AI48" s="3449">
        <f t="shared" si="131"/>
        <v>103.25999999999999</v>
      </c>
      <c r="AJ48" s="3451"/>
      <c r="AK48" s="3449">
        <f t="shared" si="132"/>
        <v>101.27999999999999</v>
      </c>
      <c r="AN48" s="3449">
        <f t="shared" si="148"/>
        <v>101.02638130244078</v>
      </c>
      <c r="AO48" s="3449">
        <f t="shared" si="159"/>
        <v>101.60195217983853</v>
      </c>
      <c r="AP48" s="3449">
        <f t="shared" si="160"/>
        <v>99.879636151820989</v>
      </c>
      <c r="AQ48" s="3449"/>
      <c r="AR48" s="3449">
        <f t="shared" si="161"/>
        <v>101.60195217983853</v>
      </c>
    </row>
    <row r="49" spans="1:44" s="3182" customFormat="1" ht="13.2">
      <c r="A49" s="3173" t="s">
        <v>2833</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49">
        <f t="shared" si="129"/>
        <v>101.61</v>
      </c>
      <c r="AH49" s="3449">
        <f t="shared" si="130"/>
        <v>100.82</v>
      </c>
      <c r="AI49" s="3449">
        <f t="shared" si="131"/>
        <v>102.71</v>
      </c>
      <c r="AJ49" s="3451"/>
      <c r="AK49" s="3449">
        <f t="shared" si="132"/>
        <v>100.82</v>
      </c>
      <c r="AN49" s="3449">
        <f t="shared" si="148"/>
        <v>100.42383827280396</v>
      </c>
      <c r="AO49" s="3449">
        <f t="shared" si="159"/>
        <v>101.14679161755951</v>
      </c>
      <c r="AP49" s="3449">
        <f t="shared" si="160"/>
        <v>99.353064907809596</v>
      </c>
      <c r="AQ49" s="3449"/>
      <c r="AR49" s="3449">
        <f t="shared" si="161"/>
        <v>101.14679161755951</v>
      </c>
    </row>
    <row r="50" spans="1:44" s="3182" customFormat="1" ht="13.2">
      <c r="A50" s="3173" t="s">
        <v>2834</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49">
        <f t="shared" si="129"/>
        <v>101.02</v>
      </c>
      <c r="AH50" s="3449">
        <f t="shared" si="130"/>
        <v>100.74000000000001</v>
      </c>
      <c r="AI50" s="3449">
        <f t="shared" si="131"/>
        <v>102.02</v>
      </c>
      <c r="AJ50" s="3451"/>
      <c r="AK50" s="3449">
        <f t="shared" si="132"/>
        <v>100.74000000000001</v>
      </c>
      <c r="AN50" s="3449">
        <f t="shared" si="148"/>
        <v>99.844738787834515</v>
      </c>
      <c r="AO50" s="3449">
        <f t="shared" si="159"/>
        <v>101.06593886646635</v>
      </c>
      <c r="AP50" s="3449">
        <f t="shared" si="160"/>
        <v>98.682027123370688</v>
      </c>
      <c r="AQ50" s="3449"/>
      <c r="AR50" s="3449">
        <f t="shared" si="161"/>
        <v>101.06593886646635</v>
      </c>
    </row>
    <row r="51" spans="1:44" s="3182" customFormat="1" ht="13.2">
      <c r="A51" s="3173" t="s">
        <v>2835</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49">
        <f>$AG$52*S51</f>
        <v>100.55000000000001</v>
      </c>
      <c r="AH51" s="3449">
        <f t="shared" ref="AH51:AK51" si="192">$AG$52*T51</f>
        <v>100.46</v>
      </c>
      <c r="AI51" s="3449">
        <f t="shared" si="192"/>
        <v>101.1</v>
      </c>
      <c r="AJ51" s="3451"/>
      <c r="AK51" s="3449">
        <f t="shared" si="192"/>
        <v>100.46</v>
      </c>
      <c r="AN51" s="3449">
        <f t="shared" si="148"/>
        <v>99.377663768124336</v>
      </c>
      <c r="AO51" s="3449">
        <f t="shared" si="159"/>
        <v>100.78374438219622</v>
      </c>
      <c r="AP51" s="3449">
        <f t="shared" si="160"/>
        <v>97.7921188419093</v>
      </c>
      <c r="AQ51" s="3449"/>
      <c r="AR51" s="3449">
        <f t="shared" si="161"/>
        <v>100.78374438219622</v>
      </c>
    </row>
    <row r="52" spans="1:44" s="3204" customFormat="1" ht="15" thickBot="1">
      <c r="A52" s="3194" t="s">
        <v>2821</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3">
        <v>100</v>
      </c>
      <c r="AH52" s="3453">
        <v>100</v>
      </c>
      <c r="AI52" s="3453">
        <v>100</v>
      </c>
      <c r="AJ52" s="3453"/>
      <c r="AK52" s="3453">
        <v>100</v>
      </c>
      <c r="AN52" s="3456">
        <f t="shared" si="148"/>
        <v>98.83407634820918</v>
      </c>
      <c r="AO52" s="3456">
        <f t="shared" si="159"/>
        <v>100.32226197710156</v>
      </c>
      <c r="AP52" s="3456">
        <f t="shared" si="160"/>
        <v>96.728109635914251</v>
      </c>
      <c r="AQ52" s="3456"/>
      <c r="AR52" s="3456">
        <f t="shared" si="161"/>
        <v>100.32226197710156</v>
      </c>
    </row>
    <row r="53" spans="1:44" ht="15" thickTop="1"/>
    <row r="54" spans="1:44">
      <c r="A54" s="3439"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55" t="s">
        <v>452</v>
      </c>
      <c r="C1" s="3855"/>
      <c r="D1" s="3855"/>
      <c r="E1" s="3855"/>
      <c r="F1" s="3855"/>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2305</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2304</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5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5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5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6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5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5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5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6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5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5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5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5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5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5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5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5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5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5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5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5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5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5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5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5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5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5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5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5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5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5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5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5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5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5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5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5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5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5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5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5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5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5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5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5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5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5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5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5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5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5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5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5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5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5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5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5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5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5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5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5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5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5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51">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52">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5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5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51">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52">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530" t="str">
        <f>IF(项目基本情况!B9="房地产市场价值","估价结果一览表","结果表-2")</f>
        <v>估价结果一览表</v>
      </c>
      <c r="B1" s="3530"/>
      <c r="C1" s="3530"/>
      <c r="D1" s="3530"/>
      <c r="E1" s="3530"/>
      <c r="F1" s="3530"/>
      <c r="G1" s="3530"/>
      <c r="H1" s="3530"/>
      <c r="I1" s="3530"/>
    </row>
    <row r="2" spans="1:9" ht="30" customHeight="1" thickTop="1">
      <c r="A2" s="3531" t="s">
        <v>928</v>
      </c>
      <c r="B2" s="3531" t="s">
        <v>929</v>
      </c>
      <c r="C2" s="3531" t="s">
        <v>930</v>
      </c>
      <c r="D2" s="3531" t="str">
        <f>结果表!D116</f>
        <v>出让国有建设用地使用权价值</v>
      </c>
      <c r="E2" s="3531"/>
      <c r="F2" s="3531" t="str">
        <f>结果表!F116</f>
        <v>在建建筑物价值</v>
      </c>
      <c r="G2" s="3531"/>
      <c r="H2" s="3531" t="str">
        <f>IF(项目基本情况!B9="房地产市场价值","房地产市场价值","房地产价值")</f>
        <v>房地产市场价值</v>
      </c>
      <c r="I2" s="3531"/>
    </row>
    <row r="3" spans="1:9" ht="15.6">
      <c r="A3" s="3526"/>
      <c r="B3" s="3526"/>
      <c r="C3" s="3526"/>
      <c r="D3" s="852" t="s">
        <v>925</v>
      </c>
      <c r="E3" s="852" t="s">
        <v>931</v>
      </c>
      <c r="F3" s="852" t="s">
        <v>925</v>
      </c>
      <c r="G3" s="852" t="s">
        <v>926</v>
      </c>
      <c r="H3" s="852" t="s">
        <v>925</v>
      </c>
      <c r="I3" s="852" t="s">
        <v>926</v>
      </c>
    </row>
    <row r="4" spans="1:9" ht="15">
      <c r="A4" s="1503" t="str">
        <f>项目基本情况!S2</f>
        <v>北京市房地产</v>
      </c>
      <c r="B4" s="852">
        <f>项目基本情况!C17</f>
        <v>10.32</v>
      </c>
      <c r="C4" s="852" t="e">
        <f>项目基本情况!C18</f>
        <v>#DIV/0!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26" t="s">
        <v>927</v>
      </c>
      <c r="B5" s="3526"/>
      <c r="C5" s="3526"/>
      <c r="D5" s="3526" t="e">
        <f ca="1">结果表!D119</f>
        <v>#REF!</v>
      </c>
      <c r="E5" s="3526"/>
      <c r="F5" s="3526" t="e">
        <f ca="1">结果表!F119</f>
        <v>#REF!</v>
      </c>
      <c r="G5" s="3526"/>
      <c r="H5" s="3526" t="e">
        <f ca="1">结果表!H119</f>
        <v>#REF!</v>
      </c>
      <c r="I5" s="3526"/>
    </row>
    <row r="6" spans="1:9" ht="15.6">
      <c r="A6" s="3525" t="str">
        <f>结果表!A120</f>
        <v/>
      </c>
      <c r="B6" s="3525"/>
      <c r="C6" s="3525"/>
      <c r="D6" s="3525">
        <f>结果表!D120</f>
        <v>0</v>
      </c>
      <c r="E6" s="3525"/>
      <c r="F6" s="3525"/>
      <c r="G6" s="3525"/>
      <c r="H6" s="3525"/>
      <c r="I6" s="3525"/>
    </row>
    <row r="7" spans="1:9" ht="15">
      <c r="A7" s="3526" t="s">
        <v>927</v>
      </c>
      <c r="B7" s="3526"/>
      <c r="C7" s="3526"/>
      <c r="D7" s="3527" t="str">
        <f>结果表!D121</f>
        <v>零元整</v>
      </c>
      <c r="E7" s="3528"/>
      <c r="F7" s="3528"/>
      <c r="G7" s="3528"/>
      <c r="H7" s="3528"/>
      <c r="I7" s="3529"/>
    </row>
    <row r="8" spans="1:9" ht="15.6">
      <c r="A8" s="3525" t="str">
        <f>结果表!A122</f>
        <v/>
      </c>
      <c r="B8" s="3525"/>
      <c r="C8" s="3525"/>
      <c r="D8" s="3525" t="e">
        <f ca="1">结果表!D122</f>
        <v>#REF!</v>
      </c>
      <c r="E8" s="3525"/>
      <c r="F8" s="3525"/>
      <c r="G8" s="3525"/>
      <c r="H8" s="3525"/>
      <c r="I8" s="3525"/>
    </row>
    <row r="9" spans="1:9" ht="15">
      <c r="A9" s="3526" t="s">
        <v>927</v>
      </c>
      <c r="B9" s="3526"/>
      <c r="C9" s="3526"/>
      <c r="D9" s="3526" t="e">
        <f ca="1">结果表!D123</f>
        <v>#REF!</v>
      </c>
      <c r="E9" s="3526"/>
      <c r="F9" s="3526"/>
      <c r="G9" s="3526"/>
      <c r="H9" s="3526"/>
      <c r="I9" s="3526"/>
    </row>
    <row r="10" spans="1:9" ht="15.6">
      <c r="A10" s="3525" t="str">
        <f>结果表!A124</f>
        <v/>
      </c>
      <c r="B10" s="3525"/>
      <c r="C10" s="3525"/>
      <c r="D10" s="3525" t="str">
        <f>结果表!D124</f>
        <v>——</v>
      </c>
      <c r="E10" s="3525"/>
      <c r="F10" s="3525"/>
      <c r="G10" s="3525"/>
      <c r="H10" s="3525"/>
      <c r="I10" s="3525"/>
    </row>
    <row r="11" spans="1:9" ht="15">
      <c r="A11" s="3526" t="s">
        <v>927</v>
      </c>
      <c r="B11" s="3526"/>
      <c r="C11" s="3526"/>
      <c r="D11" s="3526" t="e">
        <f>结果表!D125</f>
        <v>#VALUE!</v>
      </c>
      <c r="E11" s="3526"/>
      <c r="F11" s="3526"/>
      <c r="G11" s="3526"/>
      <c r="H11" s="3526"/>
      <c r="I11" s="3526"/>
    </row>
    <row r="12" spans="1:9" ht="15.6">
      <c r="A12" s="3525" t="str">
        <f>结果表!A126</f>
        <v/>
      </c>
      <c r="B12" s="3525"/>
      <c r="C12" s="3525"/>
      <c r="D12" s="3525" t="str">
        <f>结果表!D126</f>
        <v>——</v>
      </c>
      <c r="E12" s="3525"/>
      <c r="F12" s="3525"/>
      <c r="G12" s="3525"/>
      <c r="H12" s="3525"/>
      <c r="I12" s="3525"/>
    </row>
    <row r="13" spans="1:9" ht="15.6" thickBot="1">
      <c r="A13" s="3523" t="s">
        <v>927</v>
      </c>
      <c r="B13" s="3523"/>
      <c r="C13" s="3523"/>
      <c r="D13" s="3523" t="e">
        <f>结果表!D127</f>
        <v>#VALUE!</v>
      </c>
      <c r="E13" s="3523"/>
      <c r="F13" s="3523"/>
      <c r="G13" s="3523"/>
      <c r="H13" s="3523"/>
      <c r="I13" s="3523"/>
    </row>
    <row r="14" spans="1:9" ht="14.4" thickTop="1">
      <c r="A14" s="3524" t="s">
        <v>932</v>
      </c>
      <c r="B14" s="3524"/>
      <c r="C14" s="3524"/>
      <c r="D14" s="3524"/>
      <c r="E14" s="3524"/>
      <c r="F14" s="3524"/>
      <c r="G14" s="3524"/>
      <c r="H14" s="3524"/>
      <c r="I14" s="3524"/>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349" sqref="E349"/>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61" t="s">
        <v>2836</v>
      </c>
      <c r="B1" s="3861"/>
      <c r="C1" s="3861"/>
      <c r="D1" s="3861"/>
      <c r="E1" s="3861"/>
      <c r="F1" s="3861"/>
      <c r="G1" s="3862"/>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1.4"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0" customFormat="1">
      <c r="A3" s="3863" t="s">
        <v>2863</v>
      </c>
      <c r="B3" s="3864"/>
      <c r="C3" s="3865" t="s">
        <v>2808</v>
      </c>
      <c r="D3" s="3865" t="s">
        <v>2864</v>
      </c>
      <c r="E3" s="3865" t="s">
        <v>2810</v>
      </c>
      <c r="F3" s="3865" t="s">
        <v>2865</v>
      </c>
      <c r="G3" s="3865" t="s">
        <v>2628</v>
      </c>
      <c r="H3" s="3227"/>
      <c r="I3" s="3228" t="s">
        <v>2866</v>
      </c>
      <c r="J3" s="3229" t="s">
        <v>128</v>
      </c>
      <c r="K3" s="3229" t="s">
        <v>129</v>
      </c>
      <c r="L3" s="3228" t="s">
        <v>130</v>
      </c>
      <c r="M3" s="3228" t="s">
        <v>131</v>
      </c>
      <c r="N3" s="3228" t="s">
        <v>132</v>
      </c>
      <c r="O3" s="3228" t="s">
        <v>133</v>
      </c>
      <c r="P3" s="3228" t="s">
        <v>134</v>
      </c>
      <c r="Q3" s="3228" t="s">
        <v>135</v>
      </c>
      <c r="R3" s="3228" t="s">
        <v>136</v>
      </c>
      <c r="S3" s="3228" t="s">
        <v>2867</v>
      </c>
      <c r="T3" s="3228" t="s">
        <v>2868</v>
      </c>
    </row>
    <row r="4" spans="1:20" s="3230" customFormat="1" ht="11.4" thickBot="1">
      <c r="A4" s="3866"/>
      <c r="B4" s="3867" t="s">
        <v>2869</v>
      </c>
      <c r="C4" s="3867" t="s">
        <v>2870</v>
      </c>
      <c r="D4" s="3867" t="s">
        <v>2870</v>
      </c>
      <c r="E4" s="3867" t="s">
        <v>2870</v>
      </c>
      <c r="F4" s="3868" t="s">
        <v>2870</v>
      </c>
      <c r="G4" s="3868" t="s">
        <v>2870</v>
      </c>
      <c r="H4" s="3227"/>
      <c r="I4" s="3229" t="s">
        <v>137</v>
      </c>
      <c r="J4" s="3229" t="s">
        <v>111</v>
      </c>
      <c r="K4" s="3229" t="s">
        <v>138</v>
      </c>
      <c r="L4" s="3228" t="s">
        <v>139</v>
      </c>
      <c r="M4" s="3228" t="s">
        <v>140</v>
      </c>
      <c r="N4" s="3228" t="s">
        <v>141</v>
      </c>
      <c r="O4" s="3228" t="s">
        <v>142</v>
      </c>
      <c r="P4" s="3228" t="s">
        <v>143</v>
      </c>
      <c r="Q4" s="3228" t="s">
        <v>2871</v>
      </c>
      <c r="R4" s="3228" t="s">
        <v>2872</v>
      </c>
      <c r="S4" s="3228" t="s">
        <v>2873</v>
      </c>
      <c r="T4" s="3228" t="s">
        <v>2874</v>
      </c>
    </row>
    <row r="5" spans="1:20" hidden="1">
      <c r="A5" s="3869" t="s">
        <v>2837</v>
      </c>
      <c r="B5" s="3870" t="s">
        <v>2851</v>
      </c>
      <c r="C5" s="3870">
        <v>34550</v>
      </c>
      <c r="D5" s="3870">
        <v>34470</v>
      </c>
      <c r="E5" s="3870">
        <v>34330</v>
      </c>
      <c r="F5" s="3870">
        <v>13400</v>
      </c>
      <c r="G5" s="3870">
        <v>25450</v>
      </c>
      <c r="H5" s="3227"/>
      <c r="I5" s="3228" t="s">
        <v>145</v>
      </c>
      <c r="J5" s="3229" t="s">
        <v>146</v>
      </c>
      <c r="K5" s="3229" t="s">
        <v>147</v>
      </c>
      <c r="L5" s="3228" t="s">
        <v>148</v>
      </c>
      <c r="M5" s="3228" t="s">
        <v>149</v>
      </c>
      <c r="N5" s="3228" t="s">
        <v>150</v>
      </c>
      <c r="O5" s="3228" t="s">
        <v>151</v>
      </c>
      <c r="P5" s="3228" t="s">
        <v>152</v>
      </c>
      <c r="Q5" s="3228" t="s">
        <v>2875</v>
      </c>
      <c r="R5" s="3228" t="s">
        <v>2876</v>
      </c>
      <c r="S5" s="3228" t="s">
        <v>153</v>
      </c>
      <c r="T5" s="3228" t="s">
        <v>2877</v>
      </c>
    </row>
    <row r="6" spans="1:20" ht="11.4" hidden="1" thickBot="1">
      <c r="A6" s="3871" t="s">
        <v>144</v>
      </c>
      <c r="B6" s="3871" t="s">
        <v>2866</v>
      </c>
      <c r="C6" s="3871">
        <v>36990</v>
      </c>
      <c r="D6" s="3871">
        <v>36850</v>
      </c>
      <c r="E6" s="3871">
        <v>36700</v>
      </c>
      <c r="F6" s="3871">
        <v>14590</v>
      </c>
      <c r="G6" s="3871">
        <v>27450</v>
      </c>
      <c r="H6" s="3227"/>
      <c r="I6" s="3232" t="s">
        <v>154</v>
      </c>
      <c r="J6" s="3229" t="s">
        <v>155</v>
      </c>
      <c r="K6" s="3229" t="s">
        <v>156</v>
      </c>
      <c r="L6" s="3228" t="s">
        <v>157</v>
      </c>
      <c r="M6" s="3228" t="s">
        <v>158</v>
      </c>
      <c r="N6" s="3228" t="s">
        <v>159</v>
      </c>
      <c r="O6" s="3228" t="s">
        <v>160</v>
      </c>
      <c r="P6" s="3228" t="s">
        <v>2878</v>
      </c>
      <c r="Q6" s="3228" t="s">
        <v>2879</v>
      </c>
      <c r="R6" s="3228" t="s">
        <v>161</v>
      </c>
      <c r="S6" s="3228" t="s">
        <v>2880</v>
      </c>
      <c r="T6" s="3228" t="s">
        <v>2881</v>
      </c>
    </row>
    <row r="7" spans="1:20" hidden="1">
      <c r="A7" s="3871" t="s">
        <v>144</v>
      </c>
      <c r="B7" s="3872" t="s">
        <v>137</v>
      </c>
      <c r="C7" s="3871">
        <v>34850</v>
      </c>
      <c r="D7" s="3871">
        <v>34690</v>
      </c>
      <c r="E7" s="3871">
        <v>34550</v>
      </c>
      <c r="F7" s="3871">
        <v>14360</v>
      </c>
      <c r="G7" s="3871">
        <v>25620</v>
      </c>
      <c r="H7" s="3227"/>
      <c r="J7" s="3229" t="s">
        <v>162</v>
      </c>
      <c r="K7" s="3229" t="s">
        <v>163</v>
      </c>
      <c r="L7" s="3228" t="s">
        <v>164</v>
      </c>
      <c r="M7" s="3228" t="s">
        <v>165</v>
      </c>
      <c r="N7" s="3228" t="s">
        <v>166</v>
      </c>
      <c r="O7" s="3228" t="s">
        <v>167</v>
      </c>
      <c r="P7" s="3228" t="s">
        <v>2882</v>
      </c>
      <c r="Q7" s="3228" t="s">
        <v>2883</v>
      </c>
      <c r="R7" s="3228" t="s">
        <v>2884</v>
      </c>
      <c r="S7" s="3228" t="s">
        <v>2885</v>
      </c>
      <c r="T7" s="3228" t="s">
        <v>2886</v>
      </c>
    </row>
    <row r="8" spans="1:20" ht="11.4" hidden="1" thickBot="1">
      <c r="A8" s="3871" t="s">
        <v>144</v>
      </c>
      <c r="B8" s="3871" t="s">
        <v>145</v>
      </c>
      <c r="C8" s="3871">
        <v>32630</v>
      </c>
      <c r="D8" s="3871">
        <v>32510</v>
      </c>
      <c r="E8" s="3871">
        <v>32420</v>
      </c>
      <c r="F8" s="3871">
        <v>13300</v>
      </c>
      <c r="G8" s="3871">
        <v>24010</v>
      </c>
      <c r="H8" s="3227"/>
      <c r="J8" s="3229" t="s">
        <v>168</v>
      </c>
      <c r="K8" s="3229" t="s">
        <v>169</v>
      </c>
      <c r="L8" s="3228" t="s">
        <v>170</v>
      </c>
      <c r="M8" s="3228" t="s">
        <v>171</v>
      </c>
      <c r="N8" s="3228" t="s">
        <v>172</v>
      </c>
      <c r="O8" s="3228" t="s">
        <v>173</v>
      </c>
      <c r="P8" s="3228" t="s">
        <v>2887</v>
      </c>
      <c r="Q8" s="3228" t="s">
        <v>174</v>
      </c>
      <c r="R8" s="3228" t="s">
        <v>2888</v>
      </c>
      <c r="S8" s="3228" t="s">
        <v>2889</v>
      </c>
      <c r="T8" s="3233" t="s">
        <v>2890</v>
      </c>
    </row>
    <row r="9" spans="1:20" ht="11.4" hidden="1" thickBot="1">
      <c r="A9" s="3873" t="s">
        <v>144</v>
      </c>
      <c r="B9" s="3874" t="s">
        <v>154</v>
      </c>
      <c r="C9" s="3875">
        <v>36370</v>
      </c>
      <c r="D9" s="3875">
        <v>36210</v>
      </c>
      <c r="E9" s="3875">
        <v>36050</v>
      </c>
      <c r="F9" s="3875"/>
      <c r="G9" s="3875">
        <v>26740</v>
      </c>
      <c r="H9" s="3227"/>
      <c r="J9" s="3229" t="s">
        <v>175</v>
      </c>
      <c r="K9" s="3229" t="s">
        <v>176</v>
      </c>
      <c r="L9" s="3228" t="s">
        <v>177</v>
      </c>
      <c r="M9" s="3228" t="s">
        <v>178</v>
      </c>
      <c r="N9" s="3228" t="s">
        <v>179</v>
      </c>
      <c r="O9" s="3228" t="s">
        <v>180</v>
      </c>
      <c r="P9" s="3228" t="s">
        <v>2891</v>
      </c>
      <c r="Q9" s="3228" t="s">
        <v>182</v>
      </c>
      <c r="R9" s="3228" t="s">
        <v>183</v>
      </c>
      <c r="S9" s="3228" t="s">
        <v>200</v>
      </c>
    </row>
    <row r="10" spans="1:20" hidden="1">
      <c r="A10" s="3869" t="s">
        <v>184</v>
      </c>
      <c r="B10" s="3870" t="s">
        <v>2852</v>
      </c>
      <c r="C10" s="3871">
        <v>32350</v>
      </c>
      <c r="D10" s="3871">
        <v>31430</v>
      </c>
      <c r="E10" s="3871">
        <v>31320</v>
      </c>
      <c r="F10" s="3871">
        <v>10850</v>
      </c>
      <c r="G10" s="3871">
        <v>22860</v>
      </c>
      <c r="H10" s="3227"/>
      <c r="J10" s="3229" t="s">
        <v>185</v>
      </c>
      <c r="K10" s="3229" t="s">
        <v>186</v>
      </c>
      <c r="L10" s="3228" t="s">
        <v>187</v>
      </c>
      <c r="M10" s="3228" t="s">
        <v>188</v>
      </c>
      <c r="N10" s="3228" t="s">
        <v>189</v>
      </c>
      <c r="O10" s="3228" t="s">
        <v>190</v>
      </c>
      <c r="P10" s="3228" t="s">
        <v>181</v>
      </c>
      <c r="Q10" s="3228" t="s">
        <v>192</v>
      </c>
      <c r="R10" s="3228" t="s">
        <v>193</v>
      </c>
      <c r="S10" s="3228" t="s">
        <v>2892</v>
      </c>
    </row>
    <row r="11" spans="1:20" hidden="1">
      <c r="A11" s="3871" t="s">
        <v>184</v>
      </c>
      <c r="B11" s="3872" t="s">
        <v>128</v>
      </c>
      <c r="C11" s="3871">
        <v>31590</v>
      </c>
      <c r="D11" s="3871">
        <v>29490</v>
      </c>
      <c r="E11" s="3871">
        <v>28700</v>
      </c>
      <c r="F11" s="3871">
        <v>10410</v>
      </c>
      <c r="G11" s="3871">
        <v>21460</v>
      </c>
      <c r="H11" s="3227"/>
      <c r="J11" s="3229" t="s">
        <v>194</v>
      </c>
      <c r="K11" s="3229" t="s">
        <v>195</v>
      </c>
      <c r="L11" s="3228" t="s">
        <v>196</v>
      </c>
      <c r="M11" s="3228" t="s">
        <v>197</v>
      </c>
      <c r="N11" s="3228" t="s">
        <v>198</v>
      </c>
      <c r="O11" s="3228" t="s">
        <v>2893</v>
      </c>
      <c r="P11" s="3228" t="s">
        <v>191</v>
      </c>
      <c r="Q11" s="3228" t="s">
        <v>199</v>
      </c>
      <c r="R11" s="3228" t="s">
        <v>2894</v>
      </c>
      <c r="S11" s="3228" t="s">
        <v>2895</v>
      </c>
    </row>
    <row r="12" spans="1:20" hidden="1">
      <c r="A12" s="3871" t="s">
        <v>184</v>
      </c>
      <c r="B12" s="3872" t="s">
        <v>111</v>
      </c>
      <c r="C12" s="3871">
        <v>29640</v>
      </c>
      <c r="D12" s="3871">
        <v>27550</v>
      </c>
      <c r="E12" s="3871">
        <v>28010</v>
      </c>
      <c r="F12" s="3871">
        <v>8730</v>
      </c>
      <c r="G12" s="3871">
        <v>20050</v>
      </c>
      <c r="H12" s="3227"/>
      <c r="J12" s="3229" t="s">
        <v>201</v>
      </c>
      <c r="K12" s="3229" t="s">
        <v>202</v>
      </c>
      <c r="L12" s="3228" t="s">
        <v>203</v>
      </c>
      <c r="M12" s="3228" t="s">
        <v>204</v>
      </c>
      <c r="N12" s="3228" t="s">
        <v>205</v>
      </c>
      <c r="O12" s="3228" t="s">
        <v>2896</v>
      </c>
      <c r="P12" s="3228" t="s">
        <v>2897</v>
      </c>
      <c r="Q12" s="3228" t="s">
        <v>2898</v>
      </c>
      <c r="R12" s="3228" t="s">
        <v>2899</v>
      </c>
      <c r="S12" s="3228" t="s">
        <v>2900</v>
      </c>
    </row>
    <row r="13" spans="1:20" hidden="1">
      <c r="A13" s="3871" t="s">
        <v>184</v>
      </c>
      <c r="B13" s="3872" t="s">
        <v>146</v>
      </c>
      <c r="C13" s="3871">
        <v>29680</v>
      </c>
      <c r="D13" s="3871">
        <v>27660</v>
      </c>
      <c r="E13" s="3871">
        <v>28210</v>
      </c>
      <c r="F13" s="3871">
        <v>9590</v>
      </c>
      <c r="G13" s="3871">
        <v>20120</v>
      </c>
      <c r="H13" s="3227"/>
      <c r="J13" s="3229" t="s">
        <v>208</v>
      </c>
      <c r="K13" s="3229" t="s">
        <v>209</v>
      </c>
      <c r="L13" s="3228" t="s">
        <v>210</v>
      </c>
      <c r="M13" s="3228" t="s">
        <v>211</v>
      </c>
      <c r="N13" s="3228" t="s">
        <v>212</v>
      </c>
      <c r="O13" s="3228" t="s">
        <v>2901</v>
      </c>
      <c r="P13" s="3228" t="s">
        <v>206</v>
      </c>
      <c r="Q13" s="3228" t="s">
        <v>219</v>
      </c>
      <c r="R13" s="3228" t="s">
        <v>220</v>
      </c>
      <c r="S13" s="3228" t="s">
        <v>214</v>
      </c>
    </row>
    <row r="14" spans="1:20" hidden="1">
      <c r="A14" s="3871" t="s">
        <v>184</v>
      </c>
      <c r="B14" s="3872" t="s">
        <v>155</v>
      </c>
      <c r="C14" s="3871">
        <v>30520</v>
      </c>
      <c r="D14" s="3871">
        <v>29510</v>
      </c>
      <c r="E14" s="3871">
        <v>29400</v>
      </c>
      <c r="F14" s="3871">
        <v>9630</v>
      </c>
      <c r="G14" s="3871">
        <v>21480</v>
      </c>
      <c r="H14" s="3227"/>
      <c r="J14" s="3229" t="s">
        <v>2902</v>
      </c>
      <c r="K14" s="3229" t="s">
        <v>215</v>
      </c>
      <c r="L14" s="3228" t="s">
        <v>216</v>
      </c>
      <c r="M14" s="3228" t="s">
        <v>217</v>
      </c>
      <c r="N14" s="3228" t="s">
        <v>218</v>
      </c>
      <c r="O14" s="3228" t="s">
        <v>240</v>
      </c>
      <c r="P14" s="3228" t="s">
        <v>213</v>
      </c>
      <c r="Q14" s="3228" t="s">
        <v>2903</v>
      </c>
      <c r="R14" s="3228" t="s">
        <v>228</v>
      </c>
      <c r="S14" s="3228" t="s">
        <v>221</v>
      </c>
    </row>
    <row r="15" spans="1:20" hidden="1">
      <c r="A15" s="3871" t="s">
        <v>184</v>
      </c>
      <c r="B15" s="3872" t="s">
        <v>162</v>
      </c>
      <c r="C15" s="3871">
        <v>29090</v>
      </c>
      <c r="D15" s="3871">
        <v>27590</v>
      </c>
      <c r="E15" s="3871">
        <v>28120</v>
      </c>
      <c r="F15" s="3871">
        <v>9110</v>
      </c>
      <c r="G15" s="3871">
        <v>20070</v>
      </c>
      <c r="H15" s="3227"/>
      <c r="J15" s="3229" t="s">
        <v>222</v>
      </c>
      <c r="K15" s="3229" t="s">
        <v>223</v>
      </c>
      <c r="L15" s="3228" t="s">
        <v>224</v>
      </c>
      <c r="M15" s="3228" t="s">
        <v>225</v>
      </c>
      <c r="N15" s="3228" t="s">
        <v>226</v>
      </c>
      <c r="O15" s="3228" t="s">
        <v>2904</v>
      </c>
      <c r="P15" s="3228" t="s">
        <v>2905</v>
      </c>
      <c r="Q15" s="3228" t="s">
        <v>242</v>
      </c>
      <c r="R15" s="3228" t="s">
        <v>2906</v>
      </c>
      <c r="S15" s="3228" t="s">
        <v>229</v>
      </c>
    </row>
    <row r="16" spans="1:20" hidden="1">
      <c r="A16" s="3871" t="s">
        <v>184</v>
      </c>
      <c r="B16" s="3872" t="s">
        <v>168</v>
      </c>
      <c r="C16" s="3871">
        <v>26790</v>
      </c>
      <c r="D16" s="3871">
        <v>30370</v>
      </c>
      <c r="E16" s="3871">
        <v>30240</v>
      </c>
      <c r="F16" s="3871">
        <v>11590</v>
      </c>
      <c r="G16" s="3871">
        <v>22090</v>
      </c>
      <c r="H16" s="3227"/>
      <c r="J16" s="3229" t="s">
        <v>230</v>
      </c>
      <c r="K16" s="3229" t="s">
        <v>231</v>
      </c>
      <c r="L16" s="3228" t="s">
        <v>232</v>
      </c>
      <c r="M16" s="3228" t="s">
        <v>233</v>
      </c>
      <c r="N16" s="3228" t="s">
        <v>234</v>
      </c>
      <c r="O16" s="3228" t="s">
        <v>2907</v>
      </c>
      <c r="P16" s="3228" t="s">
        <v>227</v>
      </c>
      <c r="Q16" s="3228" t="s">
        <v>250</v>
      </c>
      <c r="R16" s="3228" t="s">
        <v>207</v>
      </c>
      <c r="S16" s="3228" t="s">
        <v>2908</v>
      </c>
    </row>
    <row r="17" spans="1:19" ht="14.25" hidden="1" customHeight="1">
      <c r="A17" s="3871" t="s">
        <v>184</v>
      </c>
      <c r="B17" s="3872" t="s">
        <v>175</v>
      </c>
      <c r="C17" s="3871">
        <v>29180</v>
      </c>
      <c r="D17" s="3871">
        <v>27620</v>
      </c>
      <c r="E17" s="3871">
        <v>28180</v>
      </c>
      <c r="F17" s="3871">
        <v>10790</v>
      </c>
      <c r="G17" s="3871">
        <v>20090</v>
      </c>
      <c r="H17" s="3227"/>
      <c r="J17" s="3229" t="s">
        <v>235</v>
      </c>
      <c r="K17" s="3229" t="s">
        <v>236</v>
      </c>
      <c r="L17" s="3228" t="s">
        <v>237</v>
      </c>
      <c r="M17" s="3228" t="s">
        <v>238</v>
      </c>
      <c r="N17" s="3228" t="s">
        <v>239</v>
      </c>
      <c r="O17" s="3228" t="s">
        <v>2909</v>
      </c>
      <c r="P17" s="3228" t="s">
        <v>2910</v>
      </c>
      <c r="Q17" s="3228" t="s">
        <v>256</v>
      </c>
      <c r="R17" s="3228" t="s">
        <v>2911</v>
      </c>
      <c r="S17" s="3228" t="s">
        <v>258</v>
      </c>
    </row>
    <row r="18" spans="1:19" ht="14.25" hidden="1" customHeight="1">
      <c r="A18" s="3871" t="s">
        <v>184</v>
      </c>
      <c r="B18" s="3872" t="s">
        <v>185</v>
      </c>
      <c r="C18" s="3871">
        <v>26840</v>
      </c>
      <c r="D18" s="3871">
        <v>28930</v>
      </c>
      <c r="E18" s="3871">
        <v>28820</v>
      </c>
      <c r="F18" s="3871"/>
      <c r="G18" s="3871">
        <v>21050</v>
      </c>
      <c r="H18" s="3227"/>
      <c r="J18" s="3229" t="s">
        <v>244</v>
      </c>
      <c r="K18" s="3229" t="s">
        <v>245</v>
      </c>
      <c r="L18" s="3228" t="s">
        <v>246</v>
      </c>
      <c r="M18" s="3228" t="s">
        <v>247</v>
      </c>
      <c r="N18" s="3228" t="s">
        <v>248</v>
      </c>
      <c r="O18" s="3228" t="s">
        <v>2912</v>
      </c>
      <c r="P18" s="3228" t="s">
        <v>241</v>
      </c>
      <c r="Q18" s="3228" t="s">
        <v>2913</v>
      </c>
      <c r="R18" s="3228" t="s">
        <v>257</v>
      </c>
      <c r="S18" s="3228" t="s">
        <v>266</v>
      </c>
    </row>
    <row r="19" spans="1:19" ht="14.25" hidden="1" customHeight="1">
      <c r="A19" s="3871" t="s">
        <v>184</v>
      </c>
      <c r="B19" s="3872" t="s">
        <v>194</v>
      </c>
      <c r="C19" s="3871">
        <v>27750</v>
      </c>
      <c r="D19" s="3871">
        <v>26680</v>
      </c>
      <c r="E19" s="3871">
        <v>26590</v>
      </c>
      <c r="F19" s="3871"/>
      <c r="G19" s="3871">
        <v>19420</v>
      </c>
      <c r="H19" s="3227"/>
      <c r="J19" s="3229" t="s">
        <v>251</v>
      </c>
      <c r="K19" s="3229" t="s">
        <v>252</v>
      </c>
      <c r="L19" s="3228" t="s">
        <v>253</v>
      </c>
      <c r="M19" s="3228" t="s">
        <v>254</v>
      </c>
      <c r="N19" s="3228" t="s">
        <v>255</v>
      </c>
      <c r="O19" s="3228" t="s">
        <v>2914</v>
      </c>
      <c r="P19" s="3228" t="s">
        <v>249</v>
      </c>
      <c r="Q19" s="3228" t="s">
        <v>2915</v>
      </c>
      <c r="R19" s="3228" t="s">
        <v>265</v>
      </c>
      <c r="S19" s="3228" t="s">
        <v>2916</v>
      </c>
    </row>
    <row r="20" spans="1:19" ht="14.25" hidden="1" customHeight="1">
      <c r="A20" s="3871" t="s">
        <v>184</v>
      </c>
      <c r="B20" s="3872" t="s">
        <v>201</v>
      </c>
      <c r="C20" s="3871">
        <v>27050</v>
      </c>
      <c r="D20" s="3871">
        <v>29010</v>
      </c>
      <c r="E20" s="3871">
        <v>28910</v>
      </c>
      <c r="F20" s="3871"/>
      <c r="G20" s="3871">
        <v>21110</v>
      </c>
      <c r="J20" s="3229" t="s">
        <v>259</v>
      </c>
      <c r="K20" s="3229" t="s">
        <v>260</v>
      </c>
      <c r="L20" s="3228" t="s">
        <v>261</v>
      </c>
      <c r="M20" s="3228" t="s">
        <v>262</v>
      </c>
      <c r="N20" s="3228" t="s">
        <v>263</v>
      </c>
      <c r="O20" s="3228" t="s">
        <v>2917</v>
      </c>
      <c r="P20" s="3228" t="s">
        <v>2918</v>
      </c>
      <c r="Q20" s="3228" t="s">
        <v>290</v>
      </c>
      <c r="R20" s="3228" t="s">
        <v>2919</v>
      </c>
      <c r="S20" s="3228" t="s">
        <v>277</v>
      </c>
    </row>
    <row r="21" spans="1:19" ht="14.25" hidden="1" customHeight="1" thickBot="1">
      <c r="A21" s="3871" t="s">
        <v>184</v>
      </c>
      <c r="B21" s="3872" t="s">
        <v>208</v>
      </c>
      <c r="C21" s="3871">
        <v>32370</v>
      </c>
      <c r="D21" s="3871">
        <v>26730</v>
      </c>
      <c r="E21" s="3871">
        <v>26640</v>
      </c>
      <c r="F21" s="3871"/>
      <c r="G21" s="3871">
        <v>19440</v>
      </c>
      <c r="J21" s="3233" t="s">
        <v>2920</v>
      </c>
      <c r="K21" s="3229" t="s">
        <v>267</v>
      </c>
      <c r="L21" s="3228" t="s">
        <v>268</v>
      </c>
      <c r="M21" s="3228" t="s">
        <v>269</v>
      </c>
      <c r="N21" s="3228" t="s">
        <v>270</v>
      </c>
      <c r="O21" s="3228" t="s">
        <v>264</v>
      </c>
      <c r="P21" s="3228" t="s">
        <v>283</v>
      </c>
      <c r="Q21" s="3228" t="s">
        <v>293</v>
      </c>
      <c r="R21" s="3228" t="s">
        <v>2921</v>
      </c>
      <c r="S21" s="3233" t="s">
        <v>2922</v>
      </c>
    </row>
    <row r="22" spans="1:19" ht="14.25" hidden="1" customHeight="1">
      <c r="A22" s="3871" t="s">
        <v>184</v>
      </c>
      <c r="B22" s="3872" t="s">
        <v>2902</v>
      </c>
      <c r="C22" s="3871">
        <v>29830</v>
      </c>
      <c r="D22" s="3871">
        <v>27600</v>
      </c>
      <c r="E22" s="3871">
        <v>28150</v>
      </c>
      <c r="F22" s="3871"/>
      <c r="G22" s="3871">
        <v>20080</v>
      </c>
      <c r="K22" s="3229" t="s">
        <v>2923</v>
      </c>
      <c r="L22" s="3228" t="s">
        <v>272</v>
      </c>
      <c r="M22" s="3228" t="s">
        <v>273</v>
      </c>
      <c r="N22" s="3228" t="s">
        <v>274</v>
      </c>
      <c r="O22" s="3228" t="s">
        <v>2924</v>
      </c>
      <c r="P22" s="3228" t="s">
        <v>286</v>
      </c>
      <c r="Q22" s="3228" t="s">
        <v>295</v>
      </c>
      <c r="R22" s="3228" t="s">
        <v>243</v>
      </c>
    </row>
    <row r="23" spans="1:19" ht="14.25" hidden="1" customHeight="1">
      <c r="A23" s="3871" t="s">
        <v>184</v>
      </c>
      <c r="B23" s="3872" t="s">
        <v>222</v>
      </c>
      <c r="C23" s="3871">
        <v>27800</v>
      </c>
      <c r="D23" s="3871">
        <v>26900</v>
      </c>
      <c r="E23" s="3871">
        <v>27170</v>
      </c>
      <c r="F23" s="3871"/>
      <c r="G23" s="3871">
        <v>19570</v>
      </c>
      <c r="K23" s="3229" t="s">
        <v>2925</v>
      </c>
      <c r="L23" s="3228" t="s">
        <v>278</v>
      </c>
      <c r="M23" s="3228" t="s">
        <v>279</v>
      </c>
      <c r="N23" s="3228" t="s">
        <v>2926</v>
      </c>
      <c r="O23" s="3228" t="s">
        <v>2927</v>
      </c>
      <c r="P23" s="3228" t="s">
        <v>289</v>
      </c>
      <c r="Q23" s="3228" t="s">
        <v>298</v>
      </c>
      <c r="R23" s="3228" t="s">
        <v>2928</v>
      </c>
    </row>
    <row r="24" spans="1:19" ht="14.25" hidden="1" customHeight="1">
      <c r="A24" s="3871" t="s">
        <v>184</v>
      </c>
      <c r="B24" s="3872" t="s">
        <v>230</v>
      </c>
      <c r="C24" s="3871">
        <v>27930</v>
      </c>
      <c r="D24" s="3871">
        <v>32260</v>
      </c>
      <c r="E24" s="3871">
        <v>32120</v>
      </c>
      <c r="F24" s="3871"/>
      <c r="G24" s="3871">
        <v>23470</v>
      </c>
      <c r="K24" s="3229" t="s">
        <v>2929</v>
      </c>
      <c r="L24" s="3228" t="s">
        <v>281</v>
      </c>
      <c r="M24" s="3228" t="s">
        <v>282</v>
      </c>
      <c r="N24" s="3228" t="s">
        <v>2930</v>
      </c>
      <c r="O24" s="3228" t="s">
        <v>285</v>
      </c>
      <c r="P24" s="3228" t="s">
        <v>2931</v>
      </c>
      <c r="Q24" s="3235" t="s">
        <v>2932</v>
      </c>
      <c r="R24" s="3228" t="s">
        <v>2933</v>
      </c>
    </row>
    <row r="25" spans="1:19" ht="14.25" hidden="1" customHeight="1">
      <c r="A25" s="3871" t="s">
        <v>184</v>
      </c>
      <c r="B25" s="3872" t="s">
        <v>235</v>
      </c>
      <c r="C25" s="3871">
        <v>32230</v>
      </c>
      <c r="D25" s="3871">
        <v>29640</v>
      </c>
      <c r="E25" s="3871">
        <v>29510</v>
      </c>
      <c r="F25" s="3871"/>
      <c r="G25" s="3871">
        <v>21560</v>
      </c>
      <c r="K25" s="3229" t="s">
        <v>2934</v>
      </c>
      <c r="L25" s="3228" t="s">
        <v>2935</v>
      </c>
      <c r="M25" s="3228" t="s">
        <v>284</v>
      </c>
      <c r="N25" s="3228" t="s">
        <v>292</v>
      </c>
      <c r="O25" s="3228" t="s">
        <v>288</v>
      </c>
      <c r="P25" s="3228" t="s">
        <v>275</v>
      </c>
      <c r="Q25" s="3235" t="s">
        <v>271</v>
      </c>
      <c r="R25" s="3228" t="s">
        <v>2936</v>
      </c>
    </row>
    <row r="26" spans="1:19" ht="14.25" hidden="1" customHeight="1" thickBot="1">
      <c r="A26" s="3871" t="s">
        <v>184</v>
      </c>
      <c r="B26" s="3872" t="s">
        <v>244</v>
      </c>
      <c r="C26" s="3871">
        <v>31690</v>
      </c>
      <c r="D26" s="3871">
        <v>27650</v>
      </c>
      <c r="E26" s="3871">
        <v>28200</v>
      </c>
      <c r="F26" s="3871"/>
      <c r="G26" s="3871">
        <v>20110</v>
      </c>
      <c r="K26" s="3232" t="s">
        <v>2937</v>
      </c>
      <c r="L26" s="3228" t="s">
        <v>2938</v>
      </c>
      <c r="M26" s="3228" t="s">
        <v>287</v>
      </c>
      <c r="N26" s="3228" t="s">
        <v>294</v>
      </c>
      <c r="O26" s="3228" t="s">
        <v>2939</v>
      </c>
      <c r="P26" s="3228" t="s">
        <v>2940</v>
      </c>
      <c r="Q26" s="3235" t="s">
        <v>276</v>
      </c>
      <c r="R26" s="3228" t="s">
        <v>2941</v>
      </c>
    </row>
    <row r="27" spans="1:19" ht="14.25" hidden="1" customHeight="1">
      <c r="A27" s="3871" t="s">
        <v>184</v>
      </c>
      <c r="B27" s="3872" t="s">
        <v>251</v>
      </c>
      <c r="C27" s="3871">
        <v>29610</v>
      </c>
      <c r="D27" s="3871">
        <v>27770</v>
      </c>
      <c r="E27" s="3871">
        <v>28300</v>
      </c>
      <c r="F27" s="3871"/>
      <c r="G27" s="3871">
        <v>20210</v>
      </c>
      <c r="L27" s="3228" t="s">
        <v>2942</v>
      </c>
      <c r="M27" s="3228" t="s">
        <v>291</v>
      </c>
      <c r="N27" s="3228" t="s">
        <v>297</v>
      </c>
      <c r="O27" s="3228" t="s">
        <v>2943</v>
      </c>
      <c r="P27" s="3228" t="s">
        <v>2944</v>
      </c>
      <c r="Q27" s="3228" t="s">
        <v>2945</v>
      </c>
      <c r="R27" s="3228" t="s">
        <v>2946</v>
      </c>
    </row>
    <row r="28" spans="1:19" ht="14.25" hidden="1" customHeight="1">
      <c r="A28" s="3871" t="s">
        <v>184</v>
      </c>
      <c r="B28" s="3872" t="s">
        <v>259</v>
      </c>
      <c r="C28" s="3871"/>
      <c r="D28" s="3871">
        <v>31520</v>
      </c>
      <c r="E28" s="3871">
        <v>31410</v>
      </c>
      <c r="F28" s="3871"/>
      <c r="G28" s="3871">
        <v>22940</v>
      </c>
      <c r="L28" s="3228" t="s">
        <v>2947</v>
      </c>
      <c r="M28" s="3228" t="s">
        <v>2948</v>
      </c>
      <c r="N28" s="3228" t="s">
        <v>2949</v>
      </c>
      <c r="O28" s="3228" t="s">
        <v>2950</v>
      </c>
      <c r="P28" s="3228" t="s">
        <v>2951</v>
      </c>
      <c r="Q28" s="3228" t="s">
        <v>2952</v>
      </c>
      <c r="R28" s="3228" t="s">
        <v>2953</v>
      </c>
    </row>
    <row r="29" spans="1:19" ht="14.25" hidden="1" customHeight="1" thickBot="1">
      <c r="A29" s="3873" t="s">
        <v>184</v>
      </c>
      <c r="B29" s="3876" t="s">
        <v>2920</v>
      </c>
      <c r="C29" s="3877"/>
      <c r="D29" s="3877">
        <v>29460</v>
      </c>
      <c r="E29" s="3877">
        <v>28640</v>
      </c>
      <c r="F29" s="3877"/>
      <c r="G29" s="3877">
        <v>21430</v>
      </c>
      <c r="L29" s="3228" t="s">
        <v>2954</v>
      </c>
      <c r="M29" s="3228" t="s">
        <v>2955</v>
      </c>
      <c r="N29" s="3228" t="s">
        <v>2956</v>
      </c>
      <c r="O29" s="3228" t="s">
        <v>2957</v>
      </c>
      <c r="P29" s="3228" t="s">
        <v>2958</v>
      </c>
      <c r="Q29" s="3228" t="s">
        <v>2959</v>
      </c>
      <c r="R29" s="3228" t="s">
        <v>280</v>
      </c>
    </row>
    <row r="30" spans="1:19" ht="14.25" hidden="1" customHeight="1">
      <c r="A30" s="3869" t="s">
        <v>296</v>
      </c>
      <c r="B30" s="3870" t="s">
        <v>2853</v>
      </c>
      <c r="C30" s="3870">
        <v>26890</v>
      </c>
      <c r="D30" s="3870">
        <v>26770</v>
      </c>
      <c r="E30" s="3870">
        <v>25700</v>
      </c>
      <c r="F30" s="3870">
        <v>8180</v>
      </c>
      <c r="G30" s="3878">
        <v>18740</v>
      </c>
      <c r="L30" s="3228" t="s">
        <v>2960</v>
      </c>
      <c r="M30" s="3228" t="s">
        <v>2961</v>
      </c>
      <c r="N30" s="3228" t="s">
        <v>2962</v>
      </c>
      <c r="O30" s="3228" t="s">
        <v>2963</v>
      </c>
      <c r="P30" s="3228" t="s">
        <v>2964</v>
      </c>
      <c r="Q30" s="3228" t="s">
        <v>2965</v>
      </c>
      <c r="R30" s="3228" t="s">
        <v>2966</v>
      </c>
    </row>
    <row r="31" spans="1:19" ht="14.25" hidden="1" customHeight="1">
      <c r="A31" s="3871" t="s">
        <v>296</v>
      </c>
      <c r="B31" s="3872" t="s">
        <v>129</v>
      </c>
      <c r="C31" s="3871">
        <v>24550</v>
      </c>
      <c r="D31" s="3871">
        <v>23990</v>
      </c>
      <c r="E31" s="3871">
        <v>22930</v>
      </c>
      <c r="F31" s="3871">
        <v>7470</v>
      </c>
      <c r="G31" s="3879">
        <v>16790</v>
      </c>
      <c r="L31" s="3228" t="s">
        <v>2967</v>
      </c>
      <c r="M31" s="3228" t="s">
        <v>2968</v>
      </c>
      <c r="N31" s="3228" t="s">
        <v>2969</v>
      </c>
      <c r="O31" s="3228" t="s">
        <v>2970</v>
      </c>
      <c r="P31" s="3228" t="s">
        <v>2971</v>
      </c>
      <c r="Q31" s="3228" t="s">
        <v>2972</v>
      </c>
      <c r="R31" s="3228" t="s">
        <v>2973</v>
      </c>
    </row>
    <row r="32" spans="1:19" ht="14.25" hidden="1" customHeight="1" thickBot="1">
      <c r="A32" s="3871" t="s">
        <v>296</v>
      </c>
      <c r="B32" s="3872" t="s">
        <v>138</v>
      </c>
      <c r="C32" s="3871">
        <v>27210</v>
      </c>
      <c r="D32" s="3871">
        <v>23240</v>
      </c>
      <c r="E32" s="3871">
        <v>23260</v>
      </c>
      <c r="F32" s="3871">
        <v>7130</v>
      </c>
      <c r="G32" s="3879">
        <v>16270</v>
      </c>
      <c r="L32" s="3228" t="s">
        <v>2974</v>
      </c>
      <c r="M32" s="3228" t="s">
        <v>2975</v>
      </c>
      <c r="N32" s="3228" t="s">
        <v>300</v>
      </c>
      <c r="O32" s="3228" t="s">
        <v>2976</v>
      </c>
      <c r="P32" s="3228" t="s">
        <v>299</v>
      </c>
      <c r="Q32" s="3228" t="s">
        <v>2977</v>
      </c>
      <c r="R32" s="3233" t="s">
        <v>2978</v>
      </c>
    </row>
    <row r="33" spans="1:17" ht="14.25" hidden="1" customHeight="1" thickBot="1">
      <c r="A33" s="3871" t="s">
        <v>296</v>
      </c>
      <c r="B33" s="3872" t="s">
        <v>147</v>
      </c>
      <c r="C33" s="3871">
        <v>27300</v>
      </c>
      <c r="D33" s="3871">
        <v>22980</v>
      </c>
      <c r="E33" s="3871">
        <v>24260</v>
      </c>
      <c r="F33" s="3871">
        <v>5860</v>
      </c>
      <c r="G33" s="3879">
        <v>16090</v>
      </c>
      <c r="L33" s="3233" t="s">
        <v>2979</v>
      </c>
      <c r="M33" s="3228" t="s">
        <v>2980</v>
      </c>
      <c r="N33" s="3228" t="s">
        <v>301</v>
      </c>
      <c r="O33" s="3228" t="s">
        <v>2981</v>
      </c>
      <c r="P33" s="3228" t="s">
        <v>2982</v>
      </c>
      <c r="Q33" s="3228" t="s">
        <v>2983</v>
      </c>
    </row>
    <row r="34" spans="1:17" ht="14.25" hidden="1" customHeight="1">
      <c r="A34" s="3871" t="s">
        <v>296</v>
      </c>
      <c r="B34" s="3872" t="s">
        <v>156</v>
      </c>
      <c r="C34" s="3871">
        <v>23090</v>
      </c>
      <c r="D34" s="3871">
        <v>23390</v>
      </c>
      <c r="E34" s="3871">
        <v>23510</v>
      </c>
      <c r="F34" s="3871">
        <v>6700</v>
      </c>
      <c r="G34" s="3879">
        <v>16370</v>
      </c>
      <c r="M34" s="3228" t="s">
        <v>2984</v>
      </c>
      <c r="N34" s="3228" t="s">
        <v>302</v>
      </c>
      <c r="O34" s="3228" t="s">
        <v>2985</v>
      </c>
      <c r="P34" s="3228" t="s">
        <v>2986</v>
      </c>
      <c r="Q34" s="3228" t="s">
        <v>2987</v>
      </c>
    </row>
    <row r="35" spans="1:17" ht="14.25" hidden="1" customHeight="1">
      <c r="A35" s="3871" t="s">
        <v>296</v>
      </c>
      <c r="B35" s="3872" t="s">
        <v>163</v>
      </c>
      <c r="C35" s="3871">
        <v>27270</v>
      </c>
      <c r="D35" s="3871">
        <v>24270</v>
      </c>
      <c r="E35" s="3871">
        <v>24950</v>
      </c>
      <c r="F35" s="3871">
        <v>6600</v>
      </c>
      <c r="G35" s="3879">
        <v>16990</v>
      </c>
      <c r="M35" s="3228" t="s">
        <v>2988</v>
      </c>
      <c r="N35" s="3228" t="s">
        <v>2989</v>
      </c>
      <c r="O35" s="3228" t="s">
        <v>2990</v>
      </c>
      <c r="P35" s="3228" t="s">
        <v>2991</v>
      </c>
      <c r="Q35" s="3228" t="s">
        <v>2992</v>
      </c>
    </row>
    <row r="36" spans="1:17" ht="14.25" hidden="1" customHeight="1">
      <c r="A36" s="3871" t="s">
        <v>296</v>
      </c>
      <c r="B36" s="3872" t="s">
        <v>169</v>
      </c>
      <c r="C36" s="3871">
        <v>23490</v>
      </c>
      <c r="D36" s="3871">
        <v>23020</v>
      </c>
      <c r="E36" s="3871">
        <v>25230</v>
      </c>
      <c r="F36" s="3871">
        <v>6780</v>
      </c>
      <c r="G36" s="3879">
        <v>16120</v>
      </c>
      <c r="M36" s="3228" t="s">
        <v>2993</v>
      </c>
      <c r="N36" s="3228" t="s">
        <v>2994</v>
      </c>
      <c r="O36" s="3228" t="s">
        <v>2995</v>
      </c>
      <c r="P36" s="3228" t="s">
        <v>2996</v>
      </c>
      <c r="Q36" s="3228" t="s">
        <v>2997</v>
      </c>
    </row>
    <row r="37" spans="1:17" ht="14.25" hidden="1" customHeight="1">
      <c r="A37" s="3871" t="s">
        <v>296</v>
      </c>
      <c r="B37" s="3872" t="s">
        <v>176</v>
      </c>
      <c r="C37" s="3871">
        <v>24380</v>
      </c>
      <c r="D37" s="3871">
        <v>22240</v>
      </c>
      <c r="E37" s="3871">
        <v>25980</v>
      </c>
      <c r="F37" s="3871">
        <v>8160</v>
      </c>
      <c r="G37" s="3879">
        <v>15570</v>
      </c>
      <c r="M37" s="3228" t="s">
        <v>2998</v>
      </c>
      <c r="N37" s="3228" t="s">
        <v>2999</v>
      </c>
      <c r="O37" s="3228" t="s">
        <v>3000</v>
      </c>
      <c r="P37" s="3228" t="s">
        <v>3001</v>
      </c>
      <c r="Q37" s="3228" t="s">
        <v>3002</v>
      </c>
    </row>
    <row r="38" spans="1:17" ht="14.25" hidden="1" customHeight="1">
      <c r="A38" s="3871" t="s">
        <v>296</v>
      </c>
      <c r="B38" s="3872" t="s">
        <v>186</v>
      </c>
      <c r="C38" s="3871">
        <v>23120</v>
      </c>
      <c r="D38" s="3871">
        <v>24630</v>
      </c>
      <c r="E38" s="3871">
        <v>25030</v>
      </c>
      <c r="F38" s="3871">
        <v>7710</v>
      </c>
      <c r="G38" s="3879">
        <v>17240</v>
      </c>
      <c r="M38" s="3228" t="s">
        <v>3003</v>
      </c>
      <c r="N38" s="3228" t="s">
        <v>3004</v>
      </c>
      <c r="O38" s="3228" t="s">
        <v>3005</v>
      </c>
      <c r="P38" s="3228" t="s">
        <v>3006</v>
      </c>
      <c r="Q38" s="3228" t="s">
        <v>3007</v>
      </c>
    </row>
    <row r="39" spans="1:17" ht="14.25" hidden="1" customHeight="1">
      <c r="A39" s="3871" t="s">
        <v>296</v>
      </c>
      <c r="B39" s="3872" t="s">
        <v>195</v>
      </c>
      <c r="C39" s="3871">
        <v>22330</v>
      </c>
      <c r="D39" s="3871">
        <v>21140</v>
      </c>
      <c r="E39" s="3871">
        <v>23970</v>
      </c>
      <c r="F39" s="3871">
        <v>7940</v>
      </c>
      <c r="G39" s="3879">
        <v>14790</v>
      </c>
      <c r="M39" s="3228" t="s">
        <v>3008</v>
      </c>
      <c r="N39" s="3228" t="s">
        <v>3009</v>
      </c>
      <c r="O39" s="3228" t="s">
        <v>3010</v>
      </c>
      <c r="P39" s="3228" t="s">
        <v>3011</v>
      </c>
      <c r="Q39" s="3228" t="s">
        <v>3012</v>
      </c>
    </row>
    <row r="40" spans="1:17" ht="14.25" hidden="1" customHeight="1">
      <c r="A40" s="3871" t="s">
        <v>296</v>
      </c>
      <c r="B40" s="3872" t="s">
        <v>202</v>
      </c>
      <c r="C40" s="3871">
        <v>24740</v>
      </c>
      <c r="D40" s="3871">
        <v>24690</v>
      </c>
      <c r="E40" s="3871">
        <v>22610</v>
      </c>
      <c r="F40" s="3871"/>
      <c r="G40" s="3879">
        <v>17280</v>
      </c>
      <c r="M40" s="3228" t="s">
        <v>3013</v>
      </c>
      <c r="N40" s="3228" t="s">
        <v>3014</v>
      </c>
      <c r="O40" s="3228" t="s">
        <v>3015</v>
      </c>
      <c r="P40" s="3228" t="s">
        <v>3016</v>
      </c>
      <c r="Q40" s="3228" t="s">
        <v>3017</v>
      </c>
    </row>
    <row r="41" spans="1:17" ht="14.25" hidden="1" customHeight="1" thickBot="1">
      <c r="A41" s="3871" t="s">
        <v>296</v>
      </c>
      <c r="B41" s="3872" t="s">
        <v>209</v>
      </c>
      <c r="C41" s="3871">
        <v>21220</v>
      </c>
      <c r="D41" s="3871">
        <v>21120</v>
      </c>
      <c r="E41" s="3871">
        <v>22590</v>
      </c>
      <c r="F41" s="3871"/>
      <c r="G41" s="3879">
        <v>14780</v>
      </c>
      <c r="M41" s="3233" t="s">
        <v>3018</v>
      </c>
      <c r="N41" s="3228" t="s">
        <v>3019</v>
      </c>
      <c r="O41" s="3228" t="s">
        <v>3020</v>
      </c>
      <c r="P41" s="3228" t="s">
        <v>3021</v>
      </c>
      <c r="Q41" s="3228" t="s">
        <v>3022</v>
      </c>
    </row>
    <row r="42" spans="1:17" ht="14.25" hidden="1" customHeight="1">
      <c r="A42" s="3871" t="s">
        <v>296</v>
      </c>
      <c r="B42" s="3872" t="s">
        <v>215</v>
      </c>
      <c r="C42" s="3871">
        <v>24800</v>
      </c>
      <c r="D42" s="3871">
        <v>22280</v>
      </c>
      <c r="E42" s="3871">
        <v>24350</v>
      </c>
      <c r="F42" s="3871"/>
      <c r="G42" s="3879">
        <v>15590</v>
      </c>
      <c r="N42" s="3228" t="s">
        <v>3023</v>
      </c>
      <c r="O42" s="3228" t="s">
        <v>3024</v>
      </c>
      <c r="P42" s="3228" t="s">
        <v>3025</v>
      </c>
      <c r="Q42" s="3228" t="s">
        <v>3026</v>
      </c>
    </row>
    <row r="43" spans="1:17" ht="14.25" hidden="1" customHeight="1">
      <c r="A43" s="3871" t="s">
        <v>3027</v>
      </c>
      <c r="B43" s="3872" t="s">
        <v>223</v>
      </c>
      <c r="C43" s="3871">
        <v>21210</v>
      </c>
      <c r="D43" s="3871">
        <v>21160</v>
      </c>
      <c r="E43" s="3871">
        <v>22650</v>
      </c>
      <c r="F43" s="3871"/>
      <c r="G43" s="3879">
        <v>14800</v>
      </c>
      <c r="N43" s="3228" t="s">
        <v>3028</v>
      </c>
      <c r="O43" s="3228" t="s">
        <v>3029</v>
      </c>
      <c r="P43" s="3228" t="s">
        <v>3030</v>
      </c>
      <c r="Q43" s="3228" t="s">
        <v>3031</v>
      </c>
    </row>
    <row r="44" spans="1:17" ht="14.25" hidden="1" customHeight="1" thickBot="1">
      <c r="A44" s="3871" t="s">
        <v>296</v>
      </c>
      <c r="B44" s="3872" t="s">
        <v>231</v>
      </c>
      <c r="C44" s="3871">
        <v>22370</v>
      </c>
      <c r="D44" s="3871">
        <v>23140</v>
      </c>
      <c r="E44" s="3871">
        <v>25090</v>
      </c>
      <c r="F44" s="3871"/>
      <c r="G44" s="3879">
        <v>16190</v>
      </c>
      <c r="N44" s="3228" t="s">
        <v>3032</v>
      </c>
      <c r="O44" s="3228" t="s">
        <v>3033</v>
      </c>
      <c r="P44" s="3233" t="s">
        <v>3034</v>
      </c>
      <c r="Q44" s="3228" t="s">
        <v>3035</v>
      </c>
    </row>
    <row r="45" spans="1:17" ht="14.25" hidden="1" customHeight="1" thickBot="1">
      <c r="A45" s="3871" t="s">
        <v>296</v>
      </c>
      <c r="B45" s="3872" t="s">
        <v>236</v>
      </c>
      <c r="C45" s="3871">
        <v>21240</v>
      </c>
      <c r="D45" s="3871">
        <v>27050</v>
      </c>
      <c r="E45" s="3871">
        <v>28000</v>
      </c>
      <c r="F45" s="3871"/>
      <c r="G45" s="3879">
        <v>18940</v>
      </c>
      <c r="N45" s="3228" t="s">
        <v>3036</v>
      </c>
      <c r="O45" s="3233" t="s">
        <v>3037</v>
      </c>
      <c r="Q45" s="3228" t="s">
        <v>3038</v>
      </c>
    </row>
    <row r="46" spans="1:17" ht="14.25" hidden="1" customHeight="1">
      <c r="A46" s="3871" t="s">
        <v>296</v>
      </c>
      <c r="B46" s="3872" t="s">
        <v>245</v>
      </c>
      <c r="C46" s="3871">
        <v>23240</v>
      </c>
      <c r="D46" s="3871">
        <v>23000</v>
      </c>
      <c r="E46" s="3871">
        <v>24980</v>
      </c>
      <c r="F46" s="3871"/>
      <c r="G46" s="3879">
        <v>16100</v>
      </c>
      <c r="N46" s="3228" t="s">
        <v>3039</v>
      </c>
      <c r="Q46" s="3228" t="s">
        <v>3040</v>
      </c>
    </row>
    <row r="47" spans="1:17" ht="14.25" hidden="1" customHeight="1">
      <c r="A47" s="3871" t="s">
        <v>296</v>
      </c>
      <c r="B47" s="3872" t="s">
        <v>252</v>
      </c>
      <c r="C47" s="3871">
        <v>27150</v>
      </c>
      <c r="D47" s="3871">
        <v>23310</v>
      </c>
      <c r="E47" s="3871">
        <v>25150</v>
      </c>
      <c r="F47" s="3871"/>
      <c r="G47" s="3879">
        <v>16310</v>
      </c>
      <c r="N47" s="3228" t="s">
        <v>3041</v>
      </c>
      <c r="Q47" s="3228" t="s">
        <v>3042</v>
      </c>
    </row>
    <row r="48" spans="1:17" ht="14.25" hidden="1" customHeight="1">
      <c r="A48" s="3871" t="s">
        <v>296</v>
      </c>
      <c r="B48" s="3872" t="s">
        <v>260</v>
      </c>
      <c r="C48" s="3871">
        <v>23100</v>
      </c>
      <c r="D48" s="3871">
        <v>21110</v>
      </c>
      <c r="E48" s="3871">
        <v>23080</v>
      </c>
      <c r="F48" s="3871"/>
      <c r="G48" s="3879">
        <v>14780</v>
      </c>
      <c r="N48" s="3228" t="s">
        <v>3043</v>
      </c>
      <c r="Q48" s="3228" t="s">
        <v>3044</v>
      </c>
    </row>
    <row r="49" spans="1:17" ht="14.25" hidden="1" customHeight="1">
      <c r="A49" s="3871" t="s">
        <v>296</v>
      </c>
      <c r="B49" s="3872" t="s">
        <v>267</v>
      </c>
      <c r="C49" s="3871">
        <v>23400</v>
      </c>
      <c r="D49" s="3871">
        <v>22920</v>
      </c>
      <c r="E49" s="3871">
        <v>24900</v>
      </c>
      <c r="F49" s="3871"/>
      <c r="G49" s="3879">
        <v>16040</v>
      </c>
      <c r="N49" s="3228" t="s">
        <v>3045</v>
      </c>
      <c r="Q49" s="3228" t="s">
        <v>3046</v>
      </c>
    </row>
    <row r="50" spans="1:17" ht="14.25" hidden="1" customHeight="1">
      <c r="A50" s="3871" t="s">
        <v>296</v>
      </c>
      <c r="B50" s="3872" t="s">
        <v>2923</v>
      </c>
      <c r="C50" s="3871">
        <v>21200</v>
      </c>
      <c r="D50" s="3871">
        <v>26540</v>
      </c>
      <c r="E50" s="3871">
        <v>23200</v>
      </c>
      <c r="F50" s="3871"/>
      <c r="G50" s="3879">
        <v>18580</v>
      </c>
      <c r="N50" s="3228" t="s">
        <v>3047</v>
      </c>
      <c r="Q50" s="3229" t="s">
        <v>3048</v>
      </c>
    </row>
    <row r="51" spans="1:17" ht="14.25" hidden="1" customHeight="1" thickBot="1">
      <c r="A51" s="3871" t="s">
        <v>296</v>
      </c>
      <c r="B51" s="3872" t="s">
        <v>2925</v>
      </c>
      <c r="C51" s="3871">
        <v>23000</v>
      </c>
      <c r="D51" s="3871">
        <v>23460</v>
      </c>
      <c r="E51" s="3871">
        <v>25290</v>
      </c>
      <c r="F51" s="3871"/>
      <c r="G51" s="3879">
        <v>16420</v>
      </c>
      <c r="N51" s="3228" t="s">
        <v>3049</v>
      </c>
      <c r="Q51" s="3233" t="s">
        <v>3050</v>
      </c>
    </row>
    <row r="52" spans="1:17" ht="14.25" hidden="1" customHeight="1">
      <c r="A52" s="3871" t="s">
        <v>296</v>
      </c>
      <c r="B52" s="3872" t="s">
        <v>2929</v>
      </c>
      <c r="C52" s="3871">
        <v>26660</v>
      </c>
      <c r="D52" s="3871">
        <v>22350</v>
      </c>
      <c r="E52" s="3871">
        <v>22920</v>
      </c>
      <c r="F52" s="3871"/>
      <c r="G52" s="3879">
        <v>15640</v>
      </c>
      <c r="N52" s="3228" t="s">
        <v>3051</v>
      </c>
    </row>
    <row r="53" spans="1:17" ht="14.25" hidden="1" customHeight="1">
      <c r="A53" s="3871" t="s">
        <v>296</v>
      </c>
      <c r="B53" s="3872" t="s">
        <v>2934</v>
      </c>
      <c r="C53" s="3871">
        <v>23580</v>
      </c>
      <c r="D53" s="3871"/>
      <c r="E53" s="3871">
        <v>24280</v>
      </c>
      <c r="F53" s="3871"/>
      <c r="G53" s="3879"/>
      <c r="N53" s="3228" t="s">
        <v>3052</v>
      </c>
    </row>
    <row r="54" spans="1:17" ht="14.25" hidden="1" customHeight="1" thickBot="1">
      <c r="A54" s="3880" t="s">
        <v>296</v>
      </c>
      <c r="B54" s="3874" t="s">
        <v>2937</v>
      </c>
      <c r="C54" s="3875">
        <v>22460</v>
      </c>
      <c r="D54" s="3875"/>
      <c r="E54" s="3875"/>
      <c r="F54" s="3875"/>
      <c r="G54" s="3881"/>
      <c r="N54" s="3228" t="s">
        <v>3053</v>
      </c>
    </row>
    <row r="55" spans="1:17" ht="14.25" hidden="1" customHeight="1">
      <c r="A55" s="3869" t="s">
        <v>110</v>
      </c>
      <c r="B55" s="3870" t="s">
        <v>3054</v>
      </c>
      <c r="C55" s="3871">
        <v>21970</v>
      </c>
      <c r="D55" s="3871">
        <v>20370</v>
      </c>
      <c r="E55" s="3871">
        <v>20180</v>
      </c>
      <c r="F55" s="3871">
        <v>5730</v>
      </c>
      <c r="G55" s="3871">
        <v>13820</v>
      </c>
      <c r="N55" s="3228" t="s">
        <v>3055</v>
      </c>
    </row>
    <row r="56" spans="1:17" ht="14.25" hidden="1" customHeight="1">
      <c r="A56" s="3871" t="s">
        <v>110</v>
      </c>
      <c r="B56" s="3871" t="s">
        <v>130</v>
      </c>
      <c r="C56" s="3871">
        <v>20470</v>
      </c>
      <c r="D56" s="3871">
        <v>20700</v>
      </c>
      <c r="E56" s="3871">
        <v>20380</v>
      </c>
      <c r="F56" s="3871">
        <v>4760</v>
      </c>
      <c r="G56" s="3871">
        <v>14050</v>
      </c>
      <c r="N56" s="3228" t="s">
        <v>3056</v>
      </c>
    </row>
    <row r="57" spans="1:17" ht="14.25" hidden="1" customHeight="1">
      <c r="A57" s="3871" t="s">
        <v>110</v>
      </c>
      <c r="B57" s="3871" t="s">
        <v>139</v>
      </c>
      <c r="C57" s="3871">
        <v>20790</v>
      </c>
      <c r="D57" s="3871">
        <v>21370</v>
      </c>
      <c r="E57" s="3871">
        <v>20890</v>
      </c>
      <c r="F57" s="3871">
        <v>4910</v>
      </c>
      <c r="G57" s="3871">
        <v>14510</v>
      </c>
      <c r="N57" s="3228" t="s">
        <v>3057</v>
      </c>
    </row>
    <row r="58" spans="1:17" ht="14.25" hidden="1" customHeight="1">
      <c r="A58" s="3871" t="s">
        <v>110</v>
      </c>
      <c r="B58" s="3871" t="s">
        <v>148</v>
      </c>
      <c r="C58" s="3871">
        <v>21460</v>
      </c>
      <c r="D58" s="3871">
        <v>20920</v>
      </c>
      <c r="E58" s="3871">
        <v>23410</v>
      </c>
      <c r="F58" s="3871">
        <v>5100</v>
      </c>
      <c r="G58" s="3871">
        <v>14200</v>
      </c>
      <c r="N58" s="3228" t="s">
        <v>3058</v>
      </c>
    </row>
    <row r="59" spans="1:17" ht="14.25" hidden="1" customHeight="1">
      <c r="A59" s="3871" t="s">
        <v>110</v>
      </c>
      <c r="B59" s="3871" t="s">
        <v>157</v>
      </c>
      <c r="C59" s="3871">
        <v>21000</v>
      </c>
      <c r="D59" s="3871">
        <v>21550</v>
      </c>
      <c r="E59" s="3871">
        <v>21150</v>
      </c>
      <c r="F59" s="3871">
        <v>5250</v>
      </c>
      <c r="G59" s="3871">
        <v>14630</v>
      </c>
      <c r="N59" s="3228" t="s">
        <v>3059</v>
      </c>
    </row>
    <row r="60" spans="1:17" ht="14.25" hidden="1" customHeight="1">
      <c r="A60" s="3871" t="s">
        <v>110</v>
      </c>
      <c r="B60" s="3871" t="s">
        <v>164</v>
      </c>
      <c r="C60" s="3871">
        <v>21640</v>
      </c>
      <c r="D60" s="3871">
        <v>21260</v>
      </c>
      <c r="E60" s="3871">
        <v>24040</v>
      </c>
      <c r="F60" s="3871">
        <v>4470</v>
      </c>
      <c r="G60" s="3871">
        <v>14430</v>
      </c>
      <c r="N60" s="3228" t="s">
        <v>3060</v>
      </c>
    </row>
    <row r="61" spans="1:17" ht="14.25" hidden="1" customHeight="1">
      <c r="A61" s="3871" t="s">
        <v>110</v>
      </c>
      <c r="B61" s="3871" t="s">
        <v>170</v>
      </c>
      <c r="C61" s="3871">
        <v>21330</v>
      </c>
      <c r="D61" s="3871">
        <v>18640</v>
      </c>
      <c r="E61" s="3871">
        <v>21190</v>
      </c>
      <c r="F61" s="3871">
        <v>4180</v>
      </c>
      <c r="G61" s="3871">
        <v>12650</v>
      </c>
      <c r="N61" s="3228" t="s">
        <v>3061</v>
      </c>
    </row>
    <row r="62" spans="1:17" ht="14.25" hidden="1" customHeight="1">
      <c r="A62" s="3871" t="s">
        <v>110</v>
      </c>
      <c r="B62" s="3871" t="s">
        <v>177</v>
      </c>
      <c r="C62" s="3871">
        <v>18710</v>
      </c>
      <c r="D62" s="3871">
        <v>19400</v>
      </c>
      <c r="E62" s="3871">
        <v>23750</v>
      </c>
      <c r="F62" s="3871">
        <v>4860</v>
      </c>
      <c r="G62" s="3871">
        <v>13170</v>
      </c>
      <c r="N62" s="3228" t="s">
        <v>3062</v>
      </c>
    </row>
    <row r="63" spans="1:17" ht="14.25" hidden="1" customHeight="1">
      <c r="A63" s="3871" t="s">
        <v>110</v>
      </c>
      <c r="B63" s="3871" t="s">
        <v>187</v>
      </c>
      <c r="C63" s="3871">
        <v>19480</v>
      </c>
      <c r="D63" s="3871">
        <v>16830</v>
      </c>
      <c r="E63" s="3871">
        <v>21590</v>
      </c>
      <c r="F63" s="3871">
        <v>4560</v>
      </c>
      <c r="G63" s="3871">
        <v>11420</v>
      </c>
      <c r="N63" s="3228" t="s">
        <v>3063</v>
      </c>
    </row>
    <row r="64" spans="1:17" ht="14.25" hidden="1" customHeight="1" thickBot="1">
      <c r="A64" s="3871" t="s">
        <v>110</v>
      </c>
      <c r="B64" s="3871" t="s">
        <v>196</v>
      </c>
      <c r="C64" s="3871">
        <v>16920</v>
      </c>
      <c r="D64" s="3871">
        <v>19190</v>
      </c>
      <c r="E64" s="3871">
        <v>22200</v>
      </c>
      <c r="F64" s="3871">
        <v>4390</v>
      </c>
      <c r="G64" s="3871">
        <v>13030</v>
      </c>
      <c r="N64" s="3233" t="s">
        <v>3064</v>
      </c>
    </row>
    <row r="65" spans="1:7" s="3219" customFormat="1" ht="14.25" hidden="1" customHeight="1">
      <c r="A65" s="3871" t="s">
        <v>110</v>
      </c>
      <c r="B65" s="3871" t="s">
        <v>203</v>
      </c>
      <c r="C65" s="3871">
        <v>19290</v>
      </c>
      <c r="D65" s="3871">
        <v>17020</v>
      </c>
      <c r="E65" s="3871">
        <v>19880</v>
      </c>
      <c r="F65" s="3871">
        <v>4070</v>
      </c>
      <c r="G65" s="3871">
        <v>11550</v>
      </c>
    </row>
    <row r="66" spans="1:7" s="3219" customFormat="1" ht="14.25" hidden="1" customHeight="1">
      <c r="A66" s="3871" t="s">
        <v>110</v>
      </c>
      <c r="B66" s="3871" t="s">
        <v>210</v>
      </c>
      <c r="C66" s="3871">
        <v>17090</v>
      </c>
      <c r="D66" s="3871">
        <v>18340</v>
      </c>
      <c r="E66" s="3871">
        <v>21830</v>
      </c>
      <c r="F66" s="3871">
        <v>4690</v>
      </c>
      <c r="G66" s="3871">
        <v>12450</v>
      </c>
    </row>
    <row r="67" spans="1:7" s="3219" customFormat="1" ht="14.25" hidden="1" customHeight="1">
      <c r="A67" s="3871" t="s">
        <v>110</v>
      </c>
      <c r="B67" s="3871" t="s">
        <v>216</v>
      </c>
      <c r="C67" s="3871">
        <v>18420</v>
      </c>
      <c r="D67" s="3871">
        <v>16360</v>
      </c>
      <c r="E67" s="3871">
        <v>20020</v>
      </c>
      <c r="F67" s="3871">
        <v>5150</v>
      </c>
      <c r="G67" s="3871">
        <v>11110</v>
      </c>
    </row>
    <row r="68" spans="1:7" s="3219" customFormat="1" ht="14.25" hidden="1" customHeight="1">
      <c r="A68" s="3871" t="s">
        <v>110</v>
      </c>
      <c r="B68" s="3871" t="s">
        <v>224</v>
      </c>
      <c r="C68" s="3871">
        <v>16450</v>
      </c>
      <c r="D68" s="3871">
        <v>18430</v>
      </c>
      <c r="E68" s="3871">
        <v>21010</v>
      </c>
      <c r="F68" s="3871">
        <v>4720</v>
      </c>
      <c r="G68" s="3871">
        <v>12510</v>
      </c>
    </row>
    <row r="69" spans="1:7" s="3219" customFormat="1" ht="14.25" hidden="1" customHeight="1">
      <c r="A69" s="3871" t="s">
        <v>110</v>
      </c>
      <c r="B69" s="3871" t="s">
        <v>232</v>
      </c>
      <c r="C69" s="3871">
        <v>18510</v>
      </c>
      <c r="D69" s="3871">
        <v>16300</v>
      </c>
      <c r="E69" s="3871">
        <v>18830</v>
      </c>
      <c r="F69" s="3871">
        <v>5400</v>
      </c>
      <c r="G69" s="3871">
        <v>11070</v>
      </c>
    </row>
    <row r="70" spans="1:7" s="3219" customFormat="1" ht="14.25" hidden="1" customHeight="1">
      <c r="A70" s="3871" t="s">
        <v>110</v>
      </c>
      <c r="B70" s="3871" t="s">
        <v>237</v>
      </c>
      <c r="C70" s="3871">
        <v>16370</v>
      </c>
      <c r="D70" s="3871">
        <v>18620</v>
      </c>
      <c r="E70" s="3871">
        <v>21100</v>
      </c>
      <c r="F70" s="3871">
        <v>5700</v>
      </c>
      <c r="G70" s="3871">
        <v>12640</v>
      </c>
    </row>
    <row r="71" spans="1:7" s="3219" customFormat="1" ht="14.25" hidden="1" customHeight="1">
      <c r="A71" s="3871" t="s">
        <v>110</v>
      </c>
      <c r="B71" s="3871" t="s">
        <v>246</v>
      </c>
      <c r="C71" s="3871">
        <v>18700</v>
      </c>
      <c r="D71" s="3871">
        <v>16290</v>
      </c>
      <c r="E71" s="3871">
        <v>18760</v>
      </c>
      <c r="F71" s="3871">
        <v>4780</v>
      </c>
      <c r="G71" s="3871">
        <v>11050</v>
      </c>
    </row>
    <row r="72" spans="1:7" s="3219" customFormat="1" ht="14.25" hidden="1" customHeight="1">
      <c r="A72" s="3871" t="s">
        <v>110</v>
      </c>
      <c r="B72" s="3871" t="s">
        <v>253</v>
      </c>
      <c r="C72" s="3871">
        <v>16340</v>
      </c>
      <c r="D72" s="3871">
        <v>17520</v>
      </c>
      <c r="E72" s="3871">
        <v>21170</v>
      </c>
      <c r="F72" s="3871"/>
      <c r="G72" s="3871">
        <v>11900</v>
      </c>
    </row>
    <row r="73" spans="1:7" s="3219" customFormat="1" ht="14.25" hidden="1" customHeight="1">
      <c r="A73" s="3871" t="s">
        <v>110</v>
      </c>
      <c r="B73" s="3871" t="s">
        <v>261</v>
      </c>
      <c r="C73" s="3871">
        <v>17610</v>
      </c>
      <c r="D73" s="3871">
        <v>18520</v>
      </c>
      <c r="E73" s="3871">
        <v>18720</v>
      </c>
      <c r="F73" s="3871"/>
      <c r="G73" s="3871">
        <v>12570</v>
      </c>
    </row>
    <row r="74" spans="1:7" s="3219" customFormat="1" ht="14.25" hidden="1" customHeight="1">
      <c r="A74" s="3871" t="s">
        <v>110</v>
      </c>
      <c r="B74" s="3871" t="s">
        <v>268</v>
      </c>
      <c r="C74" s="3871">
        <v>18600</v>
      </c>
      <c r="D74" s="3871">
        <v>16480</v>
      </c>
      <c r="E74" s="3871">
        <v>20100</v>
      </c>
      <c r="F74" s="3871"/>
      <c r="G74" s="3871">
        <v>11190</v>
      </c>
    </row>
    <row r="75" spans="1:7" s="3219" customFormat="1" ht="14.25" hidden="1" customHeight="1">
      <c r="A75" s="3871" t="s">
        <v>110</v>
      </c>
      <c r="B75" s="3871" t="s">
        <v>272</v>
      </c>
      <c r="C75" s="3871">
        <v>16570</v>
      </c>
      <c r="D75" s="3871">
        <v>17530</v>
      </c>
      <c r="E75" s="3871">
        <v>21030</v>
      </c>
      <c r="F75" s="3871"/>
      <c r="G75" s="3871">
        <v>11900</v>
      </c>
    </row>
    <row r="76" spans="1:7" s="3219" customFormat="1" ht="14.25" hidden="1" customHeight="1">
      <c r="A76" s="3871" t="s">
        <v>110</v>
      </c>
      <c r="B76" s="3871" t="s">
        <v>278</v>
      </c>
      <c r="C76" s="3871">
        <v>17610</v>
      </c>
      <c r="D76" s="3871">
        <v>20800</v>
      </c>
      <c r="E76" s="3871">
        <v>18920</v>
      </c>
      <c r="F76" s="3871"/>
      <c r="G76" s="3871">
        <v>14120</v>
      </c>
    </row>
    <row r="77" spans="1:7" s="3219" customFormat="1" ht="14.25" hidden="1" customHeight="1">
      <c r="A77" s="3871" t="s">
        <v>110</v>
      </c>
      <c r="B77" s="3871" t="s">
        <v>281</v>
      </c>
      <c r="C77" s="3871">
        <v>20890</v>
      </c>
      <c r="D77" s="3871">
        <v>19740</v>
      </c>
      <c r="E77" s="3871">
        <v>20110</v>
      </c>
      <c r="F77" s="3871"/>
      <c r="G77" s="3871">
        <v>13400</v>
      </c>
    </row>
    <row r="78" spans="1:7" s="3219" customFormat="1" ht="14.25" hidden="1" customHeight="1">
      <c r="A78" s="3871" t="s">
        <v>110</v>
      </c>
      <c r="B78" s="3871" t="s">
        <v>2935</v>
      </c>
      <c r="C78" s="3871">
        <v>19820</v>
      </c>
      <c r="D78" s="3871">
        <v>19780</v>
      </c>
      <c r="E78" s="3871">
        <v>18560</v>
      </c>
      <c r="F78" s="3871"/>
      <c r="G78" s="3871">
        <v>13430</v>
      </c>
    </row>
    <row r="79" spans="1:7" s="3219" customFormat="1" ht="14.25" hidden="1" customHeight="1">
      <c r="A79" s="3871" t="s">
        <v>110</v>
      </c>
      <c r="B79" s="3871" t="s">
        <v>2938</v>
      </c>
      <c r="C79" s="3871">
        <v>21660</v>
      </c>
      <c r="D79" s="3871">
        <v>18000</v>
      </c>
      <c r="E79" s="3871">
        <v>22570</v>
      </c>
      <c r="F79" s="3871"/>
      <c r="G79" s="3871">
        <v>12220</v>
      </c>
    </row>
    <row r="80" spans="1:7" s="3219" customFormat="1" ht="14.25" hidden="1" customHeight="1">
      <c r="A80" s="3871" t="s">
        <v>110</v>
      </c>
      <c r="B80" s="3871" t="s">
        <v>2942</v>
      </c>
      <c r="C80" s="3871">
        <v>19850</v>
      </c>
      <c r="D80" s="3871"/>
      <c r="E80" s="3871">
        <v>21700</v>
      </c>
      <c r="F80" s="3871"/>
      <c r="G80" s="3871"/>
    </row>
    <row r="81" spans="1:7" s="3219" customFormat="1" ht="14.25" hidden="1" customHeight="1">
      <c r="A81" s="3871" t="s">
        <v>110</v>
      </c>
      <c r="B81" s="3871" t="s">
        <v>2947</v>
      </c>
      <c r="C81" s="3871">
        <v>18080</v>
      </c>
      <c r="D81" s="3871"/>
      <c r="E81" s="3871">
        <v>20900</v>
      </c>
      <c r="F81" s="3871"/>
      <c r="G81" s="3871"/>
    </row>
    <row r="82" spans="1:7" s="3219" customFormat="1" ht="14.25" hidden="1" customHeight="1">
      <c r="A82" s="3871" t="s">
        <v>110</v>
      </c>
      <c r="B82" s="3871" t="s">
        <v>2954</v>
      </c>
      <c r="C82" s="3871"/>
      <c r="D82" s="3871"/>
      <c r="E82" s="3871">
        <v>20840</v>
      </c>
      <c r="F82" s="3871"/>
      <c r="G82" s="3871"/>
    </row>
    <row r="83" spans="1:7" s="3219" customFormat="1" ht="14.25" hidden="1" customHeight="1">
      <c r="A83" s="3871" t="s">
        <v>110</v>
      </c>
      <c r="B83" s="3871" t="s">
        <v>3065</v>
      </c>
      <c r="C83" s="3871"/>
      <c r="D83" s="3871"/>
      <c r="E83" s="3871"/>
      <c r="F83" s="3871">
        <v>4770</v>
      </c>
      <c r="G83" s="3871"/>
    </row>
    <row r="84" spans="1:7" s="3219" customFormat="1" ht="14.25" hidden="1" customHeight="1">
      <c r="A84" s="3871" t="s">
        <v>110</v>
      </c>
      <c r="B84" s="3871" t="s">
        <v>3066</v>
      </c>
      <c r="C84" s="3871"/>
      <c r="D84" s="3871"/>
      <c r="E84" s="3871"/>
      <c r="F84" s="3871">
        <v>4600</v>
      </c>
      <c r="G84" s="3871"/>
    </row>
    <row r="85" spans="1:7" s="3219" customFormat="1" ht="14.25" hidden="1" customHeight="1">
      <c r="A85" s="3871" t="s">
        <v>110</v>
      </c>
      <c r="B85" s="3871" t="s">
        <v>3067</v>
      </c>
      <c r="C85" s="3871"/>
      <c r="D85" s="3871"/>
      <c r="E85" s="3871"/>
      <c r="F85" s="3871">
        <v>4680</v>
      </c>
      <c r="G85" s="3871"/>
    </row>
    <row r="86" spans="1:7" s="3219" customFormat="1" ht="14.25" hidden="1" customHeight="1" thickBot="1">
      <c r="A86" s="3873" t="s">
        <v>110</v>
      </c>
      <c r="B86" s="3876" t="s">
        <v>3068</v>
      </c>
      <c r="C86" s="3877">
        <v>16610</v>
      </c>
      <c r="D86" s="3877">
        <v>16540</v>
      </c>
      <c r="E86" s="3877">
        <v>18850</v>
      </c>
      <c r="F86" s="3877"/>
      <c r="G86" s="3877">
        <v>11220</v>
      </c>
    </row>
    <row r="87" spans="1:7" s="3219" customFormat="1" ht="14.25" hidden="1" customHeight="1">
      <c r="A87" s="3869" t="s">
        <v>303</v>
      </c>
      <c r="B87" s="3870" t="s">
        <v>3069</v>
      </c>
      <c r="C87" s="3870">
        <v>15240</v>
      </c>
      <c r="D87" s="3870">
        <v>15170</v>
      </c>
      <c r="E87" s="3870">
        <v>18260</v>
      </c>
      <c r="F87" s="3870">
        <v>3830</v>
      </c>
      <c r="G87" s="3878">
        <v>10020</v>
      </c>
    </row>
    <row r="88" spans="1:7" s="3219" customFormat="1" ht="14.25" hidden="1" customHeight="1">
      <c r="A88" s="3871" t="s">
        <v>303</v>
      </c>
      <c r="B88" s="3871" t="s">
        <v>131</v>
      </c>
      <c r="C88" s="3871">
        <v>17310</v>
      </c>
      <c r="D88" s="3871">
        <v>17220</v>
      </c>
      <c r="E88" s="3871">
        <v>18610</v>
      </c>
      <c r="F88" s="3871">
        <v>3990</v>
      </c>
      <c r="G88" s="3879">
        <v>11380</v>
      </c>
    </row>
    <row r="89" spans="1:7" s="3219" customFormat="1" ht="14.25" hidden="1" customHeight="1">
      <c r="A89" s="3871" t="s">
        <v>303</v>
      </c>
      <c r="B89" s="3871" t="s">
        <v>140</v>
      </c>
      <c r="C89" s="3871">
        <v>15600</v>
      </c>
      <c r="D89" s="3871">
        <v>15550</v>
      </c>
      <c r="E89" s="3871">
        <v>19200</v>
      </c>
      <c r="F89" s="3871">
        <v>4110</v>
      </c>
      <c r="G89" s="3879">
        <v>10270</v>
      </c>
    </row>
    <row r="90" spans="1:7" s="3219" customFormat="1" ht="14.25" hidden="1" customHeight="1">
      <c r="A90" s="3871" t="s">
        <v>303</v>
      </c>
      <c r="B90" s="3871" t="s">
        <v>149</v>
      </c>
      <c r="C90" s="3871">
        <v>17330</v>
      </c>
      <c r="D90" s="3871">
        <v>17240</v>
      </c>
      <c r="E90" s="3871">
        <v>18570</v>
      </c>
      <c r="F90" s="3871">
        <v>4070</v>
      </c>
      <c r="G90" s="3879">
        <v>11390</v>
      </c>
    </row>
    <row r="91" spans="1:7" s="3219" customFormat="1" ht="14.25" hidden="1" customHeight="1">
      <c r="A91" s="3871" t="s">
        <v>303</v>
      </c>
      <c r="B91" s="3871" t="s">
        <v>158</v>
      </c>
      <c r="C91" s="3871">
        <v>16330</v>
      </c>
      <c r="D91" s="3871">
        <v>16260</v>
      </c>
      <c r="E91" s="3871">
        <v>16800</v>
      </c>
      <c r="F91" s="3871">
        <v>3410</v>
      </c>
      <c r="G91" s="3879">
        <v>10740</v>
      </c>
    </row>
    <row r="92" spans="1:7" s="3219" customFormat="1" ht="14.25" hidden="1" customHeight="1">
      <c r="A92" s="3871" t="s">
        <v>303</v>
      </c>
      <c r="B92" s="3871" t="s">
        <v>165</v>
      </c>
      <c r="C92" s="3871">
        <v>15570</v>
      </c>
      <c r="D92" s="3871">
        <v>15500</v>
      </c>
      <c r="E92" s="3871">
        <v>17360</v>
      </c>
      <c r="F92" s="3871">
        <v>3510</v>
      </c>
      <c r="G92" s="3879">
        <v>10240</v>
      </c>
    </row>
    <row r="93" spans="1:7" s="3219" customFormat="1" ht="14.25" hidden="1" customHeight="1">
      <c r="A93" s="3871" t="s">
        <v>303</v>
      </c>
      <c r="B93" s="3871" t="s">
        <v>171</v>
      </c>
      <c r="C93" s="3871">
        <v>14000</v>
      </c>
      <c r="D93" s="3871">
        <v>13930</v>
      </c>
      <c r="E93" s="3871">
        <v>18200</v>
      </c>
      <c r="F93" s="3871">
        <v>3640</v>
      </c>
      <c r="G93" s="3879">
        <v>9210</v>
      </c>
    </row>
    <row r="94" spans="1:7" s="3219" customFormat="1" ht="14.25" hidden="1" customHeight="1">
      <c r="A94" s="3871" t="s">
        <v>303</v>
      </c>
      <c r="B94" s="3871" t="s">
        <v>178</v>
      </c>
      <c r="C94" s="3871">
        <v>14530</v>
      </c>
      <c r="D94" s="3871">
        <v>14470</v>
      </c>
      <c r="E94" s="3871">
        <v>18240</v>
      </c>
      <c r="F94" s="3871">
        <v>3180</v>
      </c>
      <c r="G94" s="3879">
        <v>9560</v>
      </c>
    </row>
    <row r="95" spans="1:7" s="3219" customFormat="1" ht="14.25" hidden="1" customHeight="1">
      <c r="A95" s="3871" t="s">
        <v>303</v>
      </c>
      <c r="B95" s="3871" t="s">
        <v>188</v>
      </c>
      <c r="C95" s="3871">
        <v>17330</v>
      </c>
      <c r="D95" s="3871">
        <v>17260</v>
      </c>
      <c r="E95" s="3871">
        <v>18420</v>
      </c>
      <c r="F95" s="3871">
        <v>3060</v>
      </c>
      <c r="G95" s="3879">
        <v>11410</v>
      </c>
    </row>
    <row r="96" spans="1:7" s="3219" customFormat="1" ht="14.25" hidden="1" customHeight="1">
      <c r="A96" s="3871" t="s">
        <v>303</v>
      </c>
      <c r="B96" s="3871" t="s">
        <v>197</v>
      </c>
      <c r="C96" s="3871">
        <v>15030</v>
      </c>
      <c r="D96" s="3871">
        <v>14970</v>
      </c>
      <c r="E96" s="3871">
        <v>17580</v>
      </c>
      <c r="F96" s="3871">
        <v>2970</v>
      </c>
      <c r="G96" s="3879">
        <v>9890</v>
      </c>
    </row>
    <row r="97" spans="1:7" s="3219" customFormat="1" ht="14.25" hidden="1" customHeight="1">
      <c r="A97" s="3871" t="s">
        <v>303</v>
      </c>
      <c r="B97" s="3871" t="s">
        <v>204</v>
      </c>
      <c r="C97" s="3871">
        <v>17400</v>
      </c>
      <c r="D97" s="3871">
        <v>17330</v>
      </c>
      <c r="E97" s="3871">
        <v>16430</v>
      </c>
      <c r="F97" s="3871">
        <v>2950</v>
      </c>
      <c r="G97" s="3879">
        <v>11450</v>
      </c>
    </row>
    <row r="98" spans="1:7" s="3219" customFormat="1" ht="14.25" hidden="1" customHeight="1">
      <c r="A98" s="3871" t="s">
        <v>303</v>
      </c>
      <c r="B98" s="3871" t="s">
        <v>211</v>
      </c>
      <c r="C98" s="3871">
        <v>15200</v>
      </c>
      <c r="D98" s="3871">
        <v>15120</v>
      </c>
      <c r="E98" s="3871">
        <v>17550</v>
      </c>
      <c r="F98" s="3871">
        <v>3080</v>
      </c>
      <c r="G98" s="3879">
        <v>9990</v>
      </c>
    </row>
    <row r="99" spans="1:7" s="3219" customFormat="1" ht="14.25" hidden="1" customHeight="1">
      <c r="A99" s="3871" t="s">
        <v>303</v>
      </c>
      <c r="B99" s="3871" t="s">
        <v>217</v>
      </c>
      <c r="C99" s="3871">
        <v>17520</v>
      </c>
      <c r="D99" s="3871">
        <v>17430</v>
      </c>
      <c r="E99" s="3871">
        <v>16350</v>
      </c>
      <c r="F99" s="3871">
        <v>3260</v>
      </c>
      <c r="G99" s="3879">
        <v>11510</v>
      </c>
    </row>
    <row r="100" spans="1:7" s="3219" customFormat="1" ht="14.25" hidden="1" customHeight="1">
      <c r="A100" s="3871" t="s">
        <v>303</v>
      </c>
      <c r="B100" s="3871" t="s">
        <v>225</v>
      </c>
      <c r="C100" s="3871">
        <v>15340</v>
      </c>
      <c r="D100" s="3871">
        <v>15260</v>
      </c>
      <c r="E100" s="3871">
        <v>15930</v>
      </c>
      <c r="F100" s="3871">
        <v>2740</v>
      </c>
      <c r="G100" s="3879">
        <v>10080</v>
      </c>
    </row>
    <row r="101" spans="1:7" s="3219" customFormat="1" ht="14.25" hidden="1" customHeight="1">
      <c r="A101" s="3871" t="s">
        <v>303</v>
      </c>
      <c r="B101" s="3871" t="s">
        <v>233</v>
      </c>
      <c r="C101" s="3871">
        <v>14620</v>
      </c>
      <c r="D101" s="3871">
        <v>14560</v>
      </c>
      <c r="E101" s="3871">
        <v>15570</v>
      </c>
      <c r="F101" s="3871">
        <v>3500</v>
      </c>
      <c r="G101" s="3879">
        <v>9630</v>
      </c>
    </row>
    <row r="102" spans="1:7" s="3219" customFormat="1" ht="14.25" hidden="1" customHeight="1">
      <c r="A102" s="3871" t="s">
        <v>303</v>
      </c>
      <c r="B102" s="3871" t="s">
        <v>238</v>
      </c>
      <c r="C102" s="3871">
        <v>13680</v>
      </c>
      <c r="D102" s="3871">
        <v>13610</v>
      </c>
      <c r="E102" s="3871">
        <v>15690</v>
      </c>
      <c r="F102" s="3871">
        <v>2870</v>
      </c>
      <c r="G102" s="3879">
        <v>8990</v>
      </c>
    </row>
    <row r="103" spans="1:7" s="3219" customFormat="1" ht="14.25" hidden="1" customHeight="1">
      <c r="A103" s="3871" t="s">
        <v>303</v>
      </c>
      <c r="B103" s="3871" t="s">
        <v>247</v>
      </c>
      <c r="C103" s="3871">
        <v>14620</v>
      </c>
      <c r="D103" s="3871">
        <v>14540</v>
      </c>
      <c r="E103" s="3871">
        <v>15240</v>
      </c>
      <c r="F103" s="3871">
        <v>2840</v>
      </c>
      <c r="G103" s="3879">
        <v>9610</v>
      </c>
    </row>
    <row r="104" spans="1:7" s="3219" customFormat="1" ht="14.25" hidden="1" customHeight="1">
      <c r="A104" s="3871" t="s">
        <v>303</v>
      </c>
      <c r="B104" s="3871" t="s">
        <v>254</v>
      </c>
      <c r="C104" s="3871">
        <v>13610</v>
      </c>
      <c r="D104" s="3871">
        <v>13540</v>
      </c>
      <c r="E104" s="3871">
        <v>15750</v>
      </c>
      <c r="F104" s="3871">
        <v>2770</v>
      </c>
      <c r="G104" s="3879">
        <v>8940</v>
      </c>
    </row>
    <row r="105" spans="1:7" s="3219" customFormat="1" ht="14.25" hidden="1" customHeight="1">
      <c r="A105" s="3871" t="s">
        <v>303</v>
      </c>
      <c r="B105" s="3871" t="s">
        <v>262</v>
      </c>
      <c r="C105" s="3871">
        <v>13310</v>
      </c>
      <c r="D105" s="3871">
        <v>13240</v>
      </c>
      <c r="E105" s="3871">
        <v>16280</v>
      </c>
      <c r="F105" s="3871">
        <v>3210</v>
      </c>
      <c r="G105" s="3879">
        <v>8750</v>
      </c>
    </row>
    <row r="106" spans="1:7" s="3219" customFormat="1" ht="14.25" hidden="1" customHeight="1">
      <c r="A106" s="3871" t="s">
        <v>303</v>
      </c>
      <c r="B106" s="3871" t="s">
        <v>269</v>
      </c>
      <c r="C106" s="3871">
        <v>13010</v>
      </c>
      <c r="D106" s="3871">
        <v>12930</v>
      </c>
      <c r="E106" s="3871">
        <v>14960</v>
      </c>
      <c r="F106" s="3871">
        <v>3530</v>
      </c>
      <c r="G106" s="3879">
        <v>8550</v>
      </c>
    </row>
    <row r="107" spans="1:7" s="3219" customFormat="1" ht="14.25" hidden="1" customHeight="1">
      <c r="A107" s="3871" t="s">
        <v>303</v>
      </c>
      <c r="B107" s="3871" t="s">
        <v>273</v>
      </c>
      <c r="C107" s="3871">
        <v>13070</v>
      </c>
      <c r="D107" s="3871">
        <v>13000</v>
      </c>
      <c r="E107" s="3871">
        <v>15910</v>
      </c>
      <c r="F107" s="3871">
        <v>3990</v>
      </c>
      <c r="G107" s="3879">
        <v>8580</v>
      </c>
    </row>
    <row r="108" spans="1:7" s="3219" customFormat="1" ht="14.25" hidden="1" customHeight="1">
      <c r="A108" s="3871" t="s">
        <v>303</v>
      </c>
      <c r="B108" s="3871" t="s">
        <v>279</v>
      </c>
      <c r="C108" s="3871">
        <v>12640</v>
      </c>
      <c r="D108" s="3871">
        <v>12580</v>
      </c>
      <c r="E108" s="3871">
        <v>15730</v>
      </c>
      <c r="F108" s="3871"/>
      <c r="G108" s="3879">
        <v>8310</v>
      </c>
    </row>
    <row r="109" spans="1:7" s="3219" customFormat="1" ht="14.25" hidden="1" customHeight="1">
      <c r="A109" s="3871" t="s">
        <v>303</v>
      </c>
      <c r="B109" s="3871" t="s">
        <v>282</v>
      </c>
      <c r="C109" s="3871">
        <v>13130</v>
      </c>
      <c r="D109" s="3871">
        <v>13070</v>
      </c>
      <c r="E109" s="3871">
        <v>15000</v>
      </c>
      <c r="F109" s="3871"/>
      <c r="G109" s="3879">
        <v>8630</v>
      </c>
    </row>
    <row r="110" spans="1:7" s="3219" customFormat="1" ht="14.25" hidden="1" customHeight="1">
      <c r="A110" s="3871" t="s">
        <v>303</v>
      </c>
      <c r="B110" s="3871" t="s">
        <v>284</v>
      </c>
      <c r="C110" s="3871">
        <v>13560</v>
      </c>
      <c r="D110" s="3871">
        <v>13490</v>
      </c>
      <c r="E110" s="3871">
        <v>16300</v>
      </c>
      <c r="F110" s="3871"/>
      <c r="G110" s="3879">
        <v>8920</v>
      </c>
    </row>
    <row r="111" spans="1:7" s="3219" customFormat="1" ht="14.25" hidden="1" customHeight="1">
      <c r="A111" s="3871" t="s">
        <v>303</v>
      </c>
      <c r="B111" s="3871" t="s">
        <v>287</v>
      </c>
      <c r="C111" s="3871">
        <v>12440</v>
      </c>
      <c r="D111" s="3871">
        <v>12380</v>
      </c>
      <c r="E111" s="3871">
        <v>17850</v>
      </c>
      <c r="F111" s="3871"/>
      <c r="G111" s="3879">
        <v>8180</v>
      </c>
    </row>
    <row r="112" spans="1:7" s="3219" customFormat="1" ht="14.25" hidden="1" customHeight="1">
      <c r="A112" s="3871" t="s">
        <v>303</v>
      </c>
      <c r="B112" s="3871" t="s">
        <v>291</v>
      </c>
      <c r="C112" s="3871">
        <v>13260</v>
      </c>
      <c r="D112" s="3871">
        <v>13180</v>
      </c>
      <c r="E112" s="3871">
        <v>19740</v>
      </c>
      <c r="F112" s="3871"/>
      <c r="G112" s="3879">
        <v>8710</v>
      </c>
    </row>
    <row r="113" spans="1:7" s="3219" customFormat="1" ht="14.25" hidden="1" customHeight="1">
      <c r="A113" s="3871" t="s">
        <v>303</v>
      </c>
      <c r="B113" s="3871" t="s">
        <v>2948</v>
      </c>
      <c r="C113" s="3871">
        <v>15520</v>
      </c>
      <c r="D113" s="3871">
        <v>15450</v>
      </c>
      <c r="E113" s="3871"/>
      <c r="F113" s="3871"/>
      <c r="G113" s="3879">
        <v>10210</v>
      </c>
    </row>
    <row r="114" spans="1:7" s="3219" customFormat="1" ht="14.25" hidden="1" customHeight="1">
      <c r="A114" s="3871" t="s">
        <v>303</v>
      </c>
      <c r="B114" s="3871" t="s">
        <v>2955</v>
      </c>
      <c r="C114" s="3871">
        <v>13110</v>
      </c>
      <c r="D114" s="3871">
        <v>13050</v>
      </c>
      <c r="E114" s="3871"/>
      <c r="F114" s="3871"/>
      <c r="G114" s="3879">
        <v>8620</v>
      </c>
    </row>
    <row r="115" spans="1:7" s="3219" customFormat="1" ht="14.25" hidden="1" customHeight="1">
      <c r="A115" s="3871" t="s">
        <v>303</v>
      </c>
      <c r="B115" s="3871" t="s">
        <v>2961</v>
      </c>
      <c r="C115" s="3871">
        <v>12460</v>
      </c>
      <c r="D115" s="3871">
        <v>12390</v>
      </c>
      <c r="E115" s="3871"/>
      <c r="F115" s="3871"/>
      <c r="G115" s="3879">
        <v>8190</v>
      </c>
    </row>
    <row r="116" spans="1:7" s="3219" customFormat="1" ht="14.25" hidden="1" customHeight="1">
      <c r="A116" s="3871" t="s">
        <v>303</v>
      </c>
      <c r="B116" s="3871" t="s">
        <v>2968</v>
      </c>
      <c r="C116" s="3871">
        <v>13580</v>
      </c>
      <c r="D116" s="3871">
        <v>13520</v>
      </c>
      <c r="E116" s="3871"/>
      <c r="F116" s="3871"/>
      <c r="G116" s="3879">
        <v>8930</v>
      </c>
    </row>
    <row r="117" spans="1:7" s="3219" customFormat="1" ht="14.25" hidden="1" customHeight="1">
      <c r="A117" s="3871" t="s">
        <v>303</v>
      </c>
      <c r="B117" s="3871" t="s">
        <v>2975</v>
      </c>
      <c r="C117" s="3871">
        <v>17120</v>
      </c>
      <c r="D117" s="3871">
        <v>17040</v>
      </c>
      <c r="E117" s="3871"/>
      <c r="F117" s="3871"/>
      <c r="G117" s="3879">
        <v>11260</v>
      </c>
    </row>
    <row r="118" spans="1:7" s="3219" customFormat="1" ht="14.25" hidden="1" customHeight="1">
      <c r="A118" s="3871" t="s">
        <v>303</v>
      </c>
      <c r="B118" s="3871" t="s">
        <v>2980</v>
      </c>
      <c r="C118" s="3871">
        <v>14860</v>
      </c>
      <c r="D118" s="3871">
        <v>14790</v>
      </c>
      <c r="E118" s="3871"/>
      <c r="F118" s="3871"/>
      <c r="G118" s="3879">
        <v>9780</v>
      </c>
    </row>
    <row r="119" spans="1:7" s="3219" customFormat="1" ht="14.25" hidden="1" customHeight="1">
      <c r="A119" s="3871" t="s">
        <v>303</v>
      </c>
      <c r="B119" s="3871" t="s">
        <v>2984</v>
      </c>
      <c r="C119" s="3871">
        <v>16470</v>
      </c>
      <c r="D119" s="3871">
        <v>16400</v>
      </c>
      <c r="E119" s="3871"/>
      <c r="F119" s="3871"/>
      <c r="G119" s="3879">
        <v>10840</v>
      </c>
    </row>
    <row r="120" spans="1:7" s="3219" customFormat="1" ht="14.25" hidden="1" customHeight="1">
      <c r="A120" s="3871" t="s">
        <v>303</v>
      </c>
      <c r="B120" s="3871" t="s">
        <v>3070</v>
      </c>
      <c r="C120" s="3871"/>
      <c r="D120" s="3871"/>
      <c r="E120" s="3871"/>
      <c r="F120" s="3871">
        <v>4160</v>
      </c>
      <c r="G120" s="3879"/>
    </row>
    <row r="121" spans="1:7" s="3219" customFormat="1" ht="14.25" hidden="1" customHeight="1">
      <c r="A121" s="3871" t="s">
        <v>303</v>
      </c>
      <c r="B121" s="3871" t="s">
        <v>3071</v>
      </c>
      <c r="C121" s="3871"/>
      <c r="D121" s="3871"/>
      <c r="E121" s="3871"/>
      <c r="F121" s="3871">
        <v>3880</v>
      </c>
      <c r="G121" s="3879"/>
    </row>
    <row r="122" spans="1:7" s="3219" customFormat="1" ht="14.25" hidden="1" customHeight="1">
      <c r="A122" s="3871" t="s">
        <v>303</v>
      </c>
      <c r="B122" s="3871" t="s">
        <v>3072</v>
      </c>
      <c r="C122" s="3871">
        <v>13750</v>
      </c>
      <c r="D122" s="3871">
        <v>13680</v>
      </c>
      <c r="E122" s="3871">
        <v>16460</v>
      </c>
      <c r="F122" s="3871">
        <v>2880</v>
      </c>
      <c r="G122" s="3879">
        <v>9040</v>
      </c>
    </row>
    <row r="123" spans="1:7" s="3219" customFormat="1" ht="14.25" hidden="1" customHeight="1">
      <c r="A123" s="3871" t="s">
        <v>303</v>
      </c>
      <c r="B123" s="3871" t="s">
        <v>3003</v>
      </c>
      <c r="C123" s="3871">
        <v>13590</v>
      </c>
      <c r="D123" s="3871">
        <v>13520</v>
      </c>
      <c r="E123" s="3871">
        <v>16290</v>
      </c>
      <c r="F123" s="3871">
        <v>2790</v>
      </c>
      <c r="G123" s="3879">
        <v>8930</v>
      </c>
    </row>
    <row r="124" spans="1:7" s="3219" customFormat="1" ht="14.25" hidden="1" customHeight="1">
      <c r="A124" s="3871" t="s">
        <v>303</v>
      </c>
      <c r="B124" s="3871" t="s">
        <v>3008</v>
      </c>
      <c r="C124" s="3871">
        <v>13400</v>
      </c>
      <c r="D124" s="3871">
        <v>13320</v>
      </c>
      <c r="E124" s="3871">
        <v>16100</v>
      </c>
      <c r="F124" s="3871">
        <v>2320</v>
      </c>
      <c r="G124" s="3879">
        <v>8800</v>
      </c>
    </row>
    <row r="125" spans="1:7" s="3219" customFormat="1" ht="14.25" hidden="1" customHeight="1">
      <c r="A125" s="3871" t="s">
        <v>303</v>
      </c>
      <c r="B125" s="3871" t="s">
        <v>3013</v>
      </c>
      <c r="C125" s="3871">
        <v>12860</v>
      </c>
      <c r="D125" s="3871">
        <v>12790</v>
      </c>
      <c r="E125" s="3871">
        <v>15370</v>
      </c>
      <c r="F125" s="3871">
        <v>2280</v>
      </c>
      <c r="G125" s="3879">
        <v>8450</v>
      </c>
    </row>
    <row r="126" spans="1:7" s="3219" customFormat="1" ht="14.25" hidden="1" customHeight="1" thickBot="1">
      <c r="A126" s="3880" t="s">
        <v>303</v>
      </c>
      <c r="B126" s="3875" t="s">
        <v>3018</v>
      </c>
      <c r="C126" s="3875">
        <v>12960</v>
      </c>
      <c r="D126" s="3875">
        <v>12890</v>
      </c>
      <c r="E126" s="3875">
        <v>15530</v>
      </c>
      <c r="F126" s="3875">
        <v>2910</v>
      </c>
      <c r="G126" s="3881">
        <v>8520</v>
      </c>
    </row>
    <row r="127" spans="1:7" s="3219" customFormat="1" ht="14.25" hidden="1" customHeight="1">
      <c r="A127" s="3869" t="s">
        <v>29</v>
      </c>
      <c r="B127" s="3870" t="s">
        <v>3073</v>
      </c>
      <c r="C127" s="3871">
        <v>12280</v>
      </c>
      <c r="D127" s="3871">
        <v>12250</v>
      </c>
      <c r="E127" s="3871">
        <v>15130</v>
      </c>
      <c r="F127" s="3871">
        <v>2710</v>
      </c>
      <c r="G127" s="3871">
        <v>7870</v>
      </c>
    </row>
    <row r="128" spans="1:7" s="3219" customFormat="1" ht="14.25" hidden="1" customHeight="1">
      <c r="A128" s="3871" t="s">
        <v>29</v>
      </c>
      <c r="B128" s="3871" t="s">
        <v>132</v>
      </c>
      <c r="C128" s="3871">
        <v>13180</v>
      </c>
      <c r="D128" s="3871">
        <v>13150</v>
      </c>
      <c r="E128" s="3871">
        <v>16190</v>
      </c>
      <c r="F128" s="3871">
        <v>2820</v>
      </c>
      <c r="G128" s="3871">
        <v>8460</v>
      </c>
    </row>
    <row r="129" spans="1:7" s="3219" customFormat="1" ht="14.25" hidden="1" customHeight="1">
      <c r="A129" s="3871" t="s">
        <v>29</v>
      </c>
      <c r="B129" s="3871" t="s">
        <v>141</v>
      </c>
      <c r="C129" s="3871">
        <v>10950</v>
      </c>
      <c r="D129" s="3871">
        <v>10920</v>
      </c>
      <c r="E129" s="3871">
        <v>13820</v>
      </c>
      <c r="F129" s="3871">
        <v>2500</v>
      </c>
      <c r="G129" s="3871">
        <v>7020</v>
      </c>
    </row>
    <row r="130" spans="1:7" s="3219" customFormat="1" ht="14.25" hidden="1" customHeight="1">
      <c r="A130" s="3871" t="s">
        <v>29</v>
      </c>
      <c r="B130" s="3871" t="s">
        <v>150</v>
      </c>
      <c r="C130" s="3871">
        <v>10910</v>
      </c>
      <c r="D130" s="3871">
        <v>10860</v>
      </c>
      <c r="E130" s="3871">
        <v>13730</v>
      </c>
      <c r="F130" s="3871">
        <v>2760</v>
      </c>
      <c r="G130" s="3871">
        <v>6990</v>
      </c>
    </row>
    <row r="131" spans="1:7" s="3219" customFormat="1" ht="14.25" hidden="1" customHeight="1">
      <c r="A131" s="3871" t="s">
        <v>29</v>
      </c>
      <c r="B131" s="3871" t="s">
        <v>159</v>
      </c>
      <c r="C131" s="3871">
        <v>12910</v>
      </c>
      <c r="D131" s="3871">
        <v>12870</v>
      </c>
      <c r="E131" s="3871">
        <v>15720</v>
      </c>
      <c r="F131" s="3871">
        <v>2750</v>
      </c>
      <c r="G131" s="3871">
        <v>8280</v>
      </c>
    </row>
    <row r="132" spans="1:7" s="3219" customFormat="1" ht="14.25" hidden="1" customHeight="1">
      <c r="A132" s="3871" t="s">
        <v>29</v>
      </c>
      <c r="B132" s="3871" t="s">
        <v>166</v>
      </c>
      <c r="C132" s="3871">
        <v>11910</v>
      </c>
      <c r="D132" s="3871">
        <v>11860</v>
      </c>
      <c r="E132" s="3871">
        <v>14730</v>
      </c>
      <c r="F132" s="3871">
        <v>2360</v>
      </c>
      <c r="G132" s="3871">
        <v>7630</v>
      </c>
    </row>
    <row r="133" spans="1:7" s="3219" customFormat="1" ht="14.25" hidden="1" customHeight="1">
      <c r="A133" s="3871" t="s">
        <v>29</v>
      </c>
      <c r="B133" s="3871" t="s">
        <v>172</v>
      </c>
      <c r="C133" s="3871">
        <v>12270</v>
      </c>
      <c r="D133" s="3871">
        <v>12210</v>
      </c>
      <c r="E133" s="3871">
        <v>15010</v>
      </c>
      <c r="F133" s="3871">
        <v>2580</v>
      </c>
      <c r="G133" s="3871">
        <v>7860</v>
      </c>
    </row>
    <row r="134" spans="1:7" s="3219" customFormat="1" ht="14.25" hidden="1" customHeight="1">
      <c r="A134" s="3871" t="s">
        <v>29</v>
      </c>
      <c r="B134" s="3871" t="s">
        <v>179</v>
      </c>
      <c r="C134" s="3871">
        <v>10800</v>
      </c>
      <c r="D134" s="3871">
        <v>10780</v>
      </c>
      <c r="E134" s="3871">
        <v>13640</v>
      </c>
      <c r="F134" s="3871">
        <v>2110</v>
      </c>
      <c r="G134" s="3871">
        <v>6930</v>
      </c>
    </row>
    <row r="135" spans="1:7" s="3219" customFormat="1" ht="14.25" hidden="1" customHeight="1">
      <c r="A135" s="3871" t="s">
        <v>29</v>
      </c>
      <c r="B135" s="3871" t="s">
        <v>189</v>
      </c>
      <c r="C135" s="3871">
        <v>10430</v>
      </c>
      <c r="D135" s="3871">
        <v>10390</v>
      </c>
      <c r="E135" s="3871">
        <v>13140</v>
      </c>
      <c r="F135" s="3871">
        <v>2240</v>
      </c>
      <c r="G135" s="3871">
        <v>6680</v>
      </c>
    </row>
    <row r="136" spans="1:7" s="3219" customFormat="1" ht="14.25" hidden="1" customHeight="1">
      <c r="A136" s="3871" t="s">
        <v>29</v>
      </c>
      <c r="B136" s="3871" t="s">
        <v>198</v>
      </c>
      <c r="C136" s="3871">
        <v>11930</v>
      </c>
      <c r="D136" s="3871">
        <v>11880</v>
      </c>
      <c r="E136" s="3871">
        <v>14770</v>
      </c>
      <c r="F136" s="3871">
        <v>1970</v>
      </c>
      <c r="G136" s="3871">
        <v>7640</v>
      </c>
    </row>
    <row r="137" spans="1:7" s="3219" customFormat="1" ht="14.25" hidden="1" customHeight="1">
      <c r="A137" s="3871" t="s">
        <v>29</v>
      </c>
      <c r="B137" s="3871" t="s">
        <v>205</v>
      </c>
      <c r="C137" s="3871">
        <v>10470</v>
      </c>
      <c r="D137" s="3871">
        <v>10430</v>
      </c>
      <c r="E137" s="3871">
        <v>13190</v>
      </c>
      <c r="F137" s="3871">
        <v>1990</v>
      </c>
      <c r="G137" s="3871">
        <v>6710</v>
      </c>
    </row>
    <row r="138" spans="1:7" s="3219" customFormat="1" ht="14.25" hidden="1" customHeight="1">
      <c r="A138" s="3871" t="s">
        <v>29</v>
      </c>
      <c r="B138" s="3871" t="s">
        <v>212</v>
      </c>
      <c r="C138" s="3871">
        <v>10410</v>
      </c>
      <c r="D138" s="3871">
        <v>10380</v>
      </c>
      <c r="E138" s="3871">
        <v>13130</v>
      </c>
      <c r="F138" s="3871">
        <v>2030</v>
      </c>
      <c r="G138" s="3871">
        <v>6680</v>
      </c>
    </row>
    <row r="139" spans="1:7" s="3219" customFormat="1" ht="14.25" hidden="1" customHeight="1">
      <c r="A139" s="3871" t="s">
        <v>29</v>
      </c>
      <c r="B139" s="3871" t="s">
        <v>218</v>
      </c>
      <c r="C139" s="3871">
        <v>9460</v>
      </c>
      <c r="D139" s="3871">
        <v>9410</v>
      </c>
      <c r="E139" s="3871">
        <v>12050</v>
      </c>
      <c r="F139" s="3871">
        <v>2140</v>
      </c>
      <c r="G139" s="3871">
        <v>6050</v>
      </c>
    </row>
    <row r="140" spans="1:7" s="3219" customFormat="1" ht="14.25" hidden="1" customHeight="1">
      <c r="A140" s="3871" t="s">
        <v>29</v>
      </c>
      <c r="B140" s="3871" t="s">
        <v>226</v>
      </c>
      <c r="C140" s="3871">
        <v>11030</v>
      </c>
      <c r="D140" s="3871">
        <v>10980</v>
      </c>
      <c r="E140" s="3871">
        <v>13880</v>
      </c>
      <c r="F140" s="3871">
        <v>2210</v>
      </c>
      <c r="G140" s="3871">
        <v>7060</v>
      </c>
    </row>
    <row r="141" spans="1:7" s="3219" customFormat="1" ht="14.25" hidden="1" customHeight="1">
      <c r="A141" s="3871" t="s">
        <v>29</v>
      </c>
      <c r="B141" s="3871" t="s">
        <v>234</v>
      </c>
      <c r="C141" s="3871">
        <v>11200</v>
      </c>
      <c r="D141" s="3871">
        <v>11150</v>
      </c>
      <c r="E141" s="3871">
        <v>14100</v>
      </c>
      <c r="F141" s="3871">
        <v>2470</v>
      </c>
      <c r="G141" s="3871">
        <v>7170</v>
      </c>
    </row>
    <row r="142" spans="1:7" s="3219" customFormat="1" ht="14.25" hidden="1" customHeight="1">
      <c r="A142" s="3871" t="s">
        <v>29</v>
      </c>
      <c r="B142" s="3871" t="s">
        <v>239</v>
      </c>
      <c r="C142" s="3871">
        <v>10780</v>
      </c>
      <c r="D142" s="3871">
        <v>10730</v>
      </c>
      <c r="E142" s="3871">
        <v>13540</v>
      </c>
      <c r="F142" s="3871">
        <v>2280</v>
      </c>
      <c r="G142" s="3871">
        <v>6900</v>
      </c>
    </row>
    <row r="143" spans="1:7" s="3219" customFormat="1" ht="14.25" hidden="1" customHeight="1">
      <c r="A143" s="3871" t="s">
        <v>29</v>
      </c>
      <c r="B143" s="3871" t="s">
        <v>248</v>
      </c>
      <c r="C143" s="3871">
        <v>11550</v>
      </c>
      <c r="D143" s="3871">
        <v>11490</v>
      </c>
      <c r="E143" s="3871">
        <v>14480</v>
      </c>
      <c r="F143" s="3871">
        <v>2070</v>
      </c>
      <c r="G143" s="3871">
        <v>7390</v>
      </c>
    </row>
    <row r="144" spans="1:7" s="3219" customFormat="1" ht="14.25" hidden="1" customHeight="1">
      <c r="A144" s="3871" t="s">
        <v>29</v>
      </c>
      <c r="B144" s="3871" t="s">
        <v>255</v>
      </c>
      <c r="C144" s="3871">
        <v>10720</v>
      </c>
      <c r="D144" s="3871">
        <v>10680</v>
      </c>
      <c r="E144" s="3871">
        <v>13480</v>
      </c>
      <c r="F144" s="3871">
        <v>2440</v>
      </c>
      <c r="G144" s="3871">
        <v>6870</v>
      </c>
    </row>
    <row r="145" spans="1:7" s="3219" customFormat="1" ht="14.25" hidden="1" customHeight="1">
      <c r="A145" s="3871" t="s">
        <v>29</v>
      </c>
      <c r="B145" s="3871" t="s">
        <v>263</v>
      </c>
      <c r="C145" s="3871">
        <v>10340</v>
      </c>
      <c r="D145" s="3871">
        <v>10290</v>
      </c>
      <c r="E145" s="3871">
        <v>12880</v>
      </c>
      <c r="F145" s="3871">
        <v>2650</v>
      </c>
      <c r="G145" s="3871">
        <v>6620</v>
      </c>
    </row>
    <row r="146" spans="1:7" s="3219" customFormat="1" ht="14.25" hidden="1" customHeight="1">
      <c r="A146" s="3871" t="s">
        <v>29</v>
      </c>
      <c r="B146" s="3871" t="s">
        <v>270</v>
      </c>
      <c r="C146" s="3871">
        <v>11890</v>
      </c>
      <c r="D146" s="3871">
        <v>11830</v>
      </c>
      <c r="E146" s="3871">
        <v>14670</v>
      </c>
      <c r="F146" s="3871"/>
      <c r="G146" s="3871">
        <v>7610</v>
      </c>
    </row>
    <row r="147" spans="1:7" s="3219" customFormat="1" ht="14.25" hidden="1" customHeight="1">
      <c r="A147" s="3871" t="s">
        <v>29</v>
      </c>
      <c r="B147" s="3871" t="s">
        <v>274</v>
      </c>
      <c r="C147" s="3871">
        <v>12650</v>
      </c>
      <c r="D147" s="3871">
        <v>12600</v>
      </c>
      <c r="E147" s="3871">
        <v>15440</v>
      </c>
      <c r="F147" s="3871"/>
      <c r="G147" s="3871">
        <v>8110</v>
      </c>
    </row>
    <row r="148" spans="1:7" s="3219" customFormat="1" ht="14.25" hidden="1" customHeight="1">
      <c r="A148" s="3871" t="s">
        <v>29</v>
      </c>
      <c r="B148" s="3871" t="s">
        <v>3074</v>
      </c>
      <c r="C148" s="3871">
        <v>10370</v>
      </c>
      <c r="D148" s="3871">
        <v>10310</v>
      </c>
      <c r="E148" s="3871">
        <v>12970</v>
      </c>
      <c r="F148" s="3871"/>
      <c r="G148" s="3871">
        <v>6630</v>
      </c>
    </row>
    <row r="149" spans="1:7" s="3219" customFormat="1" ht="14.25" hidden="1" customHeight="1">
      <c r="A149" s="3871" t="s">
        <v>29</v>
      </c>
      <c r="B149" s="3871" t="s">
        <v>3075</v>
      </c>
      <c r="C149" s="3871">
        <v>11600</v>
      </c>
      <c r="D149" s="3871">
        <v>11560</v>
      </c>
      <c r="E149" s="3871">
        <v>14540</v>
      </c>
      <c r="F149" s="3871">
        <v>2390</v>
      </c>
      <c r="G149" s="3871">
        <v>7430</v>
      </c>
    </row>
    <row r="150" spans="1:7" s="3219" customFormat="1" ht="14.25" hidden="1" customHeight="1">
      <c r="A150" s="3871" t="s">
        <v>29</v>
      </c>
      <c r="B150" s="3871" t="s">
        <v>292</v>
      </c>
      <c r="C150" s="3871">
        <v>9950</v>
      </c>
      <c r="D150" s="3871">
        <v>9890</v>
      </c>
      <c r="E150" s="3871">
        <v>12590</v>
      </c>
      <c r="F150" s="3871">
        <v>1970</v>
      </c>
      <c r="G150" s="3871">
        <v>6360</v>
      </c>
    </row>
    <row r="151" spans="1:7" s="3219" customFormat="1" ht="14.25" hidden="1" customHeight="1">
      <c r="A151" s="3871" t="s">
        <v>29</v>
      </c>
      <c r="B151" s="3871" t="s">
        <v>294</v>
      </c>
      <c r="C151" s="3871">
        <v>10700</v>
      </c>
      <c r="D151" s="3871">
        <v>10650</v>
      </c>
      <c r="E151" s="3871">
        <v>13420</v>
      </c>
      <c r="F151" s="3871">
        <v>2020</v>
      </c>
      <c r="G151" s="3871">
        <v>6850</v>
      </c>
    </row>
    <row r="152" spans="1:7" s="3219" customFormat="1" ht="14.25" hidden="1" customHeight="1">
      <c r="A152" s="3871" t="s">
        <v>29</v>
      </c>
      <c r="B152" s="3871" t="s">
        <v>297</v>
      </c>
      <c r="C152" s="3871">
        <v>10310</v>
      </c>
      <c r="D152" s="3871">
        <v>10260</v>
      </c>
      <c r="E152" s="3871">
        <v>12820</v>
      </c>
      <c r="F152" s="3871">
        <v>1980</v>
      </c>
      <c r="G152" s="3871">
        <v>6600</v>
      </c>
    </row>
    <row r="153" spans="1:7" s="3219" customFormat="1" ht="14.25" hidden="1" customHeight="1">
      <c r="A153" s="3871" t="s">
        <v>29</v>
      </c>
      <c r="B153" s="3871" t="s">
        <v>2949</v>
      </c>
      <c r="C153" s="3871">
        <v>10880</v>
      </c>
      <c r="D153" s="3871">
        <v>10820</v>
      </c>
      <c r="E153" s="3871">
        <v>13660</v>
      </c>
      <c r="F153" s="3871">
        <v>2260</v>
      </c>
      <c r="G153" s="3871">
        <v>6970</v>
      </c>
    </row>
    <row r="154" spans="1:7" s="3219" customFormat="1" ht="14.25" hidden="1" customHeight="1">
      <c r="A154" s="3871" t="s">
        <v>29</v>
      </c>
      <c r="B154" s="3871" t="s">
        <v>3076</v>
      </c>
      <c r="C154" s="3871">
        <v>11220</v>
      </c>
      <c r="D154" s="3871">
        <v>11160</v>
      </c>
      <c r="E154" s="3871">
        <v>14130</v>
      </c>
      <c r="F154" s="3871">
        <v>2230</v>
      </c>
      <c r="G154" s="3871">
        <v>7180</v>
      </c>
    </row>
    <row r="155" spans="1:7" s="3219" customFormat="1" ht="14.25" hidden="1" customHeight="1">
      <c r="A155" s="3871" t="s">
        <v>29</v>
      </c>
      <c r="B155" s="3871" t="s">
        <v>2962</v>
      </c>
      <c r="C155" s="3871">
        <v>10430</v>
      </c>
      <c r="D155" s="3871">
        <v>10380</v>
      </c>
      <c r="E155" s="3871">
        <v>13140</v>
      </c>
      <c r="F155" s="3871">
        <v>2080</v>
      </c>
      <c r="G155" s="3871">
        <v>6650</v>
      </c>
    </row>
    <row r="156" spans="1:7" s="3219" customFormat="1" ht="14.25" hidden="1" customHeight="1">
      <c r="A156" s="3871" t="s">
        <v>29</v>
      </c>
      <c r="B156" s="3871" t="s">
        <v>3077</v>
      </c>
      <c r="C156" s="3871">
        <v>10440</v>
      </c>
      <c r="D156" s="3871">
        <v>10400</v>
      </c>
      <c r="E156" s="3871">
        <v>13150</v>
      </c>
      <c r="F156" s="3871">
        <v>2490</v>
      </c>
      <c r="G156" s="3871">
        <v>6690</v>
      </c>
    </row>
    <row r="157" spans="1:7" s="3219" customFormat="1" ht="14.25" hidden="1" customHeight="1">
      <c r="A157" s="3871" t="s">
        <v>29</v>
      </c>
      <c r="B157" s="3871" t="s">
        <v>300</v>
      </c>
      <c r="C157" s="3871">
        <v>10970</v>
      </c>
      <c r="D157" s="3871">
        <v>10920</v>
      </c>
      <c r="E157" s="3871">
        <v>13840</v>
      </c>
      <c r="F157" s="3871">
        <v>2420</v>
      </c>
      <c r="G157" s="3871">
        <v>7020</v>
      </c>
    </row>
    <row r="158" spans="1:7" s="3219" customFormat="1" ht="14.25" hidden="1" customHeight="1">
      <c r="A158" s="3871" t="s">
        <v>29</v>
      </c>
      <c r="B158" s="3871" t="s">
        <v>301</v>
      </c>
      <c r="C158" s="3871">
        <v>9590</v>
      </c>
      <c r="D158" s="3871">
        <v>9540</v>
      </c>
      <c r="E158" s="3871">
        <v>12210</v>
      </c>
      <c r="F158" s="3871">
        <v>2100</v>
      </c>
      <c r="G158" s="3871">
        <v>6130</v>
      </c>
    </row>
    <row r="159" spans="1:7" s="3219" customFormat="1" ht="14.25" hidden="1" customHeight="1">
      <c r="A159" s="3871" t="s">
        <v>29</v>
      </c>
      <c r="B159" s="3871" t="s">
        <v>302</v>
      </c>
      <c r="C159" s="3871">
        <v>11190</v>
      </c>
      <c r="D159" s="3871">
        <v>11140</v>
      </c>
      <c r="E159" s="3871">
        <v>14090</v>
      </c>
      <c r="F159" s="3871">
        <v>2470</v>
      </c>
      <c r="G159" s="3871">
        <v>7170</v>
      </c>
    </row>
    <row r="160" spans="1:7" s="3219" customFormat="1" ht="14.25" hidden="1" customHeight="1">
      <c r="A160" s="3871" t="s">
        <v>29</v>
      </c>
      <c r="B160" s="3871" t="s">
        <v>3078</v>
      </c>
      <c r="C160" s="3871">
        <v>11180</v>
      </c>
      <c r="D160" s="3871">
        <v>11140</v>
      </c>
      <c r="E160" s="3871">
        <v>14050</v>
      </c>
      <c r="F160" s="3871">
        <v>2270</v>
      </c>
      <c r="G160" s="3871">
        <v>7170</v>
      </c>
    </row>
    <row r="161" spans="1:7" s="3219" customFormat="1" ht="14.25" hidden="1" customHeight="1">
      <c r="A161" s="3871" t="s">
        <v>29</v>
      </c>
      <c r="B161" s="3871" t="s">
        <v>2994</v>
      </c>
      <c r="C161" s="3871">
        <v>11160</v>
      </c>
      <c r="D161" s="3871">
        <v>11120</v>
      </c>
      <c r="E161" s="3871">
        <v>14020</v>
      </c>
      <c r="F161" s="3871">
        <v>2150</v>
      </c>
      <c r="G161" s="3871">
        <v>7160</v>
      </c>
    </row>
    <row r="162" spans="1:7" s="3219" customFormat="1" ht="14.25" hidden="1" customHeight="1">
      <c r="A162" s="3871" t="s">
        <v>29</v>
      </c>
      <c r="B162" s="3871" t="s">
        <v>2999</v>
      </c>
      <c r="C162" s="3871">
        <v>9620</v>
      </c>
      <c r="D162" s="3871">
        <v>9570</v>
      </c>
      <c r="E162" s="3871">
        <v>12320</v>
      </c>
      <c r="F162" s="3871">
        <v>2010</v>
      </c>
      <c r="G162" s="3871">
        <v>6160</v>
      </c>
    </row>
    <row r="163" spans="1:7" s="3219" customFormat="1" ht="14.25" hidden="1" customHeight="1">
      <c r="A163" s="3871" t="s">
        <v>29</v>
      </c>
      <c r="B163" s="3871" t="s">
        <v>3004</v>
      </c>
      <c r="C163" s="3871">
        <v>9320</v>
      </c>
      <c r="D163" s="3871">
        <v>9270</v>
      </c>
      <c r="E163" s="3871">
        <v>11790</v>
      </c>
      <c r="F163" s="3871">
        <v>1920</v>
      </c>
      <c r="G163" s="3871">
        <v>5960</v>
      </c>
    </row>
    <row r="164" spans="1:7" s="3219" customFormat="1" ht="14.25" hidden="1" customHeight="1">
      <c r="A164" s="3871" t="s">
        <v>29</v>
      </c>
      <c r="B164" s="3871" t="s">
        <v>3009</v>
      </c>
      <c r="C164" s="3871"/>
      <c r="D164" s="3871"/>
      <c r="E164" s="3871"/>
      <c r="F164" s="3871">
        <v>1980</v>
      </c>
      <c r="G164" s="3871"/>
    </row>
    <row r="165" spans="1:7" s="3219" customFormat="1" ht="14.25" hidden="1" customHeight="1">
      <c r="A165" s="3871" t="s">
        <v>29</v>
      </c>
      <c r="B165" s="3871" t="s">
        <v>3079</v>
      </c>
      <c r="C165" s="3871">
        <v>11060</v>
      </c>
      <c r="D165" s="3871">
        <v>11030</v>
      </c>
      <c r="E165" s="3871">
        <v>13850</v>
      </c>
      <c r="F165" s="3871">
        <v>2170</v>
      </c>
      <c r="G165" s="3871">
        <v>7090</v>
      </c>
    </row>
    <row r="166" spans="1:7" s="3219" customFormat="1" ht="14.25" hidden="1" customHeight="1">
      <c r="A166" s="3871" t="s">
        <v>29</v>
      </c>
      <c r="B166" s="3871" t="s">
        <v>3019</v>
      </c>
      <c r="C166" s="3871">
        <v>11050</v>
      </c>
      <c r="D166" s="3871">
        <v>11010</v>
      </c>
      <c r="E166" s="3871">
        <v>13920</v>
      </c>
      <c r="F166" s="3871">
        <v>2140</v>
      </c>
      <c r="G166" s="3871">
        <v>7080</v>
      </c>
    </row>
    <row r="167" spans="1:7" s="3219" customFormat="1" ht="14.25" hidden="1" customHeight="1">
      <c r="A167" s="3871" t="s">
        <v>29</v>
      </c>
      <c r="B167" s="3871" t="s">
        <v>3023</v>
      </c>
      <c r="C167" s="3871">
        <v>10930</v>
      </c>
      <c r="D167" s="3871">
        <v>10890</v>
      </c>
      <c r="E167" s="3871">
        <v>13790</v>
      </c>
      <c r="F167" s="3871">
        <v>2010</v>
      </c>
      <c r="G167" s="3871">
        <v>7000</v>
      </c>
    </row>
    <row r="168" spans="1:7" s="3219" customFormat="1" ht="14.25" hidden="1" customHeight="1">
      <c r="A168" s="3871" t="s">
        <v>29</v>
      </c>
      <c r="B168" s="3871" t="s">
        <v>3028</v>
      </c>
      <c r="C168" s="3871">
        <v>9420</v>
      </c>
      <c r="D168" s="3871">
        <v>9380</v>
      </c>
      <c r="E168" s="3871">
        <v>11970</v>
      </c>
      <c r="F168" s="3871"/>
      <c r="G168" s="3871">
        <v>6040</v>
      </c>
    </row>
    <row r="169" spans="1:7" s="3219" customFormat="1" ht="14.25" hidden="1" customHeight="1">
      <c r="A169" s="3871" t="s">
        <v>29</v>
      </c>
      <c r="B169" s="3871" t="s">
        <v>3080</v>
      </c>
      <c r="C169" s="3871"/>
      <c r="D169" s="3871"/>
      <c r="E169" s="3871"/>
      <c r="F169" s="3871">
        <v>2880</v>
      </c>
      <c r="G169" s="3871"/>
    </row>
    <row r="170" spans="1:7" s="3219" customFormat="1" ht="14.25" hidden="1" customHeight="1">
      <c r="A170" s="3871" t="s">
        <v>29</v>
      </c>
      <c r="B170" s="3871" t="s">
        <v>3036</v>
      </c>
      <c r="C170" s="3871"/>
      <c r="D170" s="3871"/>
      <c r="E170" s="3871"/>
      <c r="F170" s="3871">
        <v>2880</v>
      </c>
      <c r="G170" s="3871"/>
    </row>
    <row r="171" spans="1:7" s="3219" customFormat="1" ht="14.25" hidden="1" customHeight="1">
      <c r="A171" s="3871" t="s">
        <v>29</v>
      </c>
      <c r="B171" s="3871" t="s">
        <v>3039</v>
      </c>
      <c r="C171" s="3871"/>
      <c r="D171" s="3871"/>
      <c r="E171" s="3871"/>
      <c r="F171" s="3871">
        <v>2880</v>
      </c>
      <c r="G171" s="3871"/>
    </row>
    <row r="172" spans="1:7" s="3219" customFormat="1" ht="14.25" hidden="1" customHeight="1">
      <c r="A172" s="3871" t="s">
        <v>29</v>
      </c>
      <c r="B172" s="3871" t="s">
        <v>3041</v>
      </c>
      <c r="C172" s="3871"/>
      <c r="D172" s="3871"/>
      <c r="E172" s="3871"/>
      <c r="F172" s="3871">
        <v>2880</v>
      </c>
      <c r="G172" s="3871"/>
    </row>
    <row r="173" spans="1:7" s="3219" customFormat="1" ht="14.25" hidden="1" customHeight="1">
      <c r="A173" s="3871" t="s">
        <v>29</v>
      </c>
      <c r="B173" s="3871" t="s">
        <v>3043</v>
      </c>
      <c r="C173" s="3871"/>
      <c r="D173" s="3871"/>
      <c r="E173" s="3871"/>
      <c r="F173" s="3871">
        <v>2150</v>
      </c>
      <c r="G173" s="3871"/>
    </row>
    <row r="174" spans="1:7" s="3219" customFormat="1" ht="14.25" hidden="1" customHeight="1">
      <c r="A174" s="3871" t="s">
        <v>29</v>
      </c>
      <c r="B174" s="3871" t="s">
        <v>3045</v>
      </c>
      <c r="C174" s="3871"/>
      <c r="D174" s="3871"/>
      <c r="E174" s="3871"/>
      <c r="F174" s="3871">
        <v>2030</v>
      </c>
      <c r="G174" s="3871"/>
    </row>
    <row r="175" spans="1:7" s="3219" customFormat="1" ht="14.25" hidden="1" customHeight="1">
      <c r="A175" s="3871" t="s">
        <v>29</v>
      </c>
      <c r="B175" s="3871" t="s">
        <v>3047</v>
      </c>
      <c r="C175" s="3871"/>
      <c r="D175" s="3871"/>
      <c r="E175" s="3871"/>
      <c r="F175" s="3871">
        <v>2780</v>
      </c>
      <c r="G175" s="3871"/>
    </row>
    <row r="176" spans="1:7" s="3219" customFormat="1" ht="14.25" hidden="1" customHeight="1">
      <c r="A176" s="3871" t="s">
        <v>29</v>
      </c>
      <c r="B176" s="3871" t="s">
        <v>3049</v>
      </c>
      <c r="C176" s="3871"/>
      <c r="D176" s="3871"/>
      <c r="E176" s="3871"/>
      <c r="F176" s="3871">
        <v>2780</v>
      </c>
      <c r="G176" s="3871"/>
    </row>
    <row r="177" spans="1:7" s="3219" customFormat="1" ht="14.25" hidden="1" customHeight="1">
      <c r="A177" s="3871" t="s">
        <v>29</v>
      </c>
      <c r="B177" s="3871" t="s">
        <v>3081</v>
      </c>
      <c r="C177" s="3871"/>
      <c r="D177" s="3871"/>
      <c r="E177" s="3871"/>
      <c r="F177" s="3871">
        <v>2780</v>
      </c>
      <c r="G177" s="3871"/>
    </row>
    <row r="178" spans="1:7" s="3219" customFormat="1" ht="14.25" hidden="1" customHeight="1">
      <c r="A178" s="3871" t="s">
        <v>29</v>
      </c>
      <c r="B178" s="3871" t="s">
        <v>3082</v>
      </c>
      <c r="C178" s="3871"/>
      <c r="D178" s="3871"/>
      <c r="E178" s="3871"/>
      <c r="F178" s="3871">
        <v>2060</v>
      </c>
      <c r="G178" s="3871"/>
    </row>
    <row r="179" spans="1:7" s="3219" customFormat="1" ht="14.25" hidden="1" customHeight="1">
      <c r="A179" s="3871" t="s">
        <v>29</v>
      </c>
      <c r="B179" s="3871" t="s">
        <v>3083</v>
      </c>
      <c r="C179" s="3871"/>
      <c r="D179" s="3871"/>
      <c r="E179" s="3871"/>
      <c r="F179" s="3871">
        <v>2120</v>
      </c>
      <c r="G179" s="3871"/>
    </row>
    <row r="180" spans="1:7" s="3219" customFormat="1" ht="14.25" hidden="1" customHeight="1">
      <c r="A180" s="3871" t="s">
        <v>29</v>
      </c>
      <c r="B180" s="3871" t="s">
        <v>3055</v>
      </c>
      <c r="C180" s="3871"/>
      <c r="D180" s="3871"/>
      <c r="E180" s="3871"/>
      <c r="F180" s="3871">
        <v>2340</v>
      </c>
      <c r="G180" s="3871"/>
    </row>
    <row r="181" spans="1:7" s="3219" customFormat="1" ht="14.25" hidden="1" customHeight="1">
      <c r="A181" s="3871" t="s">
        <v>29</v>
      </c>
      <c r="B181" s="3871" t="s">
        <v>3056</v>
      </c>
      <c r="C181" s="3871"/>
      <c r="D181" s="3871"/>
      <c r="E181" s="3871"/>
      <c r="F181" s="3871">
        <v>2340</v>
      </c>
      <c r="G181" s="3871"/>
    </row>
    <row r="182" spans="1:7" s="3219" customFormat="1" ht="14.25" hidden="1" customHeight="1">
      <c r="A182" s="3871" t="s">
        <v>29</v>
      </c>
      <c r="B182" s="3871" t="s">
        <v>3057</v>
      </c>
      <c r="C182" s="3871"/>
      <c r="D182" s="3871"/>
      <c r="E182" s="3871"/>
      <c r="F182" s="3871">
        <v>2340</v>
      </c>
      <c r="G182" s="3871"/>
    </row>
    <row r="183" spans="1:7" s="3219" customFormat="1" ht="14.25" hidden="1" customHeight="1">
      <c r="A183" s="3871" t="s">
        <v>29</v>
      </c>
      <c r="B183" s="3871" t="s">
        <v>3058</v>
      </c>
      <c r="C183" s="3871"/>
      <c r="D183" s="3871"/>
      <c r="E183" s="3871"/>
      <c r="F183" s="3871">
        <v>2340</v>
      </c>
      <c r="G183" s="3871"/>
    </row>
    <row r="184" spans="1:7" s="3219" customFormat="1" ht="14.25" hidden="1" customHeight="1">
      <c r="A184" s="3871" t="s">
        <v>29</v>
      </c>
      <c r="B184" s="3871" t="s">
        <v>3059</v>
      </c>
      <c r="C184" s="3871"/>
      <c r="D184" s="3871"/>
      <c r="E184" s="3871"/>
      <c r="F184" s="3871">
        <v>2340</v>
      </c>
      <c r="G184" s="3871"/>
    </row>
    <row r="185" spans="1:7" s="3219" customFormat="1" ht="14.25" hidden="1" customHeight="1">
      <c r="A185" s="3871" t="s">
        <v>29</v>
      </c>
      <c r="B185" s="3871" t="s">
        <v>3060</v>
      </c>
      <c r="C185" s="3871"/>
      <c r="D185" s="3871"/>
      <c r="E185" s="3871"/>
      <c r="F185" s="3871">
        <v>2530</v>
      </c>
      <c r="G185" s="3871"/>
    </row>
    <row r="186" spans="1:7" s="3219" customFormat="1" ht="14.25" hidden="1" customHeight="1">
      <c r="A186" s="3871" t="s">
        <v>29</v>
      </c>
      <c r="B186" s="3871" t="s">
        <v>3061</v>
      </c>
      <c r="C186" s="3871"/>
      <c r="D186" s="3871"/>
      <c r="E186" s="3871"/>
      <c r="F186" s="3871">
        <v>2550</v>
      </c>
      <c r="G186" s="3871"/>
    </row>
    <row r="187" spans="1:7" s="3219" customFormat="1" ht="14.25" hidden="1" customHeight="1">
      <c r="A187" s="3871" t="s">
        <v>29</v>
      </c>
      <c r="B187" s="3871" t="s">
        <v>3062</v>
      </c>
      <c r="C187" s="3871"/>
      <c r="D187" s="3871"/>
      <c r="E187" s="3871"/>
      <c r="F187" s="3871">
        <v>2070</v>
      </c>
      <c r="G187" s="3871"/>
    </row>
    <row r="188" spans="1:7" s="3219" customFormat="1" ht="14.25" hidden="1" customHeight="1">
      <c r="A188" s="3871" t="s">
        <v>29</v>
      </c>
      <c r="B188" s="3871" t="s">
        <v>3063</v>
      </c>
      <c r="C188" s="3871"/>
      <c r="D188" s="3871"/>
      <c r="E188" s="3871"/>
      <c r="F188" s="3871">
        <v>2340</v>
      </c>
      <c r="G188" s="3871"/>
    </row>
    <row r="189" spans="1:7" s="3219" customFormat="1" ht="14.25" hidden="1" customHeight="1" thickBot="1">
      <c r="A189" s="3873" t="s">
        <v>29</v>
      </c>
      <c r="B189" s="3877" t="s">
        <v>3064</v>
      </c>
      <c r="C189" s="3877"/>
      <c r="D189" s="3877"/>
      <c r="E189" s="3877"/>
      <c r="F189" s="3877">
        <v>2050</v>
      </c>
      <c r="G189" s="3877"/>
    </row>
    <row r="190" spans="1:7" s="3219" customFormat="1" ht="14.25" hidden="1" customHeight="1">
      <c r="A190" s="3869" t="s">
        <v>304</v>
      </c>
      <c r="B190" s="3870" t="s">
        <v>3084</v>
      </c>
      <c r="C190" s="3870">
        <v>8830</v>
      </c>
      <c r="D190" s="3870">
        <v>8790</v>
      </c>
      <c r="E190" s="3870">
        <v>11630</v>
      </c>
      <c r="F190" s="3870">
        <v>1790</v>
      </c>
      <c r="G190" s="3878">
        <v>5550</v>
      </c>
    </row>
    <row r="191" spans="1:7" s="3219" customFormat="1" ht="14.25" hidden="1" customHeight="1">
      <c r="A191" s="3871" t="s">
        <v>304</v>
      </c>
      <c r="B191" s="3871" t="s">
        <v>133</v>
      </c>
      <c r="C191" s="3871">
        <v>9780</v>
      </c>
      <c r="D191" s="3871">
        <v>9710</v>
      </c>
      <c r="E191" s="3871">
        <v>12550</v>
      </c>
      <c r="F191" s="3871">
        <v>1980</v>
      </c>
      <c r="G191" s="3879">
        <v>6130</v>
      </c>
    </row>
    <row r="192" spans="1:7" s="3219" customFormat="1" ht="14.25" hidden="1" customHeight="1">
      <c r="A192" s="3871" t="s">
        <v>304</v>
      </c>
      <c r="B192" s="3871" t="s">
        <v>142</v>
      </c>
      <c r="C192" s="3871">
        <v>8180</v>
      </c>
      <c r="D192" s="3871">
        <v>8140</v>
      </c>
      <c r="E192" s="3871">
        <v>10870</v>
      </c>
      <c r="F192" s="3871">
        <v>1690</v>
      </c>
      <c r="G192" s="3879">
        <v>5140</v>
      </c>
    </row>
    <row r="193" spans="1:7" s="3219" customFormat="1" ht="14.25" hidden="1" customHeight="1">
      <c r="A193" s="3871" t="s">
        <v>304</v>
      </c>
      <c r="B193" s="3871" t="s">
        <v>151</v>
      </c>
      <c r="C193" s="3871">
        <v>8440</v>
      </c>
      <c r="D193" s="3871">
        <v>8390</v>
      </c>
      <c r="E193" s="3871">
        <v>11210</v>
      </c>
      <c r="F193" s="3871">
        <v>1600</v>
      </c>
      <c r="G193" s="3879">
        <v>5300</v>
      </c>
    </row>
    <row r="194" spans="1:7" s="3219" customFormat="1" ht="14.25" hidden="1" customHeight="1">
      <c r="A194" s="3871" t="s">
        <v>304</v>
      </c>
      <c r="B194" s="3871" t="s">
        <v>160</v>
      </c>
      <c r="C194" s="3871">
        <v>8780</v>
      </c>
      <c r="D194" s="3871">
        <v>8730</v>
      </c>
      <c r="E194" s="3871">
        <v>11550</v>
      </c>
      <c r="F194" s="3871">
        <v>1660</v>
      </c>
      <c r="G194" s="3879">
        <v>5520</v>
      </c>
    </row>
    <row r="195" spans="1:7" s="3219" customFormat="1" ht="14.25" hidden="1" customHeight="1">
      <c r="A195" s="3871" t="s">
        <v>304</v>
      </c>
      <c r="B195" s="3871" t="s">
        <v>167</v>
      </c>
      <c r="C195" s="3871">
        <v>8720</v>
      </c>
      <c r="D195" s="3871">
        <v>8670</v>
      </c>
      <c r="E195" s="3871">
        <v>11450</v>
      </c>
      <c r="F195" s="3871">
        <v>1720</v>
      </c>
      <c r="G195" s="3879">
        <v>5480</v>
      </c>
    </row>
    <row r="196" spans="1:7" s="3219" customFormat="1" ht="14.25" hidden="1" customHeight="1">
      <c r="A196" s="3871" t="s">
        <v>304</v>
      </c>
      <c r="B196" s="3871" t="s">
        <v>173</v>
      </c>
      <c r="C196" s="3871">
        <v>8460</v>
      </c>
      <c r="D196" s="3871">
        <v>8410</v>
      </c>
      <c r="E196" s="3871">
        <v>11230</v>
      </c>
      <c r="F196" s="3871">
        <v>1730</v>
      </c>
      <c r="G196" s="3879">
        <v>5310</v>
      </c>
    </row>
    <row r="197" spans="1:7" s="3219" customFormat="1" ht="14.25" hidden="1" customHeight="1">
      <c r="A197" s="3871" t="s">
        <v>304</v>
      </c>
      <c r="B197" s="3871" t="s">
        <v>180</v>
      </c>
      <c r="C197" s="3871">
        <v>8790</v>
      </c>
      <c r="D197" s="3871">
        <v>8730</v>
      </c>
      <c r="E197" s="3871">
        <v>11560</v>
      </c>
      <c r="F197" s="3871">
        <v>1750</v>
      </c>
      <c r="G197" s="3879">
        <v>5520</v>
      </c>
    </row>
    <row r="198" spans="1:7" s="3219" customFormat="1" ht="14.25" hidden="1" customHeight="1">
      <c r="A198" s="3871" t="s">
        <v>304</v>
      </c>
      <c r="B198" s="3871" t="s">
        <v>190</v>
      </c>
      <c r="C198" s="3871">
        <v>8720</v>
      </c>
      <c r="D198" s="3871">
        <v>8680</v>
      </c>
      <c r="E198" s="3871">
        <v>11470</v>
      </c>
      <c r="F198" s="3871"/>
      <c r="G198" s="3879">
        <v>5480</v>
      </c>
    </row>
    <row r="199" spans="1:7" s="3219" customFormat="1" ht="14.25" hidden="1" customHeight="1">
      <c r="A199" s="3871" t="s">
        <v>304</v>
      </c>
      <c r="B199" s="3871" t="s">
        <v>3085</v>
      </c>
      <c r="C199" s="3871">
        <v>8690</v>
      </c>
      <c r="D199" s="3871">
        <v>8630</v>
      </c>
      <c r="E199" s="3871">
        <v>11350</v>
      </c>
      <c r="F199" s="3871">
        <v>1600</v>
      </c>
      <c r="G199" s="3879">
        <v>5450</v>
      </c>
    </row>
    <row r="200" spans="1:7" s="3219" customFormat="1" ht="14.25" hidden="1" customHeight="1">
      <c r="A200" s="3871" t="s">
        <v>304</v>
      </c>
      <c r="B200" s="3871" t="s">
        <v>2896</v>
      </c>
      <c r="C200" s="3871"/>
      <c r="D200" s="3871"/>
      <c r="E200" s="3871"/>
      <c r="F200" s="3871">
        <v>1510</v>
      </c>
      <c r="G200" s="3879"/>
    </row>
    <row r="201" spans="1:7" s="3219" customFormat="1" ht="14.25" hidden="1" customHeight="1">
      <c r="A201" s="3871" t="s">
        <v>304</v>
      </c>
      <c r="B201" s="3871" t="s">
        <v>3086</v>
      </c>
      <c r="C201" s="3871">
        <v>8440</v>
      </c>
      <c r="D201" s="3871">
        <v>8390</v>
      </c>
      <c r="E201" s="3871">
        <v>10930</v>
      </c>
      <c r="F201" s="3871">
        <v>1500</v>
      </c>
      <c r="G201" s="3879">
        <v>5300</v>
      </c>
    </row>
    <row r="202" spans="1:7" s="3219" customFormat="1" ht="14.25" hidden="1" customHeight="1">
      <c r="A202" s="3871" t="s">
        <v>304</v>
      </c>
      <c r="B202" s="3871" t="s">
        <v>240</v>
      </c>
      <c r="C202" s="3871">
        <v>8530</v>
      </c>
      <c r="D202" s="3871">
        <v>8490</v>
      </c>
      <c r="E202" s="3871">
        <v>11160</v>
      </c>
      <c r="F202" s="3871">
        <v>1580</v>
      </c>
      <c r="G202" s="3879">
        <v>5360</v>
      </c>
    </row>
    <row r="203" spans="1:7" s="3219" customFormat="1" ht="14.25" hidden="1" customHeight="1">
      <c r="A203" s="3871" t="s">
        <v>304</v>
      </c>
      <c r="B203" s="3871" t="s">
        <v>3087</v>
      </c>
      <c r="C203" s="3871">
        <v>8130</v>
      </c>
      <c r="D203" s="3871">
        <v>8070</v>
      </c>
      <c r="E203" s="3871">
        <v>10820</v>
      </c>
      <c r="F203" s="3871">
        <v>1690</v>
      </c>
      <c r="G203" s="3879">
        <v>5100</v>
      </c>
    </row>
    <row r="204" spans="1:7" s="3219" customFormat="1" ht="14.25" hidden="1" customHeight="1">
      <c r="A204" s="3871" t="s">
        <v>304</v>
      </c>
      <c r="B204" s="3871" t="s">
        <v>2907</v>
      </c>
      <c r="C204" s="3871">
        <v>8350</v>
      </c>
      <c r="D204" s="3871">
        <v>8290</v>
      </c>
      <c r="E204" s="3871">
        <v>11080</v>
      </c>
      <c r="F204" s="3871">
        <v>1450</v>
      </c>
      <c r="G204" s="3879">
        <v>5240</v>
      </c>
    </row>
    <row r="205" spans="1:7" s="3219" customFormat="1" ht="14.25" hidden="1" customHeight="1">
      <c r="A205" s="3871" t="s">
        <v>304</v>
      </c>
      <c r="B205" s="3871" t="s">
        <v>2909</v>
      </c>
      <c r="C205" s="3871">
        <v>7190</v>
      </c>
      <c r="D205" s="3871">
        <v>7130</v>
      </c>
      <c r="E205" s="3871">
        <v>9490</v>
      </c>
      <c r="F205" s="3871">
        <v>1470</v>
      </c>
      <c r="G205" s="3879">
        <v>4510</v>
      </c>
    </row>
    <row r="206" spans="1:7" s="3219" customFormat="1" ht="14.25" hidden="1" customHeight="1">
      <c r="A206" s="3871" t="s">
        <v>304</v>
      </c>
      <c r="B206" s="3871" t="s">
        <v>2912</v>
      </c>
      <c r="C206" s="3871">
        <v>7000</v>
      </c>
      <c r="D206" s="3871">
        <v>6950</v>
      </c>
      <c r="E206" s="3871">
        <v>9170</v>
      </c>
      <c r="F206" s="3871">
        <v>1400</v>
      </c>
      <c r="G206" s="3879">
        <v>4380</v>
      </c>
    </row>
    <row r="207" spans="1:7" s="3219" customFormat="1" ht="14.25" hidden="1" customHeight="1">
      <c r="A207" s="3871" t="s">
        <v>304</v>
      </c>
      <c r="B207" s="3871" t="s">
        <v>2914</v>
      </c>
      <c r="C207" s="3871">
        <v>6950</v>
      </c>
      <c r="D207" s="3871">
        <v>6900</v>
      </c>
      <c r="E207" s="3871">
        <v>9110</v>
      </c>
      <c r="F207" s="3871">
        <v>1790</v>
      </c>
      <c r="G207" s="3879">
        <v>4360</v>
      </c>
    </row>
    <row r="208" spans="1:7" s="3219" customFormat="1" ht="14.25" hidden="1" customHeight="1">
      <c r="A208" s="3871" t="s">
        <v>304</v>
      </c>
      <c r="B208" s="3871" t="s">
        <v>3088</v>
      </c>
      <c r="C208" s="3871">
        <v>9470</v>
      </c>
      <c r="D208" s="3871">
        <v>9410</v>
      </c>
      <c r="E208" s="3871">
        <v>12330</v>
      </c>
      <c r="F208" s="3871">
        <v>1770</v>
      </c>
      <c r="G208" s="3879">
        <v>5940</v>
      </c>
    </row>
    <row r="209" spans="1:7" s="3219" customFormat="1" ht="14.25" hidden="1" customHeight="1">
      <c r="A209" s="3871" t="s">
        <v>304</v>
      </c>
      <c r="B209" s="3871" t="s">
        <v>264</v>
      </c>
      <c r="C209" s="3871">
        <v>8740</v>
      </c>
      <c r="D209" s="3871">
        <v>8700</v>
      </c>
      <c r="E209" s="3871">
        <v>11500</v>
      </c>
      <c r="F209" s="3871">
        <v>1730</v>
      </c>
      <c r="G209" s="3879">
        <v>5490</v>
      </c>
    </row>
    <row r="210" spans="1:7" s="3219" customFormat="1" ht="14.25" hidden="1" customHeight="1">
      <c r="A210" s="3871" t="s">
        <v>304</v>
      </c>
      <c r="B210" s="3871" t="s">
        <v>2924</v>
      </c>
      <c r="C210" s="3871">
        <v>8710</v>
      </c>
      <c r="D210" s="3871">
        <v>8660</v>
      </c>
      <c r="E210" s="3871">
        <v>11440</v>
      </c>
      <c r="F210" s="3871">
        <v>1740</v>
      </c>
      <c r="G210" s="3879">
        <v>5470</v>
      </c>
    </row>
    <row r="211" spans="1:7" s="3219" customFormat="1" ht="14.25" hidden="1" customHeight="1">
      <c r="A211" s="3871" t="s">
        <v>304</v>
      </c>
      <c r="B211" s="3871" t="s">
        <v>3089</v>
      </c>
      <c r="C211" s="3871">
        <v>9480</v>
      </c>
      <c r="D211" s="3871">
        <v>9430</v>
      </c>
      <c r="E211" s="3871">
        <v>12360</v>
      </c>
      <c r="F211" s="3871">
        <v>1820</v>
      </c>
      <c r="G211" s="3879">
        <v>5950</v>
      </c>
    </row>
    <row r="212" spans="1:7" s="3219" customFormat="1" ht="14.25" hidden="1" customHeight="1">
      <c r="A212" s="3871" t="s">
        <v>304</v>
      </c>
      <c r="B212" s="3871" t="s">
        <v>285</v>
      </c>
      <c r="C212" s="3871">
        <v>9070</v>
      </c>
      <c r="D212" s="3871">
        <v>9020</v>
      </c>
      <c r="E212" s="3871">
        <v>11720</v>
      </c>
      <c r="F212" s="3871">
        <v>1850</v>
      </c>
      <c r="G212" s="3879">
        <v>5700</v>
      </c>
    </row>
    <row r="213" spans="1:7" s="3219" customFormat="1" ht="14.25" hidden="1" customHeight="1">
      <c r="A213" s="3871" t="s">
        <v>304</v>
      </c>
      <c r="B213" s="3871" t="s">
        <v>288</v>
      </c>
      <c r="C213" s="3871">
        <v>9030</v>
      </c>
      <c r="D213" s="3871">
        <v>8980</v>
      </c>
      <c r="E213" s="3871">
        <v>11670</v>
      </c>
      <c r="F213" s="3871">
        <v>1690</v>
      </c>
      <c r="G213" s="3879">
        <v>5670</v>
      </c>
    </row>
    <row r="214" spans="1:7" s="3219" customFormat="1" ht="14.25" hidden="1" customHeight="1">
      <c r="A214" s="3871" t="s">
        <v>304</v>
      </c>
      <c r="B214" s="3871" t="s">
        <v>3090</v>
      </c>
      <c r="C214" s="3871">
        <v>8090</v>
      </c>
      <c r="D214" s="3871">
        <v>8030</v>
      </c>
      <c r="E214" s="3871">
        <v>10780</v>
      </c>
      <c r="F214" s="3871">
        <v>1570</v>
      </c>
      <c r="G214" s="3879">
        <v>5070</v>
      </c>
    </row>
    <row r="215" spans="1:7" s="3219" customFormat="1" ht="14.25" hidden="1" customHeight="1">
      <c r="A215" s="3871" t="s">
        <v>304</v>
      </c>
      <c r="B215" s="3871" t="s">
        <v>3091</v>
      </c>
      <c r="C215" s="3871">
        <v>7950</v>
      </c>
      <c r="D215" s="3871">
        <v>7900</v>
      </c>
      <c r="E215" s="3871">
        <v>10560</v>
      </c>
      <c r="F215" s="3871">
        <v>1630</v>
      </c>
      <c r="G215" s="3879">
        <v>4990</v>
      </c>
    </row>
    <row r="216" spans="1:7" s="3219" customFormat="1" ht="14.25" hidden="1" customHeight="1">
      <c r="A216" s="3871" t="s">
        <v>304</v>
      </c>
      <c r="B216" s="3871" t="s">
        <v>3092</v>
      </c>
      <c r="C216" s="3871">
        <v>8490</v>
      </c>
      <c r="D216" s="3871">
        <v>8440</v>
      </c>
      <c r="E216" s="3871">
        <v>11260</v>
      </c>
      <c r="F216" s="3871">
        <v>1690</v>
      </c>
      <c r="G216" s="3879">
        <v>5330</v>
      </c>
    </row>
    <row r="217" spans="1:7" s="3219" customFormat="1" ht="14.25" hidden="1" customHeight="1">
      <c r="A217" s="3871" t="s">
        <v>304</v>
      </c>
      <c r="B217" s="3871" t="s">
        <v>2957</v>
      </c>
      <c r="C217" s="3871">
        <v>8200</v>
      </c>
      <c r="D217" s="3871">
        <v>8150</v>
      </c>
      <c r="E217" s="3871">
        <v>10910</v>
      </c>
      <c r="F217" s="3871">
        <v>1670</v>
      </c>
      <c r="G217" s="3879">
        <v>5150</v>
      </c>
    </row>
    <row r="218" spans="1:7" s="3219" customFormat="1" ht="14.25" hidden="1" customHeight="1">
      <c r="A218" s="3871" t="s">
        <v>304</v>
      </c>
      <c r="B218" s="3871" t="s">
        <v>3093</v>
      </c>
      <c r="C218" s="3871"/>
      <c r="D218" s="3871"/>
      <c r="E218" s="3871"/>
      <c r="F218" s="3871">
        <v>2040</v>
      </c>
      <c r="G218" s="3879"/>
    </row>
    <row r="219" spans="1:7" s="3219" customFormat="1" ht="14.25" hidden="1" customHeight="1">
      <c r="A219" s="3871" t="s">
        <v>304</v>
      </c>
      <c r="B219" s="3871" t="s">
        <v>3094</v>
      </c>
      <c r="C219" s="3871"/>
      <c r="D219" s="3871"/>
      <c r="E219" s="3871"/>
      <c r="F219" s="3871">
        <v>2040</v>
      </c>
      <c r="G219" s="3879"/>
    </row>
    <row r="220" spans="1:7" s="3219" customFormat="1" ht="14.25" hidden="1" customHeight="1">
      <c r="A220" s="3871" t="s">
        <v>304</v>
      </c>
      <c r="B220" s="3871" t="s">
        <v>3095</v>
      </c>
      <c r="C220" s="3871"/>
      <c r="D220" s="3871"/>
      <c r="E220" s="3871"/>
      <c r="F220" s="3871">
        <v>2040</v>
      </c>
      <c r="G220" s="3879"/>
    </row>
    <row r="221" spans="1:7" s="3219" customFormat="1" ht="14.25" hidden="1" customHeight="1">
      <c r="A221" s="3871" t="s">
        <v>304</v>
      </c>
      <c r="B221" s="3871" t="s">
        <v>3096</v>
      </c>
      <c r="C221" s="3871"/>
      <c r="D221" s="3871"/>
      <c r="E221" s="3871"/>
      <c r="F221" s="3871">
        <v>2040</v>
      </c>
      <c r="G221" s="3879"/>
    </row>
    <row r="222" spans="1:7" s="3219" customFormat="1" ht="14.25" hidden="1" customHeight="1">
      <c r="A222" s="3871" t="s">
        <v>304</v>
      </c>
      <c r="B222" s="3871" t="s">
        <v>3097</v>
      </c>
      <c r="C222" s="3871"/>
      <c r="D222" s="3871"/>
      <c r="E222" s="3871"/>
      <c r="F222" s="3871">
        <v>2040</v>
      </c>
      <c r="G222" s="3879"/>
    </row>
    <row r="223" spans="1:7" s="3219" customFormat="1" ht="14.25" hidden="1" customHeight="1">
      <c r="A223" s="3871" t="s">
        <v>304</v>
      </c>
      <c r="B223" s="3871" t="s">
        <v>3098</v>
      </c>
      <c r="C223" s="3871"/>
      <c r="D223" s="3871"/>
      <c r="E223" s="3871"/>
      <c r="F223" s="3871">
        <v>1930</v>
      </c>
      <c r="G223" s="3879"/>
    </row>
    <row r="224" spans="1:7" s="3219" customFormat="1" ht="14.25" hidden="1" customHeight="1">
      <c r="A224" s="3871" t="s">
        <v>304</v>
      </c>
      <c r="B224" s="3871" t="s">
        <v>3099</v>
      </c>
      <c r="C224" s="3871"/>
      <c r="D224" s="3871"/>
      <c r="E224" s="3871"/>
      <c r="F224" s="3871">
        <v>1930</v>
      </c>
      <c r="G224" s="3879"/>
    </row>
    <row r="225" spans="1:7" s="3219" customFormat="1" ht="14.25" hidden="1" customHeight="1">
      <c r="A225" s="3871" t="s">
        <v>304</v>
      </c>
      <c r="B225" s="3871" t="s">
        <v>3100</v>
      </c>
      <c r="C225" s="3871"/>
      <c r="D225" s="3871"/>
      <c r="E225" s="3871"/>
      <c r="F225" s="3871">
        <v>1930</v>
      </c>
      <c r="G225" s="3879"/>
    </row>
    <row r="226" spans="1:7" s="3219" customFormat="1" ht="14.25" hidden="1" customHeight="1">
      <c r="A226" s="3871" t="s">
        <v>304</v>
      </c>
      <c r="B226" s="3871" t="s">
        <v>3101</v>
      </c>
      <c r="C226" s="3871"/>
      <c r="D226" s="3871"/>
      <c r="E226" s="3871"/>
      <c r="F226" s="3871">
        <v>1700</v>
      </c>
      <c r="G226" s="3879"/>
    </row>
    <row r="227" spans="1:7" s="3219" customFormat="1" ht="14.25" hidden="1" customHeight="1">
      <c r="A227" s="3871" t="s">
        <v>304</v>
      </c>
      <c r="B227" s="3871" t="s">
        <v>3102</v>
      </c>
      <c r="C227" s="3871"/>
      <c r="D227" s="3871"/>
      <c r="E227" s="3871"/>
      <c r="F227" s="3871">
        <v>1520</v>
      </c>
      <c r="G227" s="3879"/>
    </row>
    <row r="228" spans="1:7" s="3219" customFormat="1" ht="14.25" hidden="1" customHeight="1">
      <c r="A228" s="3871" t="s">
        <v>304</v>
      </c>
      <c r="B228" s="3871" t="s">
        <v>3103</v>
      </c>
      <c r="C228" s="3871"/>
      <c r="D228" s="3871"/>
      <c r="E228" s="3871"/>
      <c r="F228" s="3871">
        <v>1520</v>
      </c>
      <c r="G228" s="3879"/>
    </row>
    <row r="229" spans="1:7" s="3219" customFormat="1" ht="14.25" hidden="1" customHeight="1">
      <c r="A229" s="3871" t="s">
        <v>304</v>
      </c>
      <c r="B229" s="3871" t="s">
        <v>3020</v>
      </c>
      <c r="C229" s="3871"/>
      <c r="D229" s="3871"/>
      <c r="E229" s="3871"/>
      <c r="F229" s="3871">
        <v>1520</v>
      </c>
      <c r="G229" s="3879"/>
    </row>
    <row r="230" spans="1:7" s="3219" customFormat="1" ht="14.25" hidden="1" customHeight="1">
      <c r="A230" s="3871" t="s">
        <v>304</v>
      </c>
      <c r="B230" s="3871" t="s">
        <v>3104</v>
      </c>
      <c r="C230" s="3871"/>
      <c r="D230" s="3871"/>
      <c r="E230" s="3871"/>
      <c r="F230" s="3871">
        <v>1820</v>
      </c>
      <c r="G230" s="3879"/>
    </row>
    <row r="231" spans="1:7" s="3219" customFormat="1" ht="14.25" hidden="1" customHeight="1">
      <c r="A231" s="3871" t="s">
        <v>304</v>
      </c>
      <c r="B231" s="3871" t="s">
        <v>3105</v>
      </c>
      <c r="C231" s="3871"/>
      <c r="D231" s="3871"/>
      <c r="E231" s="3871"/>
      <c r="F231" s="3871">
        <v>1760</v>
      </c>
      <c r="G231" s="3879"/>
    </row>
    <row r="232" spans="1:7" s="3219" customFormat="1" ht="14.25" hidden="1" customHeight="1">
      <c r="A232" s="3871" t="s">
        <v>304</v>
      </c>
      <c r="B232" s="3871" t="s">
        <v>3106</v>
      </c>
      <c r="C232" s="3871"/>
      <c r="D232" s="3871"/>
      <c r="E232" s="3871"/>
      <c r="F232" s="3871">
        <v>1840</v>
      </c>
      <c r="G232" s="3879"/>
    </row>
    <row r="233" spans="1:7" s="3219" customFormat="1" ht="14.25" hidden="1" customHeight="1" thickBot="1">
      <c r="A233" s="3880" t="s">
        <v>304</v>
      </c>
      <c r="B233" s="3875" t="s">
        <v>3037</v>
      </c>
      <c r="C233" s="3875"/>
      <c r="D233" s="3875"/>
      <c r="E233" s="3875"/>
      <c r="F233" s="3875">
        <v>1770</v>
      </c>
      <c r="G233" s="3881"/>
    </row>
    <row r="234" spans="1:7" s="3219" customFormat="1" ht="14.25" hidden="1" customHeight="1">
      <c r="A234" s="3869" t="s">
        <v>305</v>
      </c>
      <c r="B234" s="3870" t="s">
        <v>3107</v>
      </c>
      <c r="C234" s="3871">
        <v>6980</v>
      </c>
      <c r="D234" s="3871">
        <v>6970</v>
      </c>
      <c r="E234" s="3871">
        <v>8720</v>
      </c>
      <c r="F234" s="3871">
        <v>1350</v>
      </c>
      <c r="G234" s="3871">
        <v>4280</v>
      </c>
    </row>
    <row r="235" spans="1:7" s="3219" customFormat="1" ht="14.25" hidden="1" customHeight="1">
      <c r="A235" s="3871" t="s">
        <v>305</v>
      </c>
      <c r="B235" s="3871" t="s">
        <v>134</v>
      </c>
      <c r="C235" s="3871">
        <v>7620</v>
      </c>
      <c r="D235" s="3871">
        <v>7580</v>
      </c>
      <c r="E235" s="3871">
        <v>9360</v>
      </c>
      <c r="F235" s="3871">
        <v>1490</v>
      </c>
      <c r="G235" s="3871">
        <v>4650</v>
      </c>
    </row>
    <row r="236" spans="1:7" s="3219" customFormat="1" ht="14.25" hidden="1" customHeight="1">
      <c r="A236" s="3871" t="s">
        <v>305</v>
      </c>
      <c r="B236" s="3871" t="s">
        <v>143</v>
      </c>
      <c r="C236" s="3871">
        <v>6650</v>
      </c>
      <c r="D236" s="3871">
        <v>6630</v>
      </c>
      <c r="E236" s="3871">
        <v>8330</v>
      </c>
      <c r="F236" s="3871">
        <v>1250</v>
      </c>
      <c r="G236" s="3871">
        <v>4070</v>
      </c>
    </row>
    <row r="237" spans="1:7" s="3219" customFormat="1" ht="14.25" hidden="1" customHeight="1">
      <c r="A237" s="3871" t="s">
        <v>305</v>
      </c>
      <c r="B237" s="3871" t="s">
        <v>152</v>
      </c>
      <c r="C237" s="3871">
        <v>5850</v>
      </c>
      <c r="D237" s="3871">
        <v>5820</v>
      </c>
      <c r="E237" s="3871">
        <v>7260</v>
      </c>
      <c r="F237" s="3871">
        <v>1140</v>
      </c>
      <c r="G237" s="3871">
        <v>3570</v>
      </c>
    </row>
    <row r="238" spans="1:7" s="3219" customFormat="1" ht="14.25" hidden="1" customHeight="1">
      <c r="A238" s="3871" t="s">
        <v>305</v>
      </c>
      <c r="B238" s="3871" t="s">
        <v>2878</v>
      </c>
      <c r="C238" s="3871">
        <v>6920</v>
      </c>
      <c r="D238" s="3871">
        <v>6890</v>
      </c>
      <c r="E238" s="3871">
        <v>8640</v>
      </c>
      <c r="F238" s="3871">
        <v>1310</v>
      </c>
      <c r="G238" s="3871">
        <v>4230</v>
      </c>
    </row>
    <row r="239" spans="1:7" s="3219" customFormat="1" ht="14.25" hidden="1" customHeight="1">
      <c r="A239" s="3871" t="s">
        <v>305</v>
      </c>
      <c r="B239" s="3871" t="s">
        <v>3108</v>
      </c>
      <c r="C239" s="3871">
        <v>6780</v>
      </c>
      <c r="D239" s="3871">
        <v>6750</v>
      </c>
      <c r="E239" s="3871">
        <v>8440</v>
      </c>
      <c r="F239" s="3871">
        <v>1160</v>
      </c>
      <c r="G239" s="3871">
        <v>4140</v>
      </c>
    </row>
    <row r="240" spans="1:7" s="3219" customFormat="1" ht="14.25" hidden="1" customHeight="1">
      <c r="A240" s="3871" t="s">
        <v>305</v>
      </c>
      <c r="B240" s="3871" t="s">
        <v>3109</v>
      </c>
      <c r="C240" s="3871">
        <v>5420</v>
      </c>
      <c r="D240" s="3871">
        <v>5380</v>
      </c>
      <c r="E240" s="3871">
        <v>6640</v>
      </c>
      <c r="F240" s="3871">
        <v>1020</v>
      </c>
      <c r="G240" s="3871">
        <v>3300</v>
      </c>
    </row>
    <row r="241" spans="1:7" s="3219" customFormat="1" ht="14.25" hidden="1" customHeight="1">
      <c r="A241" s="3871" t="s">
        <v>305</v>
      </c>
      <c r="B241" s="3871" t="s">
        <v>3110</v>
      </c>
      <c r="C241" s="3871">
        <v>6660</v>
      </c>
      <c r="D241" s="3871">
        <v>6640</v>
      </c>
      <c r="E241" s="3871">
        <v>8340</v>
      </c>
      <c r="F241" s="3871">
        <v>1130</v>
      </c>
      <c r="G241" s="3871">
        <v>4080</v>
      </c>
    </row>
    <row r="242" spans="1:7" s="3219" customFormat="1" ht="14.25" hidden="1" customHeight="1">
      <c r="A242" s="3871" t="s">
        <v>305</v>
      </c>
      <c r="B242" s="3871" t="s">
        <v>181</v>
      </c>
      <c r="C242" s="3871">
        <v>6580</v>
      </c>
      <c r="D242" s="3871">
        <v>6550</v>
      </c>
      <c r="E242" s="3871">
        <v>8090</v>
      </c>
      <c r="F242" s="3871">
        <v>1240</v>
      </c>
      <c r="G242" s="3871">
        <v>4020</v>
      </c>
    </row>
    <row r="243" spans="1:7" s="3219" customFormat="1" ht="14.25" hidden="1" customHeight="1">
      <c r="A243" s="3871" t="s">
        <v>305</v>
      </c>
      <c r="B243" s="3871" t="s">
        <v>191</v>
      </c>
      <c r="C243" s="3871">
        <v>6000</v>
      </c>
      <c r="D243" s="3871">
        <v>5970</v>
      </c>
      <c r="E243" s="3871">
        <v>7370</v>
      </c>
      <c r="F243" s="3871">
        <v>1070</v>
      </c>
      <c r="G243" s="3871">
        <v>3670</v>
      </c>
    </row>
    <row r="244" spans="1:7" s="3219" customFormat="1" ht="14.25" hidden="1" customHeight="1">
      <c r="A244" s="3871" t="s">
        <v>305</v>
      </c>
      <c r="B244" s="3871" t="s">
        <v>3111</v>
      </c>
      <c r="C244" s="3871">
        <v>5840</v>
      </c>
      <c r="D244" s="3871">
        <v>5810</v>
      </c>
      <c r="E244" s="3871">
        <v>7240</v>
      </c>
      <c r="F244" s="3871">
        <v>1100</v>
      </c>
      <c r="G244" s="3871">
        <v>3560</v>
      </c>
    </row>
    <row r="245" spans="1:7" s="3219" customFormat="1" ht="14.25" hidden="1" customHeight="1">
      <c r="A245" s="3871" t="s">
        <v>305</v>
      </c>
      <c r="B245" s="3871" t="s">
        <v>206</v>
      </c>
      <c r="C245" s="3871">
        <v>6040</v>
      </c>
      <c r="D245" s="3871">
        <v>6000</v>
      </c>
      <c r="E245" s="3871">
        <v>7420</v>
      </c>
      <c r="F245" s="3871">
        <v>1140</v>
      </c>
      <c r="G245" s="3871">
        <v>3690</v>
      </c>
    </row>
    <row r="246" spans="1:7" s="3219" customFormat="1" ht="14.25" hidden="1" customHeight="1">
      <c r="A246" s="3871" t="s">
        <v>305</v>
      </c>
      <c r="B246" s="3871" t="s">
        <v>213</v>
      </c>
      <c r="C246" s="3871">
        <v>5890</v>
      </c>
      <c r="D246" s="3871">
        <v>5860</v>
      </c>
      <c r="E246" s="3871">
        <v>7300</v>
      </c>
      <c r="F246" s="3871">
        <v>1110</v>
      </c>
      <c r="G246" s="3871">
        <v>3590</v>
      </c>
    </row>
    <row r="247" spans="1:7" s="3219" customFormat="1" ht="14.25" hidden="1" customHeight="1">
      <c r="A247" s="3871" t="s">
        <v>305</v>
      </c>
      <c r="B247" s="3871" t="s">
        <v>3112</v>
      </c>
      <c r="C247" s="3871">
        <v>6480</v>
      </c>
      <c r="D247" s="3871">
        <v>6450</v>
      </c>
      <c r="E247" s="3871">
        <v>8010</v>
      </c>
      <c r="F247" s="3871">
        <v>1170</v>
      </c>
      <c r="G247" s="3871">
        <v>3960</v>
      </c>
    </row>
    <row r="248" spans="1:7" s="3219" customFormat="1" ht="14.25" hidden="1" customHeight="1">
      <c r="A248" s="3871" t="s">
        <v>305</v>
      </c>
      <c r="B248" s="3871" t="s">
        <v>227</v>
      </c>
      <c r="C248" s="3871">
        <v>6860</v>
      </c>
      <c r="D248" s="3871">
        <v>6840</v>
      </c>
      <c r="E248" s="3871">
        <v>8520</v>
      </c>
      <c r="F248" s="3871">
        <v>1240</v>
      </c>
      <c r="G248" s="3871">
        <v>4200</v>
      </c>
    </row>
    <row r="249" spans="1:7" s="3219" customFormat="1" ht="14.25" hidden="1" customHeight="1">
      <c r="A249" s="3871" t="s">
        <v>305</v>
      </c>
      <c r="B249" s="3871" t="s">
        <v>3113</v>
      </c>
      <c r="C249" s="3871">
        <v>7180</v>
      </c>
      <c r="D249" s="3871">
        <v>7140</v>
      </c>
      <c r="E249" s="3871">
        <v>8900</v>
      </c>
      <c r="F249" s="3871">
        <v>1350</v>
      </c>
      <c r="G249" s="3871">
        <v>4380</v>
      </c>
    </row>
    <row r="250" spans="1:7" s="3219" customFormat="1" ht="14.25" hidden="1" customHeight="1">
      <c r="A250" s="3871" t="s">
        <v>305</v>
      </c>
      <c r="B250" s="3871" t="s">
        <v>241</v>
      </c>
      <c r="C250" s="3871">
        <v>6880</v>
      </c>
      <c r="D250" s="3871">
        <v>6860</v>
      </c>
      <c r="E250" s="3871">
        <v>8550</v>
      </c>
      <c r="F250" s="3871">
        <v>1220</v>
      </c>
      <c r="G250" s="3871">
        <v>4210</v>
      </c>
    </row>
    <row r="251" spans="1:7" s="3219" customFormat="1" ht="14.25" hidden="1" customHeight="1">
      <c r="A251" s="3871" t="s">
        <v>305</v>
      </c>
      <c r="B251" s="3871" t="s">
        <v>249</v>
      </c>
      <c r="C251" s="3871"/>
      <c r="D251" s="3871"/>
      <c r="E251" s="3871"/>
      <c r="F251" s="3871">
        <v>1100</v>
      </c>
      <c r="G251" s="3871"/>
    </row>
    <row r="252" spans="1:7" s="3219" customFormat="1" ht="14.25" hidden="1" customHeight="1">
      <c r="A252" s="3871" t="s">
        <v>305</v>
      </c>
      <c r="B252" s="3871" t="s">
        <v>3114</v>
      </c>
      <c r="C252" s="3871">
        <v>7240</v>
      </c>
      <c r="D252" s="3871">
        <v>7200</v>
      </c>
      <c r="E252" s="3871">
        <v>9040</v>
      </c>
      <c r="F252" s="3871">
        <v>1380</v>
      </c>
      <c r="G252" s="3871">
        <v>4420</v>
      </c>
    </row>
    <row r="253" spans="1:7" s="3219" customFormat="1" ht="14.25" hidden="1" customHeight="1">
      <c r="A253" s="3871" t="s">
        <v>305</v>
      </c>
      <c r="B253" s="3871" t="s">
        <v>283</v>
      </c>
      <c r="C253" s="3871">
        <v>6670</v>
      </c>
      <c r="D253" s="3871">
        <v>6650</v>
      </c>
      <c r="E253" s="3871">
        <v>8350</v>
      </c>
      <c r="F253" s="3871">
        <v>1260</v>
      </c>
      <c r="G253" s="3871">
        <v>4080</v>
      </c>
    </row>
    <row r="254" spans="1:7" s="3219" customFormat="1" ht="14.25" hidden="1" customHeight="1">
      <c r="A254" s="3871" t="s">
        <v>305</v>
      </c>
      <c r="B254" s="3871" t="s">
        <v>286</v>
      </c>
      <c r="C254" s="3871">
        <v>7630</v>
      </c>
      <c r="D254" s="3871">
        <v>7590</v>
      </c>
      <c r="E254" s="3871">
        <v>9380</v>
      </c>
      <c r="F254" s="3871">
        <v>1320</v>
      </c>
      <c r="G254" s="3871">
        <v>4660</v>
      </c>
    </row>
    <row r="255" spans="1:7" s="3219" customFormat="1" ht="14.25" hidden="1" customHeight="1">
      <c r="A255" s="3871" t="s">
        <v>305</v>
      </c>
      <c r="B255" s="3871" t="s">
        <v>289</v>
      </c>
      <c r="C255" s="3871">
        <v>6940</v>
      </c>
      <c r="D255" s="3871">
        <v>6890</v>
      </c>
      <c r="E255" s="3871">
        <v>8650</v>
      </c>
      <c r="F255" s="3871">
        <v>1210</v>
      </c>
      <c r="G255" s="3871">
        <v>4230</v>
      </c>
    </row>
    <row r="256" spans="1:7" s="3219" customFormat="1" ht="14.25" hidden="1" customHeight="1">
      <c r="A256" s="3871" t="s">
        <v>305</v>
      </c>
      <c r="B256" s="3871" t="s">
        <v>3115</v>
      </c>
      <c r="C256" s="3871">
        <v>7520</v>
      </c>
      <c r="D256" s="3871">
        <v>7490</v>
      </c>
      <c r="E256" s="3871">
        <v>9240</v>
      </c>
      <c r="F256" s="3871">
        <v>1270</v>
      </c>
      <c r="G256" s="3871">
        <v>4590</v>
      </c>
    </row>
    <row r="257" spans="1:7" s="3219" customFormat="1" ht="14.25" hidden="1" customHeight="1">
      <c r="A257" s="3871" t="s">
        <v>305</v>
      </c>
      <c r="B257" s="3871" t="s">
        <v>275</v>
      </c>
      <c r="C257" s="3871">
        <v>6280</v>
      </c>
      <c r="D257" s="3871">
        <v>6230</v>
      </c>
      <c r="E257" s="3871">
        <v>7740</v>
      </c>
      <c r="F257" s="3871">
        <v>1080</v>
      </c>
      <c r="G257" s="3871">
        <v>3830</v>
      </c>
    </row>
    <row r="258" spans="1:7" s="3219" customFormat="1" ht="14.25" hidden="1" customHeight="1">
      <c r="A258" s="3871" t="s">
        <v>305</v>
      </c>
      <c r="B258" s="3871" t="s">
        <v>2940</v>
      </c>
      <c r="C258" s="3871">
        <v>6190</v>
      </c>
      <c r="D258" s="3871">
        <v>6160</v>
      </c>
      <c r="E258" s="3871">
        <v>7680</v>
      </c>
      <c r="F258" s="3871">
        <v>1170</v>
      </c>
      <c r="G258" s="3871">
        <v>3780</v>
      </c>
    </row>
    <row r="259" spans="1:7" s="3219" customFormat="1" ht="14.25" hidden="1" customHeight="1">
      <c r="A259" s="3871" t="s">
        <v>305</v>
      </c>
      <c r="B259" s="3871" t="s">
        <v>3116</v>
      </c>
      <c r="C259" s="3871">
        <v>7610</v>
      </c>
      <c r="D259" s="3871">
        <v>7570</v>
      </c>
      <c r="E259" s="3871">
        <v>9350</v>
      </c>
      <c r="F259" s="3871">
        <v>1350</v>
      </c>
      <c r="G259" s="3871">
        <v>4650</v>
      </c>
    </row>
    <row r="260" spans="1:7" s="3219" customFormat="1" ht="14.25" hidden="1" customHeight="1">
      <c r="A260" s="3871" t="s">
        <v>305</v>
      </c>
      <c r="B260" s="3871" t="s">
        <v>3117</v>
      </c>
      <c r="C260" s="3871">
        <v>6920</v>
      </c>
      <c r="D260" s="3871">
        <v>6880</v>
      </c>
      <c r="E260" s="3871">
        <v>8380</v>
      </c>
      <c r="F260" s="3871">
        <v>1160</v>
      </c>
      <c r="G260" s="3871">
        <v>4220</v>
      </c>
    </row>
    <row r="261" spans="1:7" s="3219" customFormat="1" ht="14.25" hidden="1" customHeight="1">
      <c r="A261" s="3871" t="s">
        <v>305</v>
      </c>
      <c r="B261" s="3871" t="s">
        <v>3118</v>
      </c>
      <c r="C261" s="3871">
        <v>6850</v>
      </c>
      <c r="D261" s="3871">
        <v>6810</v>
      </c>
      <c r="E261" s="3871">
        <v>8290</v>
      </c>
      <c r="F261" s="3871">
        <v>1130</v>
      </c>
      <c r="G261" s="3871">
        <v>4180</v>
      </c>
    </row>
    <row r="262" spans="1:7" s="3219" customFormat="1" ht="14.25" hidden="1" customHeight="1">
      <c r="A262" s="3871" t="s">
        <v>305</v>
      </c>
      <c r="B262" s="3871" t="s">
        <v>3119</v>
      </c>
      <c r="C262" s="3871">
        <v>5860</v>
      </c>
      <c r="D262" s="3871">
        <v>5820</v>
      </c>
      <c r="E262" s="3871">
        <v>7640</v>
      </c>
      <c r="F262" s="3871">
        <v>1070</v>
      </c>
      <c r="G262" s="3871">
        <v>3570</v>
      </c>
    </row>
    <row r="263" spans="1:7" s="3219" customFormat="1" ht="14.25" hidden="1" customHeight="1">
      <c r="A263" s="3871" t="s">
        <v>305</v>
      </c>
      <c r="B263" s="3871" t="s">
        <v>3120</v>
      </c>
      <c r="C263" s="3871">
        <v>5870</v>
      </c>
      <c r="D263" s="3871">
        <v>5840</v>
      </c>
      <c r="E263" s="3871">
        <v>7270</v>
      </c>
      <c r="F263" s="3871">
        <v>1190</v>
      </c>
      <c r="G263" s="3871">
        <v>3580</v>
      </c>
    </row>
    <row r="264" spans="1:7" s="3219" customFormat="1" ht="14.25" hidden="1" customHeight="1">
      <c r="A264" s="3871" t="s">
        <v>305</v>
      </c>
      <c r="B264" s="3871" t="s">
        <v>299</v>
      </c>
      <c r="C264" s="3871">
        <v>6190</v>
      </c>
      <c r="D264" s="3871">
        <v>6150</v>
      </c>
      <c r="E264" s="3871">
        <v>7660</v>
      </c>
      <c r="F264" s="3871">
        <v>1160</v>
      </c>
      <c r="G264" s="3871">
        <v>3770</v>
      </c>
    </row>
    <row r="265" spans="1:7" s="3219" customFormat="1" ht="14.25" hidden="1" customHeight="1">
      <c r="A265" s="3871" t="s">
        <v>305</v>
      </c>
      <c r="B265" s="3871" t="s">
        <v>3121</v>
      </c>
      <c r="C265" s="3871"/>
      <c r="D265" s="3871"/>
      <c r="E265" s="3871"/>
      <c r="F265" s="3871">
        <v>1500</v>
      </c>
      <c r="G265" s="3871"/>
    </row>
    <row r="266" spans="1:7" s="3219" customFormat="1" ht="14.25" hidden="1" customHeight="1">
      <c r="A266" s="3871" t="s">
        <v>305</v>
      </c>
      <c r="B266" s="3871" t="s">
        <v>3122</v>
      </c>
      <c r="C266" s="3871"/>
      <c r="D266" s="3871"/>
      <c r="E266" s="3871"/>
      <c r="F266" s="3871">
        <v>1500</v>
      </c>
      <c r="G266" s="3871"/>
    </row>
    <row r="267" spans="1:7" s="3219" customFormat="1" ht="14.25" hidden="1" customHeight="1">
      <c r="A267" s="3871" t="s">
        <v>305</v>
      </c>
      <c r="B267" s="3871" t="s">
        <v>3123</v>
      </c>
      <c r="C267" s="3871"/>
      <c r="D267" s="3871"/>
      <c r="E267" s="3871"/>
      <c r="F267" s="3871">
        <v>1500</v>
      </c>
      <c r="G267" s="3871"/>
    </row>
    <row r="268" spans="1:7" s="3219" customFormat="1" ht="14.25" hidden="1" customHeight="1">
      <c r="A268" s="3871" t="s">
        <v>305</v>
      </c>
      <c r="B268" s="3871" t="s">
        <v>3124</v>
      </c>
      <c r="C268" s="3871"/>
      <c r="D268" s="3871"/>
      <c r="E268" s="3871"/>
      <c r="F268" s="3871">
        <v>1290</v>
      </c>
      <c r="G268" s="3871"/>
    </row>
    <row r="269" spans="1:7" s="3219" customFormat="1" ht="14.25" hidden="1" customHeight="1">
      <c r="A269" s="3871" t="s">
        <v>305</v>
      </c>
      <c r="B269" s="3871" t="s">
        <v>3125</v>
      </c>
      <c r="C269" s="3871"/>
      <c r="D269" s="3871"/>
      <c r="E269" s="3871"/>
      <c r="F269" s="3871">
        <v>1150</v>
      </c>
      <c r="G269" s="3871"/>
    </row>
    <row r="270" spans="1:7" s="3219" customFormat="1" ht="14.25" hidden="1" customHeight="1">
      <c r="A270" s="3871" t="s">
        <v>305</v>
      </c>
      <c r="B270" s="3871" t="s">
        <v>3126</v>
      </c>
      <c r="C270" s="3871"/>
      <c r="D270" s="3871"/>
      <c r="E270" s="3871"/>
      <c r="F270" s="3871">
        <v>1380</v>
      </c>
      <c r="G270" s="3871"/>
    </row>
    <row r="271" spans="1:7" s="3219" customFormat="1" ht="14.25" hidden="1" customHeight="1">
      <c r="A271" s="3871" t="s">
        <v>305</v>
      </c>
      <c r="B271" s="3871" t="s">
        <v>3127</v>
      </c>
      <c r="C271" s="3871"/>
      <c r="D271" s="3871"/>
      <c r="E271" s="3871"/>
      <c r="F271" s="3871">
        <v>1460</v>
      </c>
      <c r="G271" s="3871"/>
    </row>
    <row r="272" spans="1:7" s="3219" customFormat="1" ht="14.25" hidden="1" customHeight="1">
      <c r="A272" s="3871" t="s">
        <v>305</v>
      </c>
      <c r="B272" s="3871" t="s">
        <v>3128</v>
      </c>
      <c r="C272" s="3871"/>
      <c r="D272" s="3871"/>
      <c r="E272" s="3871"/>
      <c r="F272" s="3871">
        <v>1460</v>
      </c>
      <c r="G272" s="3871"/>
    </row>
    <row r="273" spans="1:7" s="3219" customFormat="1" ht="14.25" hidden="1" customHeight="1">
      <c r="A273" s="3871" t="s">
        <v>305</v>
      </c>
      <c r="B273" s="3871" t="s">
        <v>3021</v>
      </c>
      <c r="C273" s="3871"/>
      <c r="D273" s="3871"/>
      <c r="E273" s="3871"/>
      <c r="F273" s="3871">
        <v>1490</v>
      </c>
      <c r="G273" s="3871"/>
    </row>
    <row r="274" spans="1:7" s="3219" customFormat="1" ht="14.25" hidden="1" customHeight="1">
      <c r="A274" s="3871" t="s">
        <v>305</v>
      </c>
      <c r="B274" s="3871" t="s">
        <v>3129</v>
      </c>
      <c r="C274" s="3871"/>
      <c r="D274" s="3871"/>
      <c r="E274" s="3871"/>
      <c r="F274" s="3871">
        <v>1490</v>
      </c>
      <c r="G274" s="3871"/>
    </row>
    <row r="275" spans="1:7" s="3219" customFormat="1" ht="14.25" hidden="1" customHeight="1">
      <c r="A275" s="3871" t="s">
        <v>305</v>
      </c>
      <c r="B275" s="3871" t="s">
        <v>3130</v>
      </c>
      <c r="C275" s="3871"/>
      <c r="D275" s="3871"/>
      <c r="E275" s="3871"/>
      <c r="F275" s="3871">
        <v>1220</v>
      </c>
      <c r="G275" s="3871"/>
    </row>
    <row r="276" spans="1:7" s="3219" customFormat="1" ht="14.25" hidden="1" customHeight="1" thickBot="1">
      <c r="A276" s="3873" t="s">
        <v>305</v>
      </c>
      <c r="B276" s="3876" t="s">
        <v>3131</v>
      </c>
      <c r="C276" s="3877"/>
      <c r="D276" s="3877"/>
      <c r="E276" s="3877"/>
      <c r="F276" s="3877">
        <v>1380</v>
      </c>
      <c r="G276" s="3877"/>
    </row>
    <row r="277" spans="1:7" s="3219" customFormat="1" ht="14.25" hidden="1" customHeight="1">
      <c r="A277" s="3869" t="s">
        <v>306</v>
      </c>
      <c r="B277" s="3870" t="s">
        <v>3132</v>
      </c>
      <c r="C277" s="3870">
        <v>5790</v>
      </c>
      <c r="D277" s="3870">
        <v>5740</v>
      </c>
      <c r="E277" s="3870">
        <v>6730</v>
      </c>
      <c r="F277" s="3870">
        <v>1110</v>
      </c>
      <c r="G277" s="3878">
        <v>3460</v>
      </c>
    </row>
    <row r="278" spans="1:7" s="3219" customFormat="1" ht="14.25" hidden="1" customHeight="1">
      <c r="A278" s="3871" t="s">
        <v>306</v>
      </c>
      <c r="B278" s="3871" t="s">
        <v>135</v>
      </c>
      <c r="C278" s="3871">
        <v>5740</v>
      </c>
      <c r="D278" s="3871">
        <v>5670</v>
      </c>
      <c r="E278" s="3871">
        <v>6680</v>
      </c>
      <c r="F278" s="3871">
        <v>1070</v>
      </c>
      <c r="G278" s="3879">
        <v>3420</v>
      </c>
    </row>
    <row r="279" spans="1:7" s="3219" customFormat="1" ht="14.25" hidden="1" customHeight="1">
      <c r="A279" s="3871" t="s">
        <v>306</v>
      </c>
      <c r="B279" s="3871" t="s">
        <v>3133</v>
      </c>
      <c r="C279" s="3871">
        <v>4760</v>
      </c>
      <c r="D279" s="3871">
        <v>4720</v>
      </c>
      <c r="E279" s="3871">
        <v>5540</v>
      </c>
      <c r="F279" s="3871">
        <v>810</v>
      </c>
      <c r="G279" s="3879">
        <v>2850</v>
      </c>
    </row>
    <row r="280" spans="1:7" s="3219" customFormat="1" ht="14.25" hidden="1" customHeight="1">
      <c r="A280" s="3871" t="s">
        <v>306</v>
      </c>
      <c r="B280" s="3871" t="s">
        <v>3134</v>
      </c>
      <c r="C280" s="3871">
        <v>4010</v>
      </c>
      <c r="D280" s="3871">
        <v>3950</v>
      </c>
      <c r="E280" s="3871">
        <v>4710</v>
      </c>
      <c r="F280" s="3871">
        <v>800</v>
      </c>
      <c r="G280" s="3879">
        <v>2390</v>
      </c>
    </row>
    <row r="281" spans="1:7" s="3219" customFormat="1" ht="14.25" hidden="1" customHeight="1">
      <c r="A281" s="3871" t="s">
        <v>306</v>
      </c>
      <c r="B281" s="3871" t="s">
        <v>3135</v>
      </c>
      <c r="C281" s="3871">
        <v>4480</v>
      </c>
      <c r="D281" s="3871">
        <v>4420</v>
      </c>
      <c r="E281" s="3871">
        <v>5230</v>
      </c>
      <c r="F281" s="3871">
        <v>870</v>
      </c>
      <c r="G281" s="3879">
        <v>2660</v>
      </c>
    </row>
    <row r="282" spans="1:7" s="3219" customFormat="1" ht="14.25" hidden="1" customHeight="1">
      <c r="A282" s="3871" t="s">
        <v>306</v>
      </c>
      <c r="B282" s="3871" t="s">
        <v>3136</v>
      </c>
      <c r="C282" s="3871">
        <v>5360</v>
      </c>
      <c r="D282" s="3871">
        <v>5300</v>
      </c>
      <c r="E282" s="3871">
        <v>6190</v>
      </c>
      <c r="F282" s="3871">
        <v>950</v>
      </c>
      <c r="G282" s="3879">
        <v>3190</v>
      </c>
    </row>
    <row r="283" spans="1:7" s="3219" customFormat="1" ht="14.25" hidden="1" customHeight="1">
      <c r="A283" s="3871" t="s">
        <v>306</v>
      </c>
      <c r="B283" s="3871" t="s">
        <v>174</v>
      </c>
      <c r="C283" s="3871">
        <v>4950</v>
      </c>
      <c r="D283" s="3871">
        <v>4900</v>
      </c>
      <c r="E283" s="3871">
        <v>5720</v>
      </c>
      <c r="F283" s="3871">
        <v>920</v>
      </c>
      <c r="G283" s="3879">
        <v>2950</v>
      </c>
    </row>
    <row r="284" spans="1:7" s="3219" customFormat="1" ht="14.25" hidden="1" customHeight="1">
      <c r="A284" s="3871" t="s">
        <v>306</v>
      </c>
      <c r="B284" s="3871" t="s">
        <v>182</v>
      </c>
      <c r="C284" s="3871">
        <v>5610</v>
      </c>
      <c r="D284" s="3871">
        <v>5560</v>
      </c>
      <c r="E284" s="3871">
        <v>6520</v>
      </c>
      <c r="F284" s="3871">
        <v>1030</v>
      </c>
      <c r="G284" s="3879">
        <v>3360</v>
      </c>
    </row>
    <row r="285" spans="1:7" s="3219" customFormat="1" ht="14.25" hidden="1" customHeight="1">
      <c r="A285" s="3871" t="s">
        <v>306</v>
      </c>
      <c r="B285" s="3871" t="s">
        <v>192</v>
      </c>
      <c r="C285" s="3871">
        <v>5340</v>
      </c>
      <c r="D285" s="3871">
        <v>5290</v>
      </c>
      <c r="E285" s="3871">
        <v>6170</v>
      </c>
      <c r="F285" s="3871">
        <v>1080</v>
      </c>
      <c r="G285" s="3879">
        <v>3180</v>
      </c>
    </row>
    <row r="286" spans="1:7" s="3219" customFormat="1" ht="14.25" hidden="1" customHeight="1">
      <c r="A286" s="3871" t="s">
        <v>306</v>
      </c>
      <c r="B286" s="3871" t="s">
        <v>199</v>
      </c>
      <c r="C286" s="3871">
        <v>4890</v>
      </c>
      <c r="D286" s="3871">
        <v>4840</v>
      </c>
      <c r="E286" s="3871">
        <v>5640</v>
      </c>
      <c r="F286" s="3871">
        <v>960</v>
      </c>
      <c r="G286" s="3879">
        <v>2910</v>
      </c>
    </row>
    <row r="287" spans="1:7" s="3219" customFormat="1" ht="14.25" hidden="1" customHeight="1">
      <c r="A287" s="3871" t="s">
        <v>306</v>
      </c>
      <c r="B287" s="3871" t="s">
        <v>3137</v>
      </c>
      <c r="C287" s="3871">
        <v>4960</v>
      </c>
      <c r="D287" s="3871">
        <v>4920</v>
      </c>
      <c r="E287" s="3871">
        <v>5730</v>
      </c>
      <c r="F287" s="3871">
        <v>930</v>
      </c>
      <c r="G287" s="3879">
        <v>2960</v>
      </c>
    </row>
    <row r="288" spans="1:7" s="3219" customFormat="1" ht="14.25" hidden="1" customHeight="1">
      <c r="A288" s="3871" t="s">
        <v>306</v>
      </c>
      <c r="B288" s="3871" t="s">
        <v>219</v>
      </c>
      <c r="C288" s="3871">
        <v>4350</v>
      </c>
      <c r="D288" s="3871">
        <v>4300</v>
      </c>
      <c r="E288" s="3871">
        <v>4900</v>
      </c>
      <c r="F288" s="3871">
        <v>820</v>
      </c>
      <c r="G288" s="3879">
        <v>2590</v>
      </c>
    </row>
    <row r="289" spans="1:7" s="3219" customFormat="1" ht="14.25" hidden="1" customHeight="1">
      <c r="A289" s="3871" t="s">
        <v>306</v>
      </c>
      <c r="B289" s="3871" t="s">
        <v>3138</v>
      </c>
      <c r="C289" s="3871">
        <v>5230</v>
      </c>
      <c r="D289" s="3871">
        <v>5170</v>
      </c>
      <c r="E289" s="3871">
        <v>6060</v>
      </c>
      <c r="F289" s="3871">
        <v>900</v>
      </c>
      <c r="G289" s="3879">
        <v>3120</v>
      </c>
    </row>
    <row r="290" spans="1:7" s="3219" customFormat="1" ht="14.25" hidden="1" customHeight="1">
      <c r="A290" s="3871" t="s">
        <v>306</v>
      </c>
      <c r="B290" s="3871" t="s">
        <v>242</v>
      </c>
      <c r="C290" s="3871">
        <v>5550</v>
      </c>
      <c r="D290" s="3871">
        <v>5500</v>
      </c>
      <c r="E290" s="3871">
        <v>6440</v>
      </c>
      <c r="F290" s="3871">
        <v>960</v>
      </c>
      <c r="G290" s="3879">
        <v>3320</v>
      </c>
    </row>
    <row r="291" spans="1:7" s="3219" customFormat="1" ht="14.25" hidden="1" customHeight="1">
      <c r="A291" s="3871" t="s">
        <v>306</v>
      </c>
      <c r="B291" s="3871" t="s">
        <v>250</v>
      </c>
      <c r="C291" s="3871">
        <v>5440</v>
      </c>
      <c r="D291" s="3871">
        <v>5400</v>
      </c>
      <c r="E291" s="3871">
        <v>6320</v>
      </c>
      <c r="F291" s="3871">
        <v>930</v>
      </c>
      <c r="G291" s="3879">
        <v>3250</v>
      </c>
    </row>
    <row r="292" spans="1:7" s="3219" customFormat="1" ht="14.25" hidden="1" customHeight="1">
      <c r="A292" s="3871" t="s">
        <v>306</v>
      </c>
      <c r="B292" s="3871" t="s">
        <v>256</v>
      </c>
      <c r="C292" s="3871">
        <v>5400</v>
      </c>
      <c r="D292" s="3871">
        <v>5360</v>
      </c>
      <c r="E292" s="3871">
        <v>6270</v>
      </c>
      <c r="F292" s="3871">
        <v>1040</v>
      </c>
      <c r="G292" s="3879">
        <v>3230</v>
      </c>
    </row>
    <row r="293" spans="1:7" s="3219" customFormat="1" ht="14.25" hidden="1" customHeight="1">
      <c r="A293" s="3871" t="s">
        <v>306</v>
      </c>
      <c r="B293" s="3871" t="s">
        <v>2913</v>
      </c>
      <c r="C293" s="3871">
        <v>5320</v>
      </c>
      <c r="D293" s="3871">
        <v>5270</v>
      </c>
      <c r="E293" s="3871">
        <v>6160</v>
      </c>
      <c r="F293" s="3871">
        <v>990</v>
      </c>
      <c r="G293" s="3879">
        <v>3170</v>
      </c>
    </row>
    <row r="294" spans="1:7" s="3219" customFormat="1" ht="14.25" hidden="1" customHeight="1">
      <c r="A294" s="3871" t="s">
        <v>306</v>
      </c>
      <c r="B294" s="3871" t="s">
        <v>3139</v>
      </c>
      <c r="C294" s="3871">
        <v>5260</v>
      </c>
      <c r="D294" s="3871">
        <v>5210</v>
      </c>
      <c r="E294" s="3871">
        <v>6100</v>
      </c>
      <c r="F294" s="3871">
        <v>950</v>
      </c>
      <c r="G294" s="3879">
        <v>3150</v>
      </c>
    </row>
    <row r="295" spans="1:7" s="3219" customFormat="1" ht="14.25" hidden="1" customHeight="1">
      <c r="A295" s="3871" t="s">
        <v>306</v>
      </c>
      <c r="B295" s="3871" t="s">
        <v>290</v>
      </c>
      <c r="C295" s="3871">
        <v>5610</v>
      </c>
      <c r="D295" s="3871">
        <v>5570</v>
      </c>
      <c r="E295" s="3871">
        <v>6530</v>
      </c>
      <c r="F295" s="3871">
        <v>960</v>
      </c>
      <c r="G295" s="3879">
        <v>3360</v>
      </c>
    </row>
    <row r="296" spans="1:7" s="3219" customFormat="1" ht="14.25" hidden="1" customHeight="1">
      <c r="A296" s="3871" t="s">
        <v>306</v>
      </c>
      <c r="B296" s="3871" t="s">
        <v>293</v>
      </c>
      <c r="C296" s="3871">
        <v>5540</v>
      </c>
      <c r="D296" s="3871">
        <v>5490</v>
      </c>
      <c r="E296" s="3871">
        <v>6430</v>
      </c>
      <c r="F296" s="3871">
        <v>980</v>
      </c>
      <c r="G296" s="3879">
        <v>3310</v>
      </c>
    </row>
    <row r="297" spans="1:7" s="3219" customFormat="1" ht="14.25" hidden="1" customHeight="1">
      <c r="A297" s="3871" t="s">
        <v>306</v>
      </c>
      <c r="B297" s="3871" t="s">
        <v>295</v>
      </c>
      <c r="C297" s="3871">
        <v>5480</v>
      </c>
      <c r="D297" s="3871">
        <v>5420</v>
      </c>
      <c r="E297" s="3871">
        <v>6370</v>
      </c>
      <c r="F297" s="3871">
        <v>990</v>
      </c>
      <c r="G297" s="3879">
        <v>3270</v>
      </c>
    </row>
    <row r="298" spans="1:7" s="3219" customFormat="1" ht="14.25" hidden="1" customHeight="1">
      <c r="A298" s="3871" t="s">
        <v>306</v>
      </c>
      <c r="B298" s="3871" t="s">
        <v>298</v>
      </c>
      <c r="C298" s="3871">
        <v>5090</v>
      </c>
      <c r="D298" s="3871">
        <v>5050</v>
      </c>
      <c r="E298" s="3871">
        <v>5910</v>
      </c>
      <c r="F298" s="3871">
        <v>900</v>
      </c>
      <c r="G298" s="3879">
        <v>3040</v>
      </c>
    </row>
    <row r="299" spans="1:7" s="3219" customFormat="1" ht="14.25" hidden="1" customHeight="1">
      <c r="A299" s="3871" t="s">
        <v>306</v>
      </c>
      <c r="B299" s="3882" t="s">
        <v>2932</v>
      </c>
      <c r="C299" s="3871">
        <v>5430</v>
      </c>
      <c r="D299" s="3871">
        <v>5380</v>
      </c>
      <c r="E299" s="3871">
        <v>6280</v>
      </c>
      <c r="F299" s="3871">
        <v>1000</v>
      </c>
      <c r="G299" s="3879">
        <v>3240</v>
      </c>
    </row>
    <row r="300" spans="1:7" s="3219" customFormat="1" ht="14.25" hidden="1" customHeight="1">
      <c r="A300" s="3871" t="s">
        <v>306</v>
      </c>
      <c r="B300" s="3882" t="s">
        <v>271</v>
      </c>
      <c r="C300" s="3871">
        <v>4740</v>
      </c>
      <c r="D300" s="3871">
        <v>4680</v>
      </c>
      <c r="E300" s="3871">
        <v>5450</v>
      </c>
      <c r="F300" s="3871">
        <v>900</v>
      </c>
      <c r="G300" s="3879">
        <v>2830</v>
      </c>
    </row>
    <row r="301" spans="1:7" s="3219" customFormat="1" ht="14.25" hidden="1" customHeight="1">
      <c r="A301" s="3871" t="s">
        <v>306</v>
      </c>
      <c r="B301" s="3882" t="s">
        <v>276</v>
      </c>
      <c r="C301" s="3871">
        <v>4870</v>
      </c>
      <c r="D301" s="3871">
        <v>4810</v>
      </c>
      <c r="E301" s="3871">
        <v>5560</v>
      </c>
      <c r="F301" s="3871">
        <v>990</v>
      </c>
      <c r="G301" s="3879">
        <v>2910</v>
      </c>
    </row>
    <row r="302" spans="1:7" s="3219" customFormat="1" ht="14.25" hidden="1" customHeight="1">
      <c r="A302" s="3871" t="s">
        <v>306</v>
      </c>
      <c r="B302" s="3871" t="s">
        <v>3140</v>
      </c>
      <c r="C302" s="3871">
        <v>5520</v>
      </c>
      <c r="D302" s="3871">
        <v>5470</v>
      </c>
      <c r="E302" s="3871">
        <v>6410</v>
      </c>
      <c r="F302" s="3871">
        <v>950</v>
      </c>
      <c r="G302" s="3879">
        <v>3300</v>
      </c>
    </row>
    <row r="303" spans="1:7" s="3219" customFormat="1" ht="14.25" hidden="1" customHeight="1">
      <c r="A303" s="3871" t="s">
        <v>306</v>
      </c>
      <c r="B303" s="3871" t="s">
        <v>2952</v>
      </c>
      <c r="C303" s="3871">
        <v>5630</v>
      </c>
      <c r="D303" s="3871">
        <v>5590</v>
      </c>
      <c r="E303" s="3871">
        <v>6550</v>
      </c>
      <c r="F303" s="3871">
        <v>1010</v>
      </c>
      <c r="G303" s="3879">
        <v>3370</v>
      </c>
    </row>
    <row r="304" spans="1:7" s="3219" customFormat="1" ht="14.25" hidden="1" customHeight="1">
      <c r="A304" s="3871" t="s">
        <v>306</v>
      </c>
      <c r="B304" s="3871" t="s">
        <v>2959</v>
      </c>
      <c r="C304" s="3871">
        <v>5680</v>
      </c>
      <c r="D304" s="3871">
        <v>5620</v>
      </c>
      <c r="E304" s="3871">
        <v>6620</v>
      </c>
      <c r="F304" s="3871">
        <v>1050</v>
      </c>
      <c r="G304" s="3879">
        <v>3390</v>
      </c>
    </row>
    <row r="305" spans="1:7" s="3219" customFormat="1" ht="14.25" hidden="1" customHeight="1">
      <c r="A305" s="3871" t="s">
        <v>306</v>
      </c>
      <c r="B305" s="3871" t="s">
        <v>2965</v>
      </c>
      <c r="C305" s="3871">
        <v>5590</v>
      </c>
      <c r="D305" s="3871">
        <v>5530</v>
      </c>
      <c r="E305" s="3871">
        <v>6460</v>
      </c>
      <c r="F305" s="3871">
        <v>900</v>
      </c>
      <c r="G305" s="3879">
        <v>3340</v>
      </c>
    </row>
    <row r="306" spans="1:7" s="3219" customFormat="1" ht="14.25" hidden="1" customHeight="1">
      <c r="A306" s="3871" t="s">
        <v>306</v>
      </c>
      <c r="B306" s="3871" t="s">
        <v>3141</v>
      </c>
      <c r="C306" s="3871">
        <v>5560</v>
      </c>
      <c r="D306" s="3871">
        <v>5510</v>
      </c>
      <c r="E306" s="3871">
        <v>6440</v>
      </c>
      <c r="F306" s="3871">
        <v>900</v>
      </c>
      <c r="G306" s="3879">
        <v>3320</v>
      </c>
    </row>
    <row r="307" spans="1:7" s="3219" customFormat="1" ht="14.25" hidden="1" customHeight="1">
      <c r="A307" s="3871" t="s">
        <v>306</v>
      </c>
      <c r="B307" s="3871" t="s">
        <v>2977</v>
      </c>
      <c r="C307" s="3871">
        <v>5650</v>
      </c>
      <c r="D307" s="3871">
        <v>5600</v>
      </c>
      <c r="E307" s="3871">
        <v>6590</v>
      </c>
      <c r="F307" s="3871">
        <v>930</v>
      </c>
      <c r="G307" s="3879">
        <v>3380</v>
      </c>
    </row>
    <row r="308" spans="1:7" s="3219" customFormat="1" ht="14.25" hidden="1" customHeight="1">
      <c r="A308" s="3871" t="s">
        <v>306</v>
      </c>
      <c r="B308" s="3871" t="s">
        <v>3142</v>
      </c>
      <c r="C308" s="3871">
        <v>5620</v>
      </c>
      <c r="D308" s="3871">
        <v>5580</v>
      </c>
      <c r="E308" s="3871">
        <v>6540</v>
      </c>
      <c r="F308" s="3871">
        <v>910</v>
      </c>
      <c r="G308" s="3879">
        <v>3370</v>
      </c>
    </row>
    <row r="309" spans="1:7" s="3219" customFormat="1" ht="14.25" hidden="1" customHeight="1">
      <c r="A309" s="3871" t="s">
        <v>306</v>
      </c>
      <c r="B309" s="3871" t="s">
        <v>3143</v>
      </c>
      <c r="C309" s="3871">
        <v>5060</v>
      </c>
      <c r="D309" s="3871">
        <v>5020</v>
      </c>
      <c r="E309" s="3871">
        <v>6370</v>
      </c>
      <c r="F309" s="3871">
        <v>800</v>
      </c>
      <c r="G309" s="3879">
        <v>3020</v>
      </c>
    </row>
    <row r="310" spans="1:7" s="3219" customFormat="1" ht="14.25" hidden="1" customHeight="1">
      <c r="A310" s="3871" t="s">
        <v>306</v>
      </c>
      <c r="B310" s="3871" t="s">
        <v>2992</v>
      </c>
      <c r="C310" s="3871">
        <v>5150</v>
      </c>
      <c r="D310" s="3871">
        <v>5110</v>
      </c>
      <c r="E310" s="3871">
        <v>6500</v>
      </c>
      <c r="F310" s="3871">
        <v>880</v>
      </c>
      <c r="G310" s="3879">
        <v>3080</v>
      </c>
    </row>
    <row r="311" spans="1:7" s="3219" customFormat="1" ht="14.25" hidden="1" customHeight="1">
      <c r="A311" s="3871" t="s">
        <v>306</v>
      </c>
      <c r="B311" s="3871" t="s">
        <v>3144</v>
      </c>
      <c r="C311" s="3871">
        <v>4750</v>
      </c>
      <c r="D311" s="3871">
        <v>4710</v>
      </c>
      <c r="E311" s="3871">
        <v>5510</v>
      </c>
      <c r="F311" s="3871">
        <v>880</v>
      </c>
      <c r="G311" s="3879">
        <v>2840</v>
      </c>
    </row>
    <row r="312" spans="1:7" s="3219" customFormat="1" ht="14.25" hidden="1" customHeight="1">
      <c r="A312" s="3871" t="s">
        <v>306</v>
      </c>
      <c r="B312" s="3871" t="s">
        <v>3002</v>
      </c>
      <c r="C312" s="3871">
        <v>4690</v>
      </c>
      <c r="D312" s="3871">
        <v>4640</v>
      </c>
      <c r="E312" s="3871">
        <v>5420</v>
      </c>
      <c r="F312" s="3871">
        <v>800</v>
      </c>
      <c r="G312" s="3879">
        <v>2800</v>
      </c>
    </row>
    <row r="313" spans="1:7" s="3219" customFormat="1" ht="14.25" hidden="1" customHeight="1">
      <c r="A313" s="3871" t="s">
        <v>306</v>
      </c>
      <c r="B313" s="3871" t="s">
        <v>3007</v>
      </c>
      <c r="C313" s="3871">
        <v>4810</v>
      </c>
      <c r="D313" s="3871">
        <v>4760</v>
      </c>
      <c r="E313" s="3871">
        <v>5550</v>
      </c>
      <c r="F313" s="3871">
        <v>920</v>
      </c>
      <c r="G313" s="3879">
        <v>2870</v>
      </c>
    </row>
    <row r="314" spans="1:7" s="3219" customFormat="1" ht="14.25" hidden="1" customHeight="1">
      <c r="A314" s="3871" t="s">
        <v>306</v>
      </c>
      <c r="B314" s="3871" t="s">
        <v>3145</v>
      </c>
      <c r="C314" s="3871"/>
      <c r="D314" s="3871"/>
      <c r="E314" s="3871"/>
      <c r="F314" s="3871">
        <v>1020</v>
      </c>
      <c r="G314" s="3879"/>
    </row>
    <row r="315" spans="1:7" s="3219" customFormat="1" ht="14.25" hidden="1" customHeight="1">
      <c r="A315" s="3871" t="s">
        <v>306</v>
      </c>
      <c r="B315" s="3871" t="s">
        <v>3146</v>
      </c>
      <c r="C315" s="3871"/>
      <c r="D315" s="3871"/>
      <c r="E315" s="3871"/>
      <c r="F315" s="3871">
        <v>1050</v>
      </c>
      <c r="G315" s="3879"/>
    </row>
    <row r="316" spans="1:7" s="3219" customFormat="1" ht="14.25" hidden="1" customHeight="1">
      <c r="A316" s="3871" t="s">
        <v>306</v>
      </c>
      <c r="B316" s="3871" t="s">
        <v>3022</v>
      </c>
      <c r="C316" s="3871"/>
      <c r="D316" s="3871"/>
      <c r="E316" s="3871"/>
      <c r="F316" s="3871">
        <v>900</v>
      </c>
      <c r="G316" s="3879"/>
    </row>
    <row r="317" spans="1:7" s="3219" customFormat="1" ht="14.25" hidden="1" customHeight="1">
      <c r="A317" s="3871" t="s">
        <v>306</v>
      </c>
      <c r="B317" s="3871" t="s">
        <v>3147</v>
      </c>
      <c r="C317" s="3871"/>
      <c r="D317" s="3871"/>
      <c r="E317" s="3871"/>
      <c r="F317" s="3871">
        <v>920</v>
      </c>
      <c r="G317" s="3879"/>
    </row>
    <row r="318" spans="1:7" s="3219" customFormat="1" ht="14.25" hidden="1" customHeight="1">
      <c r="A318" s="3871" t="s">
        <v>306</v>
      </c>
      <c r="B318" s="3871" t="s">
        <v>3148</v>
      </c>
      <c r="C318" s="3871"/>
      <c r="D318" s="3871"/>
      <c r="E318" s="3871"/>
      <c r="F318" s="3871">
        <v>1080</v>
      </c>
      <c r="G318" s="3879"/>
    </row>
    <row r="319" spans="1:7" s="3219" customFormat="1" ht="14.25" hidden="1" customHeight="1">
      <c r="A319" s="3871" t="s">
        <v>306</v>
      </c>
      <c r="B319" s="3871" t="s">
        <v>3035</v>
      </c>
      <c r="C319" s="3871"/>
      <c r="D319" s="3871"/>
      <c r="E319" s="3871"/>
      <c r="F319" s="3871">
        <v>1020</v>
      </c>
      <c r="G319" s="3879"/>
    </row>
    <row r="320" spans="1:7" s="3219" customFormat="1" ht="14.25" hidden="1" customHeight="1">
      <c r="A320" s="3871" t="s">
        <v>306</v>
      </c>
      <c r="B320" s="3871" t="s">
        <v>3038</v>
      </c>
      <c r="C320" s="3871"/>
      <c r="D320" s="3871"/>
      <c r="E320" s="3871"/>
      <c r="F320" s="3871">
        <v>1050</v>
      </c>
      <c r="G320" s="3879"/>
    </row>
    <row r="321" spans="1:7" s="3219" customFormat="1" ht="14.25" hidden="1" customHeight="1">
      <c r="A321" s="3871" t="s">
        <v>306</v>
      </c>
      <c r="B321" s="3871" t="s">
        <v>3040</v>
      </c>
      <c r="C321" s="3871"/>
      <c r="D321" s="3871"/>
      <c r="E321" s="3871"/>
      <c r="F321" s="3871">
        <v>960</v>
      </c>
      <c r="G321" s="3879"/>
    </row>
    <row r="322" spans="1:7" s="3219" customFormat="1" ht="14.25" hidden="1" customHeight="1">
      <c r="A322" s="3871" t="s">
        <v>306</v>
      </c>
      <c r="B322" s="3871" t="s">
        <v>3042</v>
      </c>
      <c r="C322" s="3871"/>
      <c r="D322" s="3871"/>
      <c r="E322" s="3871"/>
      <c r="F322" s="3871">
        <v>960</v>
      </c>
      <c r="G322" s="3879"/>
    </row>
    <row r="323" spans="1:7" s="3219" customFormat="1" ht="14.25" hidden="1" customHeight="1">
      <c r="A323" s="3871" t="s">
        <v>306</v>
      </c>
      <c r="B323" s="3871" t="s">
        <v>3044</v>
      </c>
      <c r="C323" s="3871"/>
      <c r="D323" s="3871"/>
      <c r="E323" s="3871"/>
      <c r="F323" s="3871">
        <v>880</v>
      </c>
      <c r="G323" s="3879"/>
    </row>
    <row r="324" spans="1:7" s="3219" customFormat="1" ht="14.25" hidden="1" customHeight="1">
      <c r="A324" s="3871" t="s">
        <v>306</v>
      </c>
      <c r="B324" s="3871" t="s">
        <v>3046</v>
      </c>
      <c r="C324" s="3871"/>
      <c r="D324" s="3871"/>
      <c r="E324" s="3871"/>
      <c r="F324" s="3871">
        <v>930</v>
      </c>
      <c r="G324" s="3879"/>
    </row>
    <row r="325" spans="1:7" s="3219" customFormat="1" ht="14.25" hidden="1" customHeight="1">
      <c r="A325" s="3871" t="s">
        <v>306</v>
      </c>
      <c r="B325" s="3872" t="s">
        <v>3048</v>
      </c>
      <c r="C325" s="3871"/>
      <c r="D325" s="3871"/>
      <c r="E325" s="3871"/>
      <c r="F325" s="3871">
        <v>900</v>
      </c>
      <c r="G325" s="3879"/>
    </row>
    <row r="326" spans="1:7" s="3219" customFormat="1" ht="14.25" hidden="1" customHeight="1" thickBot="1">
      <c r="A326" s="3880" t="s">
        <v>306</v>
      </c>
      <c r="B326" s="3875" t="s">
        <v>3050</v>
      </c>
      <c r="C326" s="3875"/>
      <c r="D326" s="3875"/>
      <c r="E326" s="3875"/>
      <c r="F326" s="3875">
        <v>790</v>
      </c>
      <c r="G326" s="3881"/>
    </row>
    <row r="327" spans="1:7" s="3219" customFormat="1" ht="14.25" customHeight="1">
      <c r="A327" s="3869" t="s">
        <v>307</v>
      </c>
      <c r="B327" s="3870" t="s">
        <v>3149</v>
      </c>
      <c r="C327" s="3871">
        <v>3750</v>
      </c>
      <c r="D327" s="3871">
        <v>3710</v>
      </c>
      <c r="E327" s="3871">
        <v>4080</v>
      </c>
      <c r="F327" s="3871">
        <v>860</v>
      </c>
      <c r="G327" s="3871">
        <v>2210</v>
      </c>
    </row>
    <row r="328" spans="1:7" s="3219" customFormat="1" ht="14.25" customHeight="1">
      <c r="A328" s="3871" t="s">
        <v>307</v>
      </c>
      <c r="B328" s="3871" t="s">
        <v>136</v>
      </c>
      <c r="C328" s="3871">
        <v>3330</v>
      </c>
      <c r="D328" s="3871">
        <v>3290</v>
      </c>
      <c r="E328" s="3871">
        <v>3610</v>
      </c>
      <c r="F328" s="3871">
        <v>850</v>
      </c>
      <c r="G328" s="3871">
        <v>1960</v>
      </c>
    </row>
    <row r="329" spans="1:7" s="3219" customFormat="1" ht="14.25" customHeight="1">
      <c r="A329" s="3871" t="s">
        <v>307</v>
      </c>
      <c r="B329" s="3871" t="s">
        <v>3150</v>
      </c>
      <c r="C329" s="3871">
        <v>2730</v>
      </c>
      <c r="D329" s="3871">
        <v>2690</v>
      </c>
      <c r="E329" s="3871">
        <v>3100</v>
      </c>
      <c r="F329" s="3871">
        <v>660</v>
      </c>
      <c r="G329" s="3871">
        <v>1610</v>
      </c>
    </row>
    <row r="330" spans="1:7" s="3219" customFormat="1" ht="14.25" customHeight="1">
      <c r="A330" s="3871" t="s">
        <v>307</v>
      </c>
      <c r="B330" s="3871" t="s">
        <v>3151</v>
      </c>
      <c r="C330" s="3871">
        <v>3270</v>
      </c>
      <c r="D330" s="3871">
        <v>3240</v>
      </c>
      <c r="E330" s="3871">
        <v>3560</v>
      </c>
      <c r="F330" s="3871">
        <v>680</v>
      </c>
      <c r="G330" s="3871">
        <v>1940</v>
      </c>
    </row>
    <row r="331" spans="1:7" s="3219" customFormat="1" ht="14.25" customHeight="1">
      <c r="A331" s="3871" t="s">
        <v>307</v>
      </c>
      <c r="B331" s="3871" t="s">
        <v>161</v>
      </c>
      <c r="C331" s="3871">
        <v>3770</v>
      </c>
      <c r="D331" s="3871">
        <v>3740</v>
      </c>
      <c r="E331" s="3871">
        <v>4110</v>
      </c>
      <c r="F331" s="3871">
        <v>730</v>
      </c>
      <c r="G331" s="3871">
        <v>2230</v>
      </c>
    </row>
    <row r="332" spans="1:7" s="3219" customFormat="1" ht="14.25" customHeight="1">
      <c r="A332" s="3871" t="s">
        <v>307</v>
      </c>
      <c r="B332" s="3871" t="s">
        <v>2884</v>
      </c>
      <c r="C332" s="3871">
        <v>3520</v>
      </c>
      <c r="D332" s="3871">
        <v>3480</v>
      </c>
      <c r="E332" s="3871">
        <v>3830</v>
      </c>
      <c r="F332" s="3871">
        <v>720</v>
      </c>
      <c r="G332" s="3871">
        <v>2090</v>
      </c>
    </row>
    <row r="333" spans="1:7" s="3219" customFormat="1" ht="14.25" customHeight="1">
      <c r="A333" s="3871" t="s">
        <v>307</v>
      </c>
      <c r="B333" s="3871" t="s">
        <v>3152</v>
      </c>
      <c r="C333" s="3871">
        <v>3840</v>
      </c>
      <c r="D333" s="3871">
        <v>3800</v>
      </c>
      <c r="E333" s="3871">
        <v>4200</v>
      </c>
      <c r="F333" s="3871">
        <v>760</v>
      </c>
      <c r="G333" s="3871">
        <v>2270</v>
      </c>
    </row>
    <row r="334" spans="1:7" s="3219" customFormat="1" ht="14.25" customHeight="1">
      <c r="A334" s="3871" t="s">
        <v>307</v>
      </c>
      <c r="B334" s="3871" t="s">
        <v>183</v>
      </c>
      <c r="C334" s="3871">
        <v>3960</v>
      </c>
      <c r="D334" s="3871">
        <v>3910</v>
      </c>
      <c r="E334" s="3871">
        <v>4340</v>
      </c>
      <c r="F334" s="3871">
        <v>780</v>
      </c>
      <c r="G334" s="3871">
        <v>2340</v>
      </c>
    </row>
    <row r="335" spans="1:7" s="3219" customFormat="1" ht="14.25" customHeight="1">
      <c r="A335" s="3871" t="s">
        <v>307</v>
      </c>
      <c r="B335" s="3871" t="s">
        <v>193</v>
      </c>
      <c r="C335" s="3871">
        <v>3710</v>
      </c>
      <c r="D335" s="3871">
        <v>3670</v>
      </c>
      <c r="E335" s="3871">
        <v>4030</v>
      </c>
      <c r="F335" s="3871">
        <v>750</v>
      </c>
      <c r="G335" s="3871">
        <v>2200</v>
      </c>
    </row>
    <row r="336" spans="1:7" s="3219" customFormat="1" ht="14.25" customHeight="1">
      <c r="A336" s="3871" t="s">
        <v>307</v>
      </c>
      <c r="B336" s="3871" t="s">
        <v>2894</v>
      </c>
      <c r="C336" s="3871">
        <v>3570</v>
      </c>
      <c r="D336" s="3871">
        <v>3530</v>
      </c>
      <c r="E336" s="3871">
        <v>3880</v>
      </c>
      <c r="F336" s="3871">
        <v>770</v>
      </c>
      <c r="G336" s="3871">
        <v>2110</v>
      </c>
    </row>
    <row r="337" spans="1:10" s="3219" customFormat="1" ht="14.25" customHeight="1">
      <c r="A337" s="3871" t="s">
        <v>307</v>
      </c>
      <c r="B337" s="3871" t="s">
        <v>3153</v>
      </c>
      <c r="C337" s="3871">
        <v>3780</v>
      </c>
      <c r="D337" s="3871">
        <v>3750</v>
      </c>
      <c r="E337" s="3871">
        <v>4130</v>
      </c>
      <c r="F337" s="3871">
        <v>750</v>
      </c>
      <c r="G337" s="3871">
        <v>2240</v>
      </c>
    </row>
    <row r="338" spans="1:10" s="3219" customFormat="1" ht="14.25" customHeight="1">
      <c r="A338" s="3871" t="s">
        <v>307</v>
      </c>
      <c r="B338" s="3871" t="s">
        <v>220</v>
      </c>
      <c r="C338" s="3871">
        <v>3600</v>
      </c>
      <c r="D338" s="3871">
        <v>3570</v>
      </c>
      <c r="E338" s="3871">
        <v>3920</v>
      </c>
      <c r="F338" s="3871">
        <v>790</v>
      </c>
      <c r="G338" s="3871">
        <v>2140</v>
      </c>
    </row>
    <row r="339" spans="1:10" s="3219" customFormat="1" ht="14.25" customHeight="1">
      <c r="A339" s="3871" t="s">
        <v>307</v>
      </c>
      <c r="B339" s="3871" t="s">
        <v>228</v>
      </c>
      <c r="C339" s="3871">
        <v>3540</v>
      </c>
      <c r="D339" s="3871">
        <v>3500</v>
      </c>
      <c r="E339" s="3871">
        <v>3850</v>
      </c>
      <c r="F339" s="3871">
        <v>780</v>
      </c>
      <c r="G339" s="3871">
        <v>2100</v>
      </c>
    </row>
    <row r="340" spans="1:10" s="3219" customFormat="1" ht="14.25" customHeight="1">
      <c r="A340" s="3871" t="s">
        <v>307</v>
      </c>
      <c r="B340" s="3871" t="s">
        <v>3154</v>
      </c>
      <c r="C340" s="3871">
        <v>3850</v>
      </c>
      <c r="D340" s="3871">
        <v>3810</v>
      </c>
      <c r="E340" s="3871">
        <v>4210</v>
      </c>
      <c r="F340" s="3871">
        <v>750</v>
      </c>
      <c r="G340" s="3871">
        <v>2280</v>
      </c>
    </row>
    <row r="341" spans="1:10" s="3219" customFormat="1" ht="14.25" customHeight="1">
      <c r="A341" s="3871" t="s">
        <v>307</v>
      </c>
      <c r="B341" s="3871" t="s">
        <v>207</v>
      </c>
      <c r="C341" s="3871">
        <v>3780</v>
      </c>
      <c r="D341" s="3871">
        <v>3750</v>
      </c>
      <c r="E341" s="3871">
        <v>4140</v>
      </c>
      <c r="F341" s="3871">
        <v>720</v>
      </c>
      <c r="G341" s="3871">
        <v>2240</v>
      </c>
    </row>
    <row r="342" spans="1:10" s="3219" customFormat="1" ht="14.25" customHeight="1">
      <c r="A342" s="3871" t="s">
        <v>307</v>
      </c>
      <c r="B342" s="3871" t="s">
        <v>3155</v>
      </c>
      <c r="C342" s="3871">
        <v>3670</v>
      </c>
      <c r="D342" s="3871">
        <v>3620</v>
      </c>
      <c r="E342" s="3871">
        <v>3990</v>
      </c>
      <c r="F342" s="3871">
        <v>760</v>
      </c>
      <c r="G342" s="3871">
        <v>2170</v>
      </c>
    </row>
    <row r="343" spans="1:10" s="3219" customFormat="1" ht="14.25" customHeight="1">
      <c r="A343" s="3871" t="s">
        <v>307</v>
      </c>
      <c r="B343" s="3871" t="s">
        <v>257</v>
      </c>
      <c r="C343" s="3871">
        <v>3760</v>
      </c>
      <c r="D343" s="3871">
        <v>3720</v>
      </c>
      <c r="E343" s="3871">
        <v>4090</v>
      </c>
      <c r="F343" s="3871">
        <v>780</v>
      </c>
      <c r="G343" s="3871">
        <v>2220</v>
      </c>
    </row>
    <row r="344" spans="1:10" s="3219" customFormat="1" ht="14.25" customHeight="1">
      <c r="A344" s="3871" t="s">
        <v>307</v>
      </c>
      <c r="B344" s="3871" t="s">
        <v>265</v>
      </c>
      <c r="C344" s="3871">
        <v>3680</v>
      </c>
      <c r="D344" s="3871">
        <v>3640</v>
      </c>
      <c r="E344" s="3871">
        <v>4010</v>
      </c>
      <c r="F344" s="3871">
        <v>750</v>
      </c>
      <c r="G344" s="3871">
        <v>2180</v>
      </c>
    </row>
    <row r="345" spans="1:10">
      <c r="A345" s="3871" t="s">
        <v>307</v>
      </c>
      <c r="B345" s="3871" t="s">
        <v>2919</v>
      </c>
      <c r="C345" s="3871">
        <v>3190</v>
      </c>
      <c r="D345" s="3871">
        <v>3140</v>
      </c>
      <c r="E345" s="3871">
        <v>3450</v>
      </c>
      <c r="F345" s="3871">
        <v>720</v>
      </c>
      <c r="G345" s="3871">
        <v>1880</v>
      </c>
      <c r="J345" s="3219"/>
    </row>
    <row r="346" spans="1:10">
      <c r="A346" s="3871" t="s">
        <v>307</v>
      </c>
      <c r="B346" s="3871" t="s">
        <v>3156</v>
      </c>
      <c r="C346" s="3871">
        <v>3630</v>
      </c>
      <c r="D346" s="3871">
        <v>3590</v>
      </c>
      <c r="E346" s="3871">
        <v>3940</v>
      </c>
      <c r="F346" s="3871">
        <v>730</v>
      </c>
      <c r="G346" s="3871">
        <v>2150</v>
      </c>
      <c r="J346" s="3219"/>
    </row>
    <row r="347" spans="1:10">
      <c r="A347" s="3871" t="s">
        <v>307</v>
      </c>
      <c r="B347" s="3871" t="s">
        <v>243</v>
      </c>
      <c r="C347" s="3871">
        <v>3860</v>
      </c>
      <c r="D347" s="3871">
        <v>3820</v>
      </c>
      <c r="E347" s="3871">
        <v>4220</v>
      </c>
      <c r="F347" s="3871">
        <v>750</v>
      </c>
      <c r="G347" s="3871">
        <v>2280</v>
      </c>
      <c r="J347" s="3219"/>
    </row>
    <row r="348" spans="1:10">
      <c r="A348" s="3871" t="s">
        <v>307</v>
      </c>
      <c r="B348" s="3871" t="s">
        <v>2928</v>
      </c>
      <c r="C348" s="3871">
        <v>4000</v>
      </c>
      <c r="D348" s="3871">
        <v>3950</v>
      </c>
      <c r="E348" s="3871">
        <v>4430</v>
      </c>
      <c r="F348" s="3871">
        <v>760</v>
      </c>
      <c r="G348" s="3871">
        <v>2360</v>
      </c>
      <c r="J348" s="3219"/>
    </row>
    <row r="349" spans="1:10">
      <c r="A349" s="3871" t="s">
        <v>307</v>
      </c>
      <c r="B349" s="3871" t="s">
        <v>2933</v>
      </c>
      <c r="C349" s="3871">
        <v>3820</v>
      </c>
      <c r="D349" s="3871">
        <v>3780</v>
      </c>
      <c r="E349" s="3871">
        <v>4170</v>
      </c>
      <c r="F349" s="3871">
        <v>710</v>
      </c>
      <c r="G349" s="3871">
        <v>2260</v>
      </c>
      <c r="J349" s="3219"/>
    </row>
    <row r="350" spans="1:10">
      <c r="A350" s="3871" t="s">
        <v>307</v>
      </c>
      <c r="B350" s="3871" t="s">
        <v>3157</v>
      </c>
      <c r="C350" s="3871">
        <v>3760</v>
      </c>
      <c r="D350" s="3871">
        <v>3730</v>
      </c>
      <c r="E350" s="3871">
        <v>4100</v>
      </c>
      <c r="F350" s="3871">
        <v>800</v>
      </c>
      <c r="G350" s="3871">
        <v>2230</v>
      </c>
      <c r="J350" s="3219"/>
    </row>
    <row r="351" spans="1:10">
      <c r="A351" s="3871" t="s">
        <v>307</v>
      </c>
      <c r="B351" s="3871" t="s">
        <v>2941</v>
      </c>
      <c r="C351" s="3871">
        <v>3610</v>
      </c>
      <c r="D351" s="3871">
        <v>3580</v>
      </c>
      <c r="E351" s="3871">
        <v>3930</v>
      </c>
      <c r="F351" s="3871">
        <v>700</v>
      </c>
      <c r="G351" s="3871">
        <v>2140</v>
      </c>
      <c r="J351" s="3219"/>
    </row>
    <row r="352" spans="1:10">
      <c r="A352" s="3871" t="s">
        <v>307</v>
      </c>
      <c r="B352" s="3871" t="s">
        <v>2946</v>
      </c>
      <c r="C352" s="3871">
        <v>3670</v>
      </c>
      <c r="D352" s="3871">
        <v>3630</v>
      </c>
      <c r="E352" s="3871">
        <v>4000</v>
      </c>
      <c r="F352" s="3871">
        <v>750</v>
      </c>
      <c r="G352" s="3871">
        <v>2180</v>
      </c>
    </row>
    <row r="353" spans="1:7" s="3223" customFormat="1">
      <c r="A353" s="3871" t="s">
        <v>307</v>
      </c>
      <c r="B353" s="3871" t="s">
        <v>3158</v>
      </c>
      <c r="C353" s="3871">
        <v>3190</v>
      </c>
      <c r="D353" s="3871">
        <v>3150</v>
      </c>
      <c r="E353" s="3871">
        <v>3640</v>
      </c>
      <c r="F353" s="3871">
        <v>630</v>
      </c>
      <c r="G353" s="3871">
        <v>1890</v>
      </c>
    </row>
    <row r="354" spans="1:7" s="3223" customFormat="1">
      <c r="A354" s="3871" t="s">
        <v>307</v>
      </c>
      <c r="B354" s="3871" t="s">
        <v>280</v>
      </c>
      <c r="C354" s="3871">
        <v>3450</v>
      </c>
      <c r="D354" s="3871">
        <v>3420</v>
      </c>
      <c r="E354" s="3871">
        <v>3960</v>
      </c>
      <c r="F354" s="3871">
        <v>660</v>
      </c>
      <c r="G354" s="3871">
        <v>2050</v>
      </c>
    </row>
    <row r="355" spans="1:7" s="3223" customFormat="1">
      <c r="A355" s="3871" t="s">
        <v>307</v>
      </c>
      <c r="B355" s="3871" t="s">
        <v>2966</v>
      </c>
      <c r="C355" s="3871">
        <v>3650</v>
      </c>
      <c r="D355" s="3871">
        <v>3610</v>
      </c>
      <c r="E355" s="3871">
        <v>4200</v>
      </c>
      <c r="F355" s="3871">
        <v>640</v>
      </c>
      <c r="G355" s="3871">
        <v>2160</v>
      </c>
    </row>
    <row r="356" spans="1:7" s="3223" customFormat="1">
      <c r="A356" s="3871" t="s">
        <v>307</v>
      </c>
      <c r="B356" s="3871" t="s">
        <v>2973</v>
      </c>
      <c r="C356" s="3871">
        <v>3260</v>
      </c>
      <c r="D356" s="3871">
        <v>3230</v>
      </c>
      <c r="E356" s="3871">
        <v>3740</v>
      </c>
      <c r="F356" s="3871">
        <v>600</v>
      </c>
      <c r="G356" s="3871">
        <v>1930</v>
      </c>
    </row>
    <row r="357" spans="1:7" s="3223" customFormat="1" ht="11.4" thickBot="1">
      <c r="A357" s="3873" t="s">
        <v>307</v>
      </c>
      <c r="B357" s="3877" t="s">
        <v>3159</v>
      </c>
      <c r="C357" s="3877">
        <v>3690</v>
      </c>
      <c r="D357" s="3877">
        <v>3650</v>
      </c>
      <c r="E357" s="3877">
        <v>4020</v>
      </c>
      <c r="F357" s="3877">
        <v>700</v>
      </c>
      <c r="G357" s="3877">
        <v>2190</v>
      </c>
    </row>
    <row r="358" spans="1:7" s="3223" customFormat="1">
      <c r="A358" s="3231" t="s">
        <v>3160</v>
      </c>
      <c r="B358" s="3226" t="s">
        <v>3161</v>
      </c>
      <c r="C358" s="3226">
        <v>2080</v>
      </c>
      <c r="D358" s="3226">
        <v>2040</v>
      </c>
      <c r="E358" s="3226">
        <v>2010</v>
      </c>
      <c r="F358" s="3226">
        <v>530</v>
      </c>
      <c r="G358" s="3237">
        <v>1230</v>
      </c>
    </row>
    <row r="359" spans="1:7" s="3223" customFormat="1">
      <c r="A359" s="3228" t="s">
        <v>3160</v>
      </c>
      <c r="B359" s="3228" t="s">
        <v>3162</v>
      </c>
      <c r="C359" s="3228">
        <v>1850</v>
      </c>
      <c r="D359" s="3228">
        <v>1820</v>
      </c>
      <c r="E359" s="3228">
        <v>1780</v>
      </c>
      <c r="F359" s="3228">
        <v>520</v>
      </c>
      <c r="G359" s="3238">
        <v>1100</v>
      </c>
    </row>
    <row r="360" spans="1:7" s="3223" customFormat="1">
      <c r="A360" s="3228" t="s">
        <v>3160</v>
      </c>
      <c r="B360" s="3228" t="s">
        <v>3163</v>
      </c>
      <c r="C360" s="3228">
        <v>2020</v>
      </c>
      <c r="D360" s="3228">
        <v>1990</v>
      </c>
      <c r="E360" s="3228">
        <v>1950</v>
      </c>
      <c r="F360" s="3228">
        <v>500</v>
      </c>
      <c r="G360" s="3238">
        <v>1200</v>
      </c>
    </row>
    <row r="361" spans="1:7" s="3223" customFormat="1">
      <c r="A361" s="3228" t="s">
        <v>3160</v>
      </c>
      <c r="B361" s="3228" t="s">
        <v>153</v>
      </c>
      <c r="C361" s="3228">
        <v>2260</v>
      </c>
      <c r="D361" s="3228">
        <v>2220</v>
      </c>
      <c r="E361" s="3228">
        <v>2180</v>
      </c>
      <c r="F361" s="3228">
        <v>580</v>
      </c>
      <c r="G361" s="3238">
        <v>1340</v>
      </c>
    </row>
    <row r="362" spans="1:7" s="3223" customFormat="1">
      <c r="A362" s="3228" t="s">
        <v>3160</v>
      </c>
      <c r="B362" s="3228" t="s">
        <v>3164</v>
      </c>
      <c r="C362" s="3228">
        <v>2650</v>
      </c>
      <c r="D362" s="3228">
        <v>2610</v>
      </c>
      <c r="E362" s="3228">
        <v>2570</v>
      </c>
      <c r="F362" s="3228">
        <v>630</v>
      </c>
      <c r="G362" s="3238">
        <v>1570</v>
      </c>
    </row>
    <row r="363" spans="1:7" s="3223" customFormat="1">
      <c r="A363" s="3228" t="s">
        <v>3160</v>
      </c>
      <c r="B363" s="3228" t="s">
        <v>2885</v>
      </c>
      <c r="C363" s="3228">
        <v>2390</v>
      </c>
      <c r="D363" s="3228">
        <v>2360</v>
      </c>
      <c r="E363" s="3228">
        <v>2320</v>
      </c>
      <c r="F363" s="3228">
        <v>600</v>
      </c>
      <c r="G363" s="3238">
        <v>1420</v>
      </c>
    </row>
    <row r="364" spans="1:7" s="3223" customFormat="1">
      <c r="A364" s="3228" t="s">
        <v>3160</v>
      </c>
      <c r="B364" s="3228" t="s">
        <v>3165</v>
      </c>
      <c r="C364" s="3228">
        <v>2050</v>
      </c>
      <c r="D364" s="3228">
        <v>2030</v>
      </c>
      <c r="E364" s="3228">
        <v>1990</v>
      </c>
      <c r="F364" s="3228">
        <v>550</v>
      </c>
      <c r="G364" s="3238">
        <v>1220</v>
      </c>
    </row>
    <row r="365" spans="1:7" s="3223" customFormat="1">
      <c r="A365" s="3228" t="s">
        <v>3160</v>
      </c>
      <c r="B365" s="3228" t="s">
        <v>200</v>
      </c>
      <c r="C365" s="3228">
        <v>2140</v>
      </c>
      <c r="D365" s="3228">
        <v>2100</v>
      </c>
      <c r="E365" s="3228">
        <v>2060</v>
      </c>
      <c r="F365" s="3228">
        <v>540</v>
      </c>
      <c r="G365" s="3238">
        <v>1270</v>
      </c>
    </row>
    <row r="366" spans="1:7" s="3223" customFormat="1">
      <c r="A366" s="3228" t="s">
        <v>3160</v>
      </c>
      <c r="B366" s="3228" t="s">
        <v>2892</v>
      </c>
      <c r="C366" s="3228">
        <v>2410</v>
      </c>
      <c r="D366" s="3228">
        <v>2370</v>
      </c>
      <c r="E366" s="3228">
        <v>2330</v>
      </c>
      <c r="F366" s="3228">
        <v>570</v>
      </c>
      <c r="G366" s="3238">
        <v>1440</v>
      </c>
    </row>
    <row r="367" spans="1:7" s="3223" customFormat="1">
      <c r="A367" s="3228" t="s">
        <v>3160</v>
      </c>
      <c r="B367" s="3228" t="s">
        <v>3166</v>
      </c>
      <c r="C367" s="3228">
        <v>2300</v>
      </c>
      <c r="D367" s="3228">
        <v>2260</v>
      </c>
      <c r="E367" s="3228">
        <v>2220</v>
      </c>
      <c r="F367" s="3228">
        <v>560</v>
      </c>
      <c r="G367" s="3238">
        <v>1370</v>
      </c>
    </row>
    <row r="368" spans="1:7" s="3223" customFormat="1">
      <c r="A368" s="3228" t="s">
        <v>3160</v>
      </c>
      <c r="B368" s="3228" t="s">
        <v>3167</v>
      </c>
      <c r="C368" s="3228">
        <v>2430</v>
      </c>
      <c r="D368" s="3228">
        <v>2390</v>
      </c>
      <c r="E368" s="3228">
        <v>2350</v>
      </c>
      <c r="F368" s="3228">
        <v>570</v>
      </c>
      <c r="G368" s="3238">
        <v>1450</v>
      </c>
    </row>
    <row r="369" spans="1:7" s="3223" customFormat="1">
      <c r="A369" s="3228" t="s">
        <v>3160</v>
      </c>
      <c r="B369" s="3228" t="s">
        <v>214</v>
      </c>
      <c r="C369" s="3228">
        <v>2320</v>
      </c>
      <c r="D369" s="3228">
        <v>2290</v>
      </c>
      <c r="E369" s="3228">
        <v>2250</v>
      </c>
      <c r="F369" s="3228">
        <v>550</v>
      </c>
      <c r="G369" s="3238">
        <v>1380</v>
      </c>
    </row>
    <row r="370" spans="1:7" s="3223" customFormat="1">
      <c r="A370" s="3228" t="s">
        <v>3160</v>
      </c>
      <c r="B370" s="3228" t="s">
        <v>221</v>
      </c>
      <c r="C370" s="3228">
        <v>2190</v>
      </c>
      <c r="D370" s="3228">
        <v>2170</v>
      </c>
      <c r="E370" s="3228">
        <v>2130</v>
      </c>
      <c r="F370" s="3228">
        <v>530</v>
      </c>
      <c r="G370" s="3238">
        <v>1310</v>
      </c>
    </row>
    <row r="371" spans="1:7" s="3223" customFormat="1">
      <c r="A371" s="3228" t="s">
        <v>3160</v>
      </c>
      <c r="B371" s="3228" t="s">
        <v>229</v>
      </c>
      <c r="C371" s="3228">
        <v>2460</v>
      </c>
      <c r="D371" s="3228">
        <v>2420</v>
      </c>
      <c r="E371" s="3228">
        <v>2370</v>
      </c>
      <c r="F371" s="3228">
        <v>560</v>
      </c>
      <c r="G371" s="3238">
        <v>1470</v>
      </c>
    </row>
    <row r="372" spans="1:7" s="3223" customFormat="1">
      <c r="A372" s="3228" t="s">
        <v>3160</v>
      </c>
      <c r="B372" s="3228" t="s">
        <v>3168</v>
      </c>
      <c r="C372" s="3228">
        <v>2250</v>
      </c>
      <c r="D372" s="3228">
        <v>2210</v>
      </c>
      <c r="E372" s="3228">
        <v>2180</v>
      </c>
      <c r="F372" s="3228">
        <v>550</v>
      </c>
      <c r="G372" s="3238">
        <v>1340</v>
      </c>
    </row>
    <row r="373" spans="1:7" s="3223" customFormat="1">
      <c r="A373" s="3228" t="s">
        <v>3160</v>
      </c>
      <c r="B373" s="3228" t="s">
        <v>258</v>
      </c>
      <c r="C373" s="3228">
        <v>2210</v>
      </c>
      <c r="D373" s="3228">
        <v>2190</v>
      </c>
      <c r="E373" s="3228">
        <v>2150</v>
      </c>
      <c r="F373" s="3228">
        <v>530</v>
      </c>
      <c r="G373" s="3238">
        <v>1320</v>
      </c>
    </row>
    <row r="374" spans="1:7" s="3223" customFormat="1">
      <c r="A374" s="3228" t="s">
        <v>3160</v>
      </c>
      <c r="B374" s="3228" t="s">
        <v>266</v>
      </c>
      <c r="C374" s="3228">
        <v>2320</v>
      </c>
      <c r="D374" s="3228">
        <v>2280</v>
      </c>
      <c r="E374" s="3228">
        <v>2230</v>
      </c>
      <c r="F374" s="3228">
        <v>580</v>
      </c>
      <c r="G374" s="3238">
        <v>1380</v>
      </c>
    </row>
    <row r="375" spans="1:7" s="3223" customFormat="1">
      <c r="A375" s="3228" t="s">
        <v>3160</v>
      </c>
      <c r="B375" s="3228" t="s">
        <v>3169</v>
      </c>
      <c r="C375" s="3228">
        <v>2090</v>
      </c>
      <c r="D375" s="3228">
        <v>2050</v>
      </c>
      <c r="E375" s="3228">
        <v>2020</v>
      </c>
      <c r="F375" s="3228">
        <v>520</v>
      </c>
      <c r="G375" s="3238">
        <v>1240</v>
      </c>
    </row>
    <row r="376" spans="1:7" s="3223" customFormat="1">
      <c r="A376" s="3228" t="s">
        <v>3160</v>
      </c>
      <c r="B376" s="3228" t="s">
        <v>277</v>
      </c>
      <c r="C376" s="3228">
        <v>2010</v>
      </c>
      <c r="D376" s="3228">
        <v>1980</v>
      </c>
      <c r="E376" s="3228">
        <v>1940</v>
      </c>
      <c r="F376" s="3228">
        <v>540</v>
      </c>
      <c r="G376" s="3238">
        <v>1190</v>
      </c>
    </row>
    <row r="377" spans="1:7" s="3223" customFormat="1" ht="11.4" thickBot="1">
      <c r="A377" s="3234" t="s">
        <v>3160</v>
      </c>
      <c r="B377" s="3236" t="s">
        <v>2922</v>
      </c>
      <c r="C377" s="3236">
        <v>1930</v>
      </c>
      <c r="D377" s="3236">
        <v>1890</v>
      </c>
      <c r="E377" s="3236">
        <v>1860</v>
      </c>
      <c r="F377" s="3236">
        <v>530</v>
      </c>
      <c r="G377" s="3240">
        <v>1150</v>
      </c>
    </row>
    <row r="378" spans="1:7" s="3223" customFormat="1">
      <c r="A378" s="3241" t="s">
        <v>3170</v>
      </c>
      <c r="B378" s="3226" t="s">
        <v>3171</v>
      </c>
      <c r="C378" s="3226">
        <v>1520</v>
      </c>
      <c r="D378" s="3226">
        <v>1490</v>
      </c>
      <c r="E378" s="3226">
        <v>1460</v>
      </c>
      <c r="F378" s="3226">
        <v>460</v>
      </c>
      <c r="G378" s="3237">
        <v>940</v>
      </c>
    </row>
    <row r="379" spans="1:7" s="3223" customFormat="1">
      <c r="A379" s="3242" t="s">
        <v>3170</v>
      </c>
      <c r="B379" s="3228" t="s">
        <v>3172</v>
      </c>
      <c r="C379" s="3228">
        <v>1500</v>
      </c>
      <c r="D379" s="3228">
        <v>1470</v>
      </c>
      <c r="E379" s="3228">
        <v>1430</v>
      </c>
      <c r="F379" s="3228">
        <v>460</v>
      </c>
      <c r="G379" s="3238">
        <v>920</v>
      </c>
    </row>
    <row r="380" spans="1:7" s="3223" customFormat="1">
      <c r="A380" s="3242" t="s">
        <v>3170</v>
      </c>
      <c r="B380" s="3228" t="s">
        <v>3173</v>
      </c>
      <c r="C380" s="3228">
        <v>1620</v>
      </c>
      <c r="D380" s="3228">
        <v>1590</v>
      </c>
      <c r="E380" s="3228">
        <v>1560</v>
      </c>
      <c r="F380" s="3228">
        <v>480</v>
      </c>
      <c r="G380" s="3238">
        <v>1000</v>
      </c>
    </row>
    <row r="381" spans="1:7" s="3223" customFormat="1">
      <c r="A381" s="3242" t="s">
        <v>3170</v>
      </c>
      <c r="B381" s="3228" t="s">
        <v>3174</v>
      </c>
      <c r="C381" s="3228">
        <v>1460</v>
      </c>
      <c r="D381" s="3228">
        <v>1430</v>
      </c>
      <c r="E381" s="3228">
        <v>1390</v>
      </c>
      <c r="F381" s="3228">
        <v>450</v>
      </c>
      <c r="G381" s="3238">
        <v>900</v>
      </c>
    </row>
    <row r="382" spans="1:7" s="3223" customFormat="1">
      <c r="A382" s="3242" t="s">
        <v>3170</v>
      </c>
      <c r="B382" s="3228" t="s">
        <v>3175</v>
      </c>
      <c r="C382" s="3228">
        <v>1310</v>
      </c>
      <c r="D382" s="3228">
        <v>1280</v>
      </c>
      <c r="E382" s="3228">
        <v>1250</v>
      </c>
      <c r="F382" s="3228">
        <v>440</v>
      </c>
      <c r="G382" s="3238">
        <v>800</v>
      </c>
    </row>
    <row r="383" spans="1:7" s="3223" customFormat="1">
      <c r="A383" s="3242" t="s">
        <v>3170</v>
      </c>
      <c r="B383" s="3228" t="s">
        <v>3176</v>
      </c>
      <c r="C383" s="3228">
        <v>1260</v>
      </c>
      <c r="D383" s="3228">
        <v>1230</v>
      </c>
      <c r="E383" s="3228">
        <v>1200</v>
      </c>
      <c r="F383" s="3228">
        <v>420</v>
      </c>
      <c r="G383" s="3238">
        <v>770</v>
      </c>
    </row>
    <row r="384" spans="1:7" s="3223" customFormat="1" ht="11.4" thickBot="1">
      <c r="A384" s="3243" t="s">
        <v>3170</v>
      </c>
      <c r="B384" s="3233" t="s">
        <v>3177</v>
      </c>
      <c r="C384" s="3233">
        <v>1170</v>
      </c>
      <c r="D384" s="3233">
        <v>1140</v>
      </c>
      <c r="E384" s="3233">
        <v>1120</v>
      </c>
      <c r="F384" s="3233">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45882</v>
      </c>
      <c r="D1" s="1300" t="s">
        <v>603</v>
      </c>
      <c r="E1" s="1295">
        <f>'数据-取费表'!B22</f>
        <v>2</v>
      </c>
      <c r="F1" s="1300" t="s">
        <v>604</v>
      </c>
      <c r="G1" s="1296">
        <f ca="1">INDIRECT("d"&amp;$K$1)/100</f>
        <v>0.03</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5.6">
      <c r="B27" s="2813" t="s">
        <v>2306</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5.6">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38" t="s">
        <v>949</v>
      </c>
      <c r="B1" s="3538"/>
      <c r="C1" s="3538"/>
      <c r="D1" s="3538"/>
    </row>
    <row r="2" spans="1:4" ht="17.399999999999999">
      <c r="A2" s="3539" t="s">
        <v>933</v>
      </c>
      <c r="B2" s="3539"/>
      <c r="C2" s="3539"/>
      <c r="D2" s="3539"/>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539" t="s">
        <v>939</v>
      </c>
      <c r="B6" s="3539"/>
      <c r="C6" s="3539"/>
      <c r="D6" s="3539"/>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540" t="s">
        <v>942</v>
      </c>
      <c r="B11" s="3532"/>
      <c r="C11" s="3532"/>
      <c r="D11" s="3532"/>
    </row>
    <row r="12" spans="1:4" ht="15.6">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7"/>
      <c r="C12" s="3537"/>
      <c r="D12" s="3537"/>
    </row>
    <row r="13" spans="1:4" ht="30" customHeight="1">
      <c r="A13" s="3532" t="str">
        <f>IF(项目基本情况!B8="抵押","3.抵押双方在办理抵押登记手续时，应使用本公司出具的正式《房地产评估报告》，特提醒报告使用者注意。","——")</f>
        <v>——</v>
      </c>
      <c r="B13" s="3537"/>
      <c r="C13" s="3537"/>
      <c r="D13" s="3537"/>
    </row>
    <row r="14" spans="1:4" ht="15.75" customHeight="1">
      <c r="A14" s="3532" t="str">
        <f>IF(项目基本情况!B8="抵押","4.本次评估估价师所知悉的法定优先受偿款情况说明如下：","——")</f>
        <v>——</v>
      </c>
      <c r="B14" s="3537"/>
      <c r="C14" s="3537"/>
      <c r="D14" s="3537"/>
    </row>
    <row r="15" spans="1:4" ht="42" customHeight="1">
      <c r="A15" s="3532" t="str">
        <f>IF(项目基本情况!B8="抵押","（1）"&amp;CONCATENATE(项目基本情况!L20,项目基本情况!L21,项目基本情况!L22),"——")</f>
        <v>——</v>
      </c>
      <c r="B15" s="3532"/>
      <c r="C15" s="3532"/>
      <c r="D15" s="3532"/>
    </row>
    <row r="16" spans="1:4" ht="30" customHeight="1">
      <c r="A16" s="3534" t="s">
        <v>943</v>
      </c>
      <c r="B16" s="3534"/>
      <c r="C16" s="3534"/>
      <c r="D16" s="3534"/>
    </row>
    <row r="17" spans="1:4" ht="144" customHeight="1">
      <c r="A17" s="3534" t="s">
        <v>944</v>
      </c>
      <c r="B17" s="3534"/>
      <c r="C17" s="3534"/>
      <c r="D17" s="3534"/>
    </row>
    <row r="18" spans="1:4" ht="15.75" customHeight="1">
      <c r="A18" s="3532" t="str">
        <f>IF(项目基本情况!B8="抵押",结果表!K120,"——")</f>
        <v>——</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5"/>
      <c r="C21" s="3535"/>
      <c r="D21" s="3535"/>
    </row>
    <row r="22" spans="1:4" ht="18.75" customHeight="1">
      <c r="A22" s="3536" t="s">
        <v>945</v>
      </c>
      <c r="B22" s="3536"/>
      <c r="C22" s="3536"/>
      <c r="D22" s="3536"/>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33">
        <v>42551</v>
      </c>
      <c r="D31" s="35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46" t="s">
        <v>956</v>
      </c>
      <c r="B15" s="3541" t="s">
        <v>109</v>
      </c>
      <c r="C15" s="3542"/>
    </row>
    <row r="16" spans="1:7" ht="14.4">
      <c r="A16" s="3547"/>
      <c r="B16" s="3541" t="s">
        <v>42</v>
      </c>
      <c r="C16" s="3542"/>
    </row>
    <row r="17" spans="1:3" ht="14.4">
      <c r="A17" s="3547"/>
      <c r="B17" s="3544" t="s">
        <v>957</v>
      </c>
      <c r="C17" s="1530" t="s">
        <v>956</v>
      </c>
    </row>
    <row r="18" spans="1:3" ht="14.4">
      <c r="A18" s="3547"/>
      <c r="B18" s="3544"/>
      <c r="C18" s="1530" t="s">
        <v>958</v>
      </c>
    </row>
    <row r="19" spans="1:3" ht="14.4">
      <c r="A19" s="3547"/>
      <c r="B19" s="3544"/>
      <c r="C19" s="1530" t="s">
        <v>959</v>
      </c>
    </row>
    <row r="20" spans="1:3" ht="14.4">
      <c r="A20" s="3548"/>
      <c r="B20" s="3543" t="s">
        <v>960</v>
      </c>
      <c r="C20" s="3542"/>
    </row>
    <row r="21" spans="1:3" ht="14.4">
      <c r="A21" s="1531" t="s">
        <v>961</v>
      </c>
      <c r="B21" s="1532"/>
      <c r="C21" s="1533"/>
    </row>
    <row r="22" spans="1:3" ht="14.4">
      <c r="A22" s="3545" t="s">
        <v>962</v>
      </c>
      <c r="B22" s="3543" t="s">
        <v>963</v>
      </c>
      <c r="C22" s="3542"/>
    </row>
    <row r="23" spans="1:3" ht="14.4">
      <c r="A23" s="3545"/>
      <c r="B23" s="3543" t="s">
        <v>964</v>
      </c>
      <c r="C23" s="3542"/>
    </row>
    <row r="24" spans="1:3" ht="14.4">
      <c r="A24" s="3545"/>
      <c r="B24" s="3543" t="s">
        <v>965</v>
      </c>
      <c r="C24" s="3542"/>
    </row>
    <row r="25" spans="1:3" ht="14.4">
      <c r="A25" s="3545"/>
      <c r="B25" s="3544" t="s">
        <v>966</v>
      </c>
      <c r="C25" s="1530" t="s">
        <v>967</v>
      </c>
    </row>
    <row r="26" spans="1:3" ht="14.4">
      <c r="A26" s="3545"/>
      <c r="B26" s="3544"/>
      <c r="C26" s="1530" t="s">
        <v>968</v>
      </c>
    </row>
    <row r="27" spans="1:3" ht="14.4">
      <c r="A27" s="3545"/>
      <c r="B27" s="3544"/>
      <c r="C27" s="1530" t="s">
        <v>969</v>
      </c>
    </row>
    <row r="28" spans="1:3" ht="14.4">
      <c r="A28" s="3545"/>
      <c r="B28" s="3544"/>
      <c r="C28" s="1530" t="s">
        <v>970</v>
      </c>
    </row>
    <row r="29" spans="1:3" ht="14.4">
      <c r="A29" s="3545"/>
      <c r="B29" s="3544"/>
      <c r="C29" s="1530" t="s">
        <v>971</v>
      </c>
    </row>
    <row r="30" spans="1:3" ht="14.4">
      <c r="A30" s="3545"/>
      <c r="B30" s="3544"/>
      <c r="C30" s="1530" t="s">
        <v>972</v>
      </c>
    </row>
    <row r="31" spans="1:3" ht="14.4">
      <c r="A31" s="3545"/>
      <c r="B31" s="3544"/>
      <c r="C31" s="1530" t="s">
        <v>973</v>
      </c>
    </row>
    <row r="32" spans="1:3" ht="14.4">
      <c r="A32" s="3545"/>
      <c r="B32" s="3544"/>
      <c r="C32" s="1530" t="s">
        <v>974</v>
      </c>
    </row>
    <row r="33" spans="1:3" ht="14.4">
      <c r="A33" s="3545"/>
      <c r="B33" s="3544"/>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2136</v>
      </c>
      <c r="B2" s="2336">
        <f ca="1">TODAY()</f>
        <v>45923</v>
      </c>
      <c r="C2" s="2337" t="s">
        <v>2137</v>
      </c>
      <c r="D2" s="2337"/>
      <c r="E2" s="2337"/>
      <c r="F2" s="2333"/>
      <c r="G2" s="2333"/>
      <c r="H2" s="2333"/>
    </row>
    <row r="3" spans="1:8" ht="24" customHeight="1">
      <c r="A3" s="2338" t="s">
        <v>2138</v>
      </c>
      <c r="B3" s="2339" t="s">
        <v>2139</v>
      </c>
      <c r="C3" s="2339" t="s">
        <v>2140</v>
      </c>
      <c r="D3" s="2340" t="s">
        <v>2141</v>
      </c>
      <c r="E3" s="2341" t="s">
        <v>2142</v>
      </c>
      <c r="F3" s="1302" t="s">
        <v>2143</v>
      </c>
      <c r="G3" s="2339" t="s">
        <v>2140</v>
      </c>
      <c r="H3" s="2340" t="s">
        <v>2144</v>
      </c>
    </row>
    <row r="4" spans="1:8" ht="24" customHeight="1">
      <c r="A4" s="1302" t="s">
        <v>2145</v>
      </c>
      <c r="B4" s="1302">
        <f ca="1">IF(C4&lt;B2,"已过期",1119970066)</f>
        <v>1119970066</v>
      </c>
      <c r="C4" s="2342">
        <v>45937</v>
      </c>
      <c r="D4" s="2343" t="str">
        <f ca="1">A4&amp;"（注册号："&amp;B4&amp;"）"</f>
        <v>梁津（注册号：1119970066）</v>
      </c>
      <c r="E4" s="2344" t="s">
        <v>2145</v>
      </c>
      <c r="F4" s="1302">
        <f ca="1">IF(G4&lt;B2,"已过期",96010014)</f>
        <v>96010014</v>
      </c>
      <c r="G4" s="2345">
        <v>47118</v>
      </c>
      <c r="H4" s="2346" t="str">
        <f ca="1">E4&amp;"（注册号："&amp;F4&amp;"）"</f>
        <v>梁津（注册号：96010014）</v>
      </c>
    </row>
    <row r="5" spans="1:8" ht="24" customHeight="1">
      <c r="A5" s="1302" t="s">
        <v>2146</v>
      </c>
      <c r="B5" s="1302">
        <f ca="1">IF(C5&lt;B2,"已过期",1119970111)</f>
        <v>1119970111</v>
      </c>
      <c r="C5" s="2342">
        <v>45937</v>
      </c>
      <c r="D5" s="2343" t="str">
        <f t="shared" ref="D5:D15" ca="1" si="0">A5&amp;"（注册号："&amp;B5&amp;"）"</f>
        <v>叶凌（注册号：1119970111）</v>
      </c>
      <c r="E5" s="2344" t="s">
        <v>2146</v>
      </c>
      <c r="F5" s="1302">
        <f ca="1">IF(G5&lt;B2,"已过期",94010078)</f>
        <v>94010078</v>
      </c>
      <c r="G5" s="2345">
        <v>46387</v>
      </c>
      <c r="H5" s="2346" t="str">
        <f t="shared" ref="H5:H16" ca="1" si="1">E5&amp;"（注册号："&amp;F5&amp;"）"</f>
        <v>叶凌（注册号：94010078）</v>
      </c>
    </row>
    <row r="6" spans="1:8" ht="24" customHeight="1">
      <c r="A6" s="1302" t="s">
        <v>2147</v>
      </c>
      <c r="B6" s="1302" t="str">
        <f ca="1">IF(C6&lt;B2,"已过期",1120050019)</f>
        <v>已过期</v>
      </c>
      <c r="C6" s="2342">
        <v>45410</v>
      </c>
      <c r="D6" s="2343" t="str">
        <f t="shared" ca="1" si="0"/>
        <v>王鹏（注册号：已过期）</v>
      </c>
      <c r="E6" s="2344" t="s">
        <v>2147</v>
      </c>
      <c r="F6" s="1302">
        <f ca="1">IF(G6&lt;B2,"已过期",2002110030)</f>
        <v>2002110030</v>
      </c>
      <c r="G6" s="2345">
        <v>46387</v>
      </c>
      <c r="H6" s="2346" t="str">
        <f t="shared" ca="1" si="1"/>
        <v>王鹏（注册号：2002110030）</v>
      </c>
    </row>
    <row r="7" spans="1:8" ht="24" customHeight="1">
      <c r="A7" s="1302" t="s">
        <v>2148</v>
      </c>
      <c r="B7" s="1302">
        <f ca="1">IF(C7&lt;B2,"已过期",1120000080)</f>
        <v>1120000080</v>
      </c>
      <c r="C7" s="2342">
        <v>45937</v>
      </c>
      <c r="D7" s="2343" t="str">
        <f t="shared" ca="1" si="0"/>
        <v>欧红伟（注册号：1120000080）</v>
      </c>
      <c r="E7" s="2344" t="s">
        <v>2148</v>
      </c>
      <c r="F7" s="1302">
        <f ca="1">IF(G7&lt;B2,"已过期",2000110082)</f>
        <v>2000110082</v>
      </c>
      <c r="G7" s="2345">
        <v>46387</v>
      </c>
      <c r="H7" s="2346" t="str">
        <f t="shared" ca="1" si="1"/>
        <v>欧红伟（注册号：2000110082）</v>
      </c>
    </row>
    <row r="8" spans="1:8" ht="24" customHeight="1">
      <c r="A8" s="1302" t="s">
        <v>2149</v>
      </c>
      <c r="B8" s="1302">
        <f ca="1">IF(C8&lt;B2,"已过期",1419970001)</f>
        <v>1419970001</v>
      </c>
      <c r="C8" s="2342">
        <v>45937</v>
      </c>
      <c r="D8" s="2343" t="str">
        <f t="shared" ca="1" si="0"/>
        <v>吴薇（注册号：1419970001）</v>
      </c>
      <c r="E8" s="2344" t="s">
        <v>2149</v>
      </c>
      <c r="F8" s="1302">
        <f ca="1">IF(G8&lt;B2,"已过期",2002110125)</f>
        <v>2002110125</v>
      </c>
      <c r="G8" s="2345">
        <v>47118</v>
      </c>
      <c r="H8" s="2346" t="str">
        <f t="shared" ca="1" si="1"/>
        <v>吴薇（注册号：2002110125）</v>
      </c>
    </row>
    <row r="9" spans="1:8" ht="24" customHeight="1">
      <c r="A9" s="1302" t="s">
        <v>2150</v>
      </c>
      <c r="B9" s="1302" t="str">
        <f ca="1">IF(C9&lt;B2,"已过期",1120060040)</f>
        <v>已过期</v>
      </c>
      <c r="C9" s="2347">
        <v>45592</v>
      </c>
      <c r="D9" s="2343" t="str">
        <f t="shared" ca="1" si="0"/>
        <v>陈颖（注册号：已过期）</v>
      </c>
      <c r="E9" s="2344" t="s">
        <v>2150</v>
      </c>
      <c r="F9" s="1302">
        <f ca="1">IF(G9&lt;B2,"已过期",2004110096)</f>
        <v>2004110096</v>
      </c>
      <c r="G9" s="2345">
        <v>47118</v>
      </c>
      <c r="H9" s="2346" t="str">
        <f t="shared" ca="1" si="1"/>
        <v>陈颖（注册号：2004110096）</v>
      </c>
    </row>
    <row r="10" spans="1:8" ht="24" customHeight="1">
      <c r="A10" s="1302" t="s">
        <v>2151</v>
      </c>
      <c r="B10" s="1302" t="str">
        <f ca="1">IF(C10&lt;B2,"已过期",1120100036)</f>
        <v>已过期</v>
      </c>
      <c r="C10" s="2347">
        <v>45752</v>
      </c>
      <c r="D10" s="2343" t="str">
        <f t="shared" ca="1" si="0"/>
        <v>崔锴（注册号：已过期）</v>
      </c>
      <c r="E10" s="2344" t="s">
        <v>2151</v>
      </c>
      <c r="F10" s="1302">
        <f ca="1">IF(G10&lt;B2,"已过期",2010110070)</f>
        <v>2010110070</v>
      </c>
      <c r="G10" s="2345">
        <v>47907</v>
      </c>
      <c r="H10" s="2346" t="str">
        <f t="shared" ca="1" si="1"/>
        <v>崔锴（注册号：2010110070）</v>
      </c>
    </row>
    <row r="11" spans="1:8" ht="24" customHeight="1">
      <c r="A11" s="1302" t="s">
        <v>2152</v>
      </c>
      <c r="B11" s="1302">
        <f ca="1">IF(C11&lt;B2,"已过期",1120070131)</f>
        <v>1120070131</v>
      </c>
      <c r="C11" s="2342">
        <v>45937</v>
      </c>
      <c r="D11" s="2343" t="str">
        <f t="shared" ca="1" si="0"/>
        <v>郑燚（注册号：1120070131）</v>
      </c>
      <c r="E11" s="2344" t="s">
        <v>2152</v>
      </c>
      <c r="F11" s="1302">
        <f ca="1">IF(G11&lt;B2,"已过期",2014110011)</f>
        <v>2014110011</v>
      </c>
      <c r="G11" s="2345">
        <v>49302</v>
      </c>
      <c r="H11" s="2346" t="str">
        <f t="shared" ca="1" si="1"/>
        <v>郑燚（注册号：2014110011）</v>
      </c>
    </row>
    <row r="12" spans="1:8" ht="24" customHeight="1">
      <c r="A12" s="1302" t="s">
        <v>2153</v>
      </c>
      <c r="B12" s="1302">
        <f ca="1">IF(C12&lt;B2,"已过期",1120040230)</f>
        <v>1120040230</v>
      </c>
      <c r="C12" s="2347">
        <v>45937</v>
      </c>
      <c r="D12" s="2343" t="str">
        <f t="shared" ca="1" si="0"/>
        <v>苏海（注册号：1120040230）</v>
      </c>
      <c r="E12" s="2344" t="s">
        <v>2153</v>
      </c>
      <c r="F12" s="1302">
        <f ca="1">IF(G12&lt;B2,"已过期",98030020)</f>
        <v>98030020</v>
      </c>
      <c r="G12" s="2345">
        <v>47118</v>
      </c>
      <c r="H12" s="2346" t="str">
        <f t="shared" ca="1" si="1"/>
        <v>苏海（注册号：98030020）</v>
      </c>
    </row>
    <row r="13" spans="1:8" ht="24" customHeight="1">
      <c r="A13" s="1302" t="s">
        <v>2154</v>
      </c>
      <c r="B13" s="1302" t="str">
        <f ca="1">IF(C13&lt;B2,"已过期",1120020033)</f>
        <v>已过期</v>
      </c>
      <c r="C13" s="2342">
        <v>45375</v>
      </c>
      <c r="D13" s="2343" t="str">
        <f t="shared" ca="1" si="0"/>
        <v>刘敬东（注册号：已过期）</v>
      </c>
      <c r="E13" s="2344" t="s">
        <v>2154</v>
      </c>
      <c r="F13" s="1302">
        <f ca="1">IF(G13&lt;B2,"已过期",2000110137)</f>
        <v>2000110137</v>
      </c>
      <c r="G13" s="2345">
        <v>46387</v>
      </c>
      <c r="H13" s="2346" t="str">
        <f t="shared" ca="1" si="1"/>
        <v>刘敬东（注册号：2000110137）</v>
      </c>
    </row>
    <row r="14" spans="1:8" ht="24" customHeight="1">
      <c r="A14" s="1302" t="s">
        <v>2155</v>
      </c>
      <c r="B14" s="1302" t="str">
        <f ca="1">IF(C14&lt;B2,"已过期",1119980106)</f>
        <v>已过期</v>
      </c>
      <c r="C14" s="2347">
        <v>44969</v>
      </c>
      <c r="D14" s="2343" t="str">
        <f t="shared" ca="1" si="0"/>
        <v>刘俊财（注册号：已过期）</v>
      </c>
      <c r="E14" s="2344" t="s">
        <v>2155</v>
      </c>
      <c r="F14" s="1302">
        <f ca="1">IF(G14&lt;B2,"已过期",96010063)</f>
        <v>96010063</v>
      </c>
      <c r="G14" s="2345">
        <v>47483</v>
      </c>
      <c r="H14" s="2346" t="str">
        <f t="shared" ca="1" si="1"/>
        <v>刘俊财（注册号：96010063）</v>
      </c>
    </row>
    <row r="15" spans="1:8" ht="24" customHeight="1">
      <c r="A15" s="1302" t="s">
        <v>2434</v>
      </c>
      <c r="B15" s="1302">
        <v>1120210056</v>
      </c>
      <c r="C15" s="2347">
        <v>45410</v>
      </c>
      <c r="D15" s="2343" t="str">
        <f t="shared" si="0"/>
        <v>宁小鳗（注册号：1120210056）</v>
      </c>
      <c r="E15" s="2344" t="s">
        <v>2156</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49" t="s">
        <v>2157</v>
      </c>
      <c r="B17" s="3549"/>
      <c r="C17" s="3549"/>
      <c r="D17" s="3549"/>
      <c r="E17" s="3549"/>
      <c r="F17" s="3549"/>
      <c r="G17" s="3549"/>
      <c r="H17" s="3549"/>
    </row>
    <row r="18" spans="1:8" ht="24" customHeight="1">
      <c r="A18" s="3550" t="s">
        <v>2158</v>
      </c>
      <c r="B18" s="3550"/>
      <c r="C18" s="3550"/>
      <c r="D18" s="2340"/>
      <c r="E18" s="3551" t="s">
        <v>2159</v>
      </c>
      <c r="F18" s="3550"/>
      <c r="G18" s="3550"/>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案例0.5</vt:lpstr>
      <vt:lpstr>比较法-仓储 (1)</vt:lpstr>
      <vt:lpstr>案例0.15</vt:lpstr>
      <vt:lpstr>典型户型修正</vt:lpstr>
      <vt:lpstr>基准地价（汇总）</vt:lpstr>
      <vt:lpstr>修正</vt:lpstr>
      <vt:lpstr>容积率修正</vt:lpstr>
      <vt:lpstr>成本法（废）</vt:lpstr>
      <vt:lpstr>因素修正幅度</vt:lpstr>
      <vt:lpstr>区片价（范围）</vt:lpstr>
      <vt:lpstr>估价对象汇总</vt:lpstr>
      <vt:lpstr>住宅仓储价格对比</vt:lpstr>
      <vt:lpstr>Sheet1</vt:lpstr>
      <vt:lpstr>地价-分区</vt:lpstr>
      <vt:lpstr>地价</vt:lpstr>
      <vt:lpstr>区片价</vt:lpstr>
      <vt:lpstr>存贷款利率</vt:lpstr>
      <vt:lpstr>'比较法-办公'!Print_Area</vt:lpstr>
      <vt:lpstr>'比较法-仓储'!Print_Area</vt:lpstr>
      <vt:lpstr>'比较法-仓储 (1)'!Print_Area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'比较法-仓储 (1)'!仓储公共部分装修</vt:lpstr>
      <vt:lpstr>仓储公共部分装修</vt:lpstr>
      <vt:lpstr>'比较法-仓储 (1)'!仓储交易情况</vt:lpstr>
      <vt:lpstr>仓储交易情况</vt:lpstr>
      <vt:lpstr>'比较法-仓储 (1)'!仓储楼层</vt:lpstr>
      <vt:lpstr>仓储楼层</vt:lpstr>
      <vt:lpstr>'比较法-仓储 (1)'!仓储物业等级</vt:lpstr>
      <vt:lpstr>仓储物业等级</vt:lpstr>
      <vt:lpstr>'比较法-仓储 (1)'!仓储用途</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'比较法-仓储 (1)'!是否封闭</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'比较法-仓储 (1)'!有无电梯</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2025-09-23T09:05:39Z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