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案例" sheetId="64" r:id="rId18"/>
    <sheet name="收益法" sheetId="15" r:id="rId19"/>
    <sheet name="成本法" sheetId="11" state="hidden" r:id="rId20"/>
    <sheet name="假设开发法" sheetId="12" state="hidden"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6"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37" i="34" l="1"/>
  <c r="E37" i="34"/>
  <c r="C37" i="34"/>
  <c r="C34" i="34"/>
  <c r="I7" i="34"/>
  <c r="G7" i="34"/>
  <c r="E7" i="34"/>
  <c r="J51" i="34"/>
  <c r="D14" i="9"/>
  <c r="H20" i="1"/>
  <c r="G20" i="1"/>
  <c r="D2" i="4"/>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Q25" i="40"/>
  <c r="Z25" i="40" s="1"/>
  <c r="D93" i="40"/>
  <c r="E93" i="40" s="1"/>
  <c r="F93" i="40" s="1"/>
  <c r="G93" i="40" s="1"/>
  <c r="H25" i="40"/>
  <c r="U25" i="40" s="1"/>
  <c r="F25" i="40"/>
  <c r="AA25" i="40" s="1"/>
  <c r="C25" i="40"/>
  <c r="Q27" i="39"/>
  <c r="Z27" i="39" s="1"/>
  <c r="D100" i="39"/>
  <c r="E100" i="39"/>
  <c r="F100" i="39" s="1"/>
  <c r="G100" i="39" s="1"/>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B75" i="43" s="1"/>
  <c r="AB25" i="40"/>
  <c r="S18" i="36"/>
  <c r="W18" i="35"/>
  <c r="U18" i="35"/>
  <c r="S18" i="35"/>
  <c r="U21" i="37"/>
  <c r="S21" i="37"/>
  <c r="U21" i="33"/>
  <c r="S21" i="33"/>
  <c r="S21" i="21"/>
  <c r="J25" i="40"/>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112" i="34" s="1"/>
  <c r="G112" i="34" s="1"/>
  <c r="H112" i="34" s="1"/>
  <c r="I112" i="34" s="1"/>
  <c r="J112" i="34" s="1"/>
  <c r="K112" i="34" s="1"/>
  <c r="L112" i="34" s="1"/>
  <c r="M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J27" i="34"/>
  <c r="AC27" i="34" s="1"/>
  <c r="D88" i="34"/>
  <c r="E88" i="34"/>
  <c r="F88" i="34"/>
  <c r="G88" i="34"/>
  <c r="H88" i="34"/>
  <c r="I88" i="34"/>
  <c r="J88" i="34"/>
  <c r="K88" i="34"/>
  <c r="L88" i="34"/>
  <c r="M88" i="34"/>
  <c r="D86" i="34"/>
  <c r="E86" i="34" s="1"/>
  <c r="F86" i="34" s="1"/>
  <c r="G86" i="34" s="1"/>
  <c r="F23" i="34"/>
  <c r="AA23" i="34" s="1"/>
  <c r="D82" i="34"/>
  <c r="E82" i="34" s="1"/>
  <c r="F82" i="34" s="1"/>
  <c r="G82" i="34" s="1"/>
  <c r="F19" i="34"/>
  <c r="AA19" i="34" s="1"/>
  <c r="D80" i="34"/>
  <c r="E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AA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C20" i="20"/>
  <c r="B77" i="43" s="1"/>
  <c r="C18" i="20"/>
  <c r="B71" i="43" s="1"/>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s="1"/>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F27" i="34"/>
  <c r="S27" i="34" s="1"/>
  <c r="W34" i="34"/>
  <c r="S28" i="34"/>
  <c r="J33" i="34"/>
  <c r="W33" i="34" s="1"/>
  <c r="J37" i="34"/>
  <c r="W37" i="34" s="1"/>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F40" i="34"/>
  <c r="AA40" i="34" s="1"/>
  <c r="U20" i="36"/>
  <c r="AB20" i="36"/>
  <c r="AA16" i="36"/>
  <c r="AC44" i="39"/>
  <c r="W44" i="39"/>
  <c r="H13" i="21"/>
  <c r="U13" i="21"/>
  <c r="J13" i="21"/>
  <c r="F13" i="21"/>
  <c r="AA13" i="21"/>
  <c r="J45" i="21"/>
  <c r="F45" i="21"/>
  <c r="AA45" i="21"/>
  <c r="S42" i="21"/>
  <c r="B41" i="47"/>
  <c r="C23" i="40"/>
  <c r="AC8" i="34"/>
  <c r="W8" i="34"/>
  <c r="W12" i="34"/>
  <c r="AC12" i="34"/>
  <c r="J9" i="34"/>
  <c r="AC9" i="34" s="1"/>
  <c r="F9" i="34"/>
  <c r="S9" i="34" s="1"/>
  <c r="AA9" i="36"/>
  <c r="S9" i="36"/>
  <c r="AB23" i="36"/>
  <c r="U23" i="36"/>
  <c r="J12" i="36"/>
  <c r="W12" i="36"/>
  <c r="H12" i="36"/>
  <c r="AB12" i="36"/>
  <c r="AA9" i="39"/>
  <c r="S9" i="39"/>
  <c r="AB12" i="39"/>
  <c r="U12" i="39"/>
  <c r="J12" i="39"/>
  <c r="F12" i="39"/>
  <c r="S12" i="39" s="1"/>
  <c r="R29" i="31"/>
  <c r="T29" i="31" s="1"/>
  <c r="F15" i="21"/>
  <c r="S15" i="21"/>
  <c r="C106" i="9"/>
  <c r="H102" i="9" s="1"/>
  <c r="AA30" i="21"/>
  <c r="J36" i="34"/>
  <c r="W36" i="34" s="1"/>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s="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c r="E116" i="34"/>
  <c r="F116" i="34" s="1"/>
  <c r="G116" i="34" s="1"/>
  <c r="H116" i="34" s="1"/>
  <c r="I116" i="34" s="1"/>
  <c r="J116" i="34" s="1"/>
  <c r="K116" i="34" s="1"/>
  <c r="L116" i="34" s="1"/>
  <c r="M116" i="34" s="1"/>
  <c r="J39" i="34"/>
  <c r="W39" i="34" s="1"/>
  <c r="J27" i="36"/>
  <c r="F37" i="34"/>
  <c r="AA37" i="34" s="1"/>
  <c r="H37" i="34"/>
  <c r="U37" i="34" s="1"/>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F25" i="34"/>
  <c r="S25" i="34"/>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F17" i="34"/>
  <c r="S17" i="34" s="1"/>
  <c r="H27" i="33"/>
  <c r="AB27" i="33"/>
  <c r="F43" i="33"/>
  <c r="S43" i="33"/>
  <c r="F125" i="33"/>
  <c r="G125" i="33"/>
  <c r="J43" i="33"/>
  <c r="AC43" i="33"/>
  <c r="AB31" i="21"/>
  <c r="U31" i="21"/>
  <c r="AA29" i="21"/>
  <c r="S29" i="21"/>
  <c r="W29" i="21"/>
  <c r="AC27" i="21"/>
  <c r="S37" i="34"/>
  <c r="H27" i="36"/>
  <c r="AB27" i="36"/>
  <c r="F27" i="36"/>
  <c r="AA27" i="36"/>
  <c r="J28" i="34"/>
  <c r="W28" i="34"/>
  <c r="AB34" i="21"/>
  <c r="H11" i="34"/>
  <c r="U11" i="34" s="1"/>
  <c r="S17" i="37"/>
  <c r="J11" i="37"/>
  <c r="AC11" i="37"/>
  <c r="W12" i="39"/>
  <c r="AC12" i="39"/>
  <c r="W9" i="34"/>
  <c r="S45" i="21"/>
  <c r="AB13" i="21"/>
  <c r="AC37" i="37"/>
  <c r="U38" i="40"/>
  <c r="F23" i="39"/>
  <c r="AA23" i="39"/>
  <c r="F96" i="39"/>
  <c r="G96" i="39"/>
  <c r="S26" i="37"/>
  <c r="S24" i="36"/>
  <c r="F44" i="34"/>
  <c r="AA44" i="34" s="1"/>
  <c r="F126" i="34"/>
  <c r="G126" i="34"/>
  <c r="J44" i="34"/>
  <c r="AC44" i="34"/>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AB25" i="34"/>
  <c r="I60" i="37"/>
  <c r="J10" i="37"/>
  <c r="AC10" i="37"/>
  <c r="H23" i="39"/>
  <c r="AB23" i="39"/>
  <c r="J11" i="34"/>
  <c r="W11" i="34" s="1"/>
  <c r="J27" i="33"/>
  <c r="W27" i="33"/>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95"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S43" i="34"/>
  <c r="W15" i="34"/>
  <c r="W31" i="34"/>
  <c r="U21" i="34"/>
  <c r="AB21" i="34"/>
  <c r="AA25"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19" i="34"/>
  <c r="AB28" i="34"/>
  <c r="AB37" i="34"/>
  <c r="AA45" i="34"/>
  <c r="AB45" i="34"/>
  <c r="AB27" i="34"/>
  <c r="W29" i="34"/>
  <c r="S34" i="34"/>
  <c r="AC25" i="34"/>
  <c r="W4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E2" i="33"/>
  <c r="H23" i="31"/>
  <c r="D6" i="61"/>
  <c r="F4" i="61"/>
  <c r="D5" i="61"/>
  <c r="D4" i="61"/>
  <c r="F7" i="61"/>
  <c r="E2" i="21"/>
  <c r="E2" i="37"/>
  <c r="E2" i="35"/>
  <c r="D3" i="61"/>
  <c r="D7" i="61"/>
  <c r="E2" i="34"/>
  <c r="C20" i="57"/>
  <c r="F3" i="61"/>
  <c r="E2" i="11"/>
  <c r="D20" i="57"/>
  <c r="C19" i="57"/>
  <c r="F6" i="61"/>
  <c r="D19" i="57"/>
  <c r="F5" i="61"/>
  <c r="E2" i="36"/>
  <c r="S47" i="34" l="1"/>
  <c r="AB33" i="34"/>
  <c r="W41" i="34"/>
  <c r="S35" i="34"/>
  <c r="W27" i="34"/>
  <c r="U23" i="34"/>
  <c r="AC23" i="34"/>
  <c r="S44" i="34"/>
  <c r="AB40" i="34"/>
  <c r="AC37" i="34"/>
  <c r="W35" i="34"/>
  <c r="AC33" i="34"/>
  <c r="S23" i="34"/>
  <c r="AC21" i="34"/>
  <c r="S21" i="34"/>
  <c r="S19" i="34"/>
  <c r="AB19" i="34"/>
  <c r="F80" i="34"/>
  <c r="G80" i="34" s="1"/>
  <c r="J17" i="34"/>
  <c r="AC17" i="34" s="1"/>
  <c r="AB17" i="34"/>
  <c r="AA17" i="34"/>
  <c r="U15" i="34"/>
  <c r="AB8" i="34"/>
  <c r="S8" i="34"/>
  <c r="U10" i="34"/>
  <c r="AC10" i="34"/>
  <c r="AA41" i="34"/>
  <c r="S40" i="34"/>
  <c r="W40" i="34"/>
  <c r="AC39" i="34"/>
  <c r="S39" i="34"/>
  <c r="U38" i="34"/>
  <c r="S38" i="34"/>
  <c r="W38" i="34"/>
  <c r="W43" i="34"/>
  <c r="U43" i="34"/>
  <c r="S36" i="34"/>
  <c r="U36" i="34"/>
  <c r="AC36" i="34"/>
  <c r="AB35" i="34"/>
  <c r="U34" i="34"/>
  <c r="AA33" i="34"/>
  <c r="AA27" i="34"/>
  <c r="U9" i="34"/>
  <c r="AA9" i="34"/>
  <c r="B74" i="43"/>
  <c r="C29" i="39"/>
  <c r="B66" i="43"/>
  <c r="B55" i="43"/>
  <c r="D80" i="57"/>
  <c r="D78" i="9"/>
  <c r="D42" i="50"/>
  <c r="D43" i="5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W17" i="34" l="1"/>
  <c r="F7" i="35"/>
  <c r="F69" i="39"/>
  <c r="C7" i="43"/>
  <c r="S9" i="59"/>
  <c r="B8" i="59"/>
  <c r="U9" i="59"/>
  <c r="E8" i="59"/>
  <c r="V9" i="59"/>
  <c r="F8" i="59"/>
  <c r="C18" i="15"/>
  <c r="C16" i="15"/>
  <c r="C19" i="15" s="1"/>
  <c r="C20" i="15" s="1"/>
  <c r="C26" i="15" s="1"/>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J7" i="36" l="1"/>
  <c r="W7" i="36"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7" i="59" l="1"/>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R50" i="34" l="1"/>
  <c r="C50" i="34" s="1"/>
  <c r="B2" i="34" s="1"/>
  <c r="E49" i="34"/>
  <c r="E53" i="34" s="1"/>
  <c r="F53" i="34" s="1"/>
  <c r="D101" i="9"/>
  <c r="D102" i="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49" i="34" l="1"/>
  <c r="I54" i="34"/>
  <c r="J54" i="34" s="1"/>
  <c r="E54" i="34"/>
  <c r="F54" i="34" s="1"/>
  <c r="C101" i="9"/>
  <c r="G19" i="9"/>
  <c r="D22" i="9"/>
  <c r="B3" i="34"/>
  <c r="AC7" i="40"/>
  <c r="V42" i="40" s="1"/>
  <c r="I42" i="40" s="1"/>
  <c r="I46" i="40" s="1"/>
  <c r="J46" i="40" s="1"/>
  <c r="W7" i="40"/>
  <c r="S7" i="40"/>
  <c r="AA7" i="40"/>
  <c r="R42" i="40" s="1"/>
  <c r="R43" i="40" s="1"/>
  <c r="AB7" i="40"/>
  <c r="T42" i="40" s="1"/>
  <c r="G42" i="40" s="1"/>
  <c r="G46" i="40" s="1"/>
  <c r="H46" i="40" s="1"/>
  <c r="U7" i="40"/>
  <c r="C20" i="9"/>
  <c r="C102" i="9" l="1"/>
  <c r="G20" i="9"/>
  <c r="D26" i="62" s="1"/>
  <c r="G47" i="40"/>
  <c r="H47" i="40" s="1"/>
  <c r="E42" i="40"/>
  <c r="C32" i="9" l="1"/>
  <c r="C35" i="9" s="1"/>
  <c r="C34" i="9" s="1"/>
  <c r="I47" i="40"/>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M67" i="9"/>
  <c r="N67" i="9" s="1"/>
  <c r="M66" i="9"/>
  <c r="N66" i="9" s="1"/>
  <c r="M68" i="9"/>
  <c r="N68" i="9" s="1"/>
  <c r="M64" i="9"/>
  <c r="N64" i="9" s="1"/>
  <c r="N49" i="9"/>
  <c r="M65" i="9" s="1"/>
  <c r="N65" i="9" s="1"/>
  <c r="M63" i="9"/>
  <c r="N63" i="9" s="1"/>
  <c r="N69" i="9" s="1"/>
  <c r="O69" i="9" s="1"/>
  <c r="G121" i="9" l="1"/>
  <c r="E121" i="9"/>
  <c r="I121" i="9"/>
  <c r="D121" i="9" l="1"/>
  <c r="E4" i="52"/>
  <c r="B38" i="60" s="1"/>
  <c r="I103" i="9"/>
  <c r="I4" i="52"/>
  <c r="F121" i="9"/>
  <c r="G4" i="52"/>
  <c r="B41" i="60" s="1"/>
  <c r="H121" i="9"/>
  <c r="C104" i="9"/>
  <c r="D107" i="9"/>
  <c r="H122" i="9" l="1"/>
  <c r="H5" i="52" s="1"/>
  <c r="H4" i="52"/>
  <c r="F122" i="9"/>
  <c r="F5" i="52" s="1"/>
  <c r="B42" i="60" s="1"/>
  <c r="F4" i="52"/>
  <c r="B40" i="60" s="1"/>
  <c r="D30" i="50"/>
  <c r="D9" i="50"/>
  <c r="B21" i="60" s="1"/>
  <c r="D122" i="9"/>
  <c r="D5" i="52" s="1"/>
  <c r="B39" i="60" s="1"/>
  <c r="D4" i="52"/>
  <c r="B37" i="60" s="1"/>
  <c r="D106" i="9"/>
  <c r="D112" i="9" s="1"/>
  <c r="D113" i="9" s="1"/>
  <c r="I102" i="9"/>
  <c r="C103" i="9"/>
  <c r="D14" i="62"/>
  <c r="B5" i="62" s="1"/>
  <c r="I111" i="9" l="1"/>
  <c r="D38" i="50"/>
  <c r="B62" i="60" s="1"/>
  <c r="N48" i="9"/>
  <c r="D28" i="50"/>
  <c r="D29" i="50" s="1"/>
  <c r="D7" i="50"/>
  <c r="D45" i="9"/>
  <c r="D52" i="9" s="1"/>
  <c r="D117" i="9"/>
  <c r="E14" i="62"/>
  <c r="F14" i="62"/>
  <c r="I110" i="9"/>
  <c r="D5" i="62"/>
  <c r="C5" i="62"/>
  <c r="D125" i="9" l="1"/>
  <c r="D15" i="50"/>
  <c r="D36" i="50"/>
  <c r="D37" i="50" s="1"/>
  <c r="I115" i="9"/>
  <c r="D23" i="50" s="1"/>
  <c r="B34" i="60" s="1"/>
  <c r="D44" i="50"/>
  <c r="B19" i="60"/>
  <c r="D8" i="50"/>
  <c r="B22" i="60" s="1"/>
  <c r="D126" i="9"/>
  <c r="D9" i="52" s="1"/>
  <c r="D17" i="50"/>
  <c r="C78" i="9"/>
  <c r="C73" i="9" s="1"/>
  <c r="D53" i="9"/>
  <c r="D48" i="9" s="1"/>
  <c r="N52" i="9" s="1"/>
  <c r="O57" i="9" s="1"/>
  <c r="Q57" i="9" s="1"/>
  <c r="C85" i="9"/>
  <c r="C64" i="9"/>
  <c r="C63" i="9" s="1"/>
  <c r="C67" i="9" s="1"/>
  <c r="C68" i="9" s="1"/>
  <c r="D54" i="9" s="1"/>
  <c r="C93" i="9"/>
  <c r="C86" i="9" s="1"/>
  <c r="C72" i="9"/>
  <c r="C79" i="9" l="1"/>
  <c r="B29" i="60"/>
  <c r="D16" i="50"/>
  <c r="B30" i="60" s="1"/>
  <c r="G14" i="62"/>
  <c r="B6" i="62" s="1"/>
  <c r="D8" i="52"/>
  <c r="O59" i="9"/>
  <c r="O61" i="9" s="1"/>
  <c r="O58" i="9"/>
  <c r="C95" i="9"/>
  <c r="C96" i="9" s="1"/>
  <c r="E96" i="9" s="1"/>
  <c r="E97" i="9" s="1"/>
  <c r="C80" i="9"/>
  <c r="E80" i="9" s="1"/>
  <c r="E81" i="9" s="1"/>
  <c r="C81" i="9" l="1"/>
  <c r="C97" i="9"/>
  <c r="D58" i="9" s="1"/>
  <c r="O60" i="9"/>
  <c r="D6" i="62"/>
  <c r="C6"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<sst xmlns="http://schemas.openxmlformats.org/spreadsheetml/2006/main" count="6989" uniqueCount="3076">
  <si>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</si>
  <si>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</si>
  <si>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</si>
  <si>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</si>
  <si>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</si>
  <si>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</si>
  <si>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</si>
  <si>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</si>
  <si>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</si>
  <si>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</si>
  <si>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</si>
  <si>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</si>
  <si>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</si>
  <si>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</si>
  <si>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</si>
  <si>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</si>
  <si>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</si>
  <si>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</si>
  <si>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</si>
  <si>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</si>
  <si>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</si>
  <si>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</si>
  <si>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</si>
  <si>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</si>
  <si>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</si>
  <si>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</si>
  <si>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</si>
  <si>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</si>
  <si>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</si>
  <si>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</si>
  <si>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</si>
  <si>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</si>
  <si>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</si>
  <si>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</si>
  <si>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</si>
  <si>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</si>
  <si>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</si>
  <si>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</si>
  <si>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</si>
  <si>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</si>
  <si>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</si>
  <si>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</si>
  <si>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</si>
  <si>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</si>
  <si>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</si>
  <si>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</si>
  <si>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</si>
  <si>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</si>
  <si>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</si>
  <si>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</si>
  <si>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</si>
  <si>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</si>
  <si>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</si>
  <si>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</si>
  <si>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</si>
  <si>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</si>
  <si>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</si>
  <si>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</si>
  <si>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</si>
  <si>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</si>
  <si>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</si>
  <si>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</si>
  <si>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</si>
  <si>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</si>
  <si>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</si>
  <si>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</si>
  <si>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</si>
  <si>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</si>
  <si>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</si>
  <si>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</si>
  <si>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</si>
  <si>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</si>
  <si>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</si>
  <si>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</si>
  <si>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</si>
  <si>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</si>
  <si>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</si>
  <si>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</si>
  <si>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</si>
  <si>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</si>
  <si>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</si>
  <si>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</si>
  <si>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</si>
  <si>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</si>
  <si>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</si>
  <si>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</si>
  <si>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</si>
  <si>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</si>
  <si>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</si>
  <si>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</si>
  <si>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</si>
  <si>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</si>
  <si>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</si>
  <si>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</si>
  <si>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</si>
  <si>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</si>
  <si>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</si>
  <si>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</si>
  <si>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</si>
  <si>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</si>
  <si>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</si>
  <si>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</si>
  <si>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</si>
  <si>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</si>
  <si>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</si>
  <si>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</si>
  <si>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</si>
  <si>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</si>
  <si>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</si>
  <si>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</si>
  <si>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</si>
  <si>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</si>
  <si>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</si>
  <si>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</si>
  <si>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</si>
  <si>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</si>
  <si>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</si>
  <si>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</si>
  <si>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</si>
  <si>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</si>
  <si>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</si>
  <si>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</si>
  <si>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</si>
  <si>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</si>
  <si>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</si>
  <si>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</si>
  <si>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</si>
  <si>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</si>
  <si>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</si>
  <si>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</si>
  <si>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</si>
  <si>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</si>
  <si>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</si>
  <si>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</si>
  <si>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</si>
  <si>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</si>
  <si>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</si>
  <si>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</si>
  <si>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</si>
  <si>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</si>
  <si>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</si>
  <si>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</si>
  <si>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</si>
  <si>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</si>
  <si>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</si>
  <si>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</si>
  <si>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</si>
  <si>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</si>
  <si>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</si>
  <si>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</si>
  <si>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</si>
  <si>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</si>
  <si>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</si>
  <si>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</si>
  <si>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</si>
  <si>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</si>
  <si>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</si>
  <si>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</si>
  <si>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</si>
  <si>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</si>
  <si>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</si>
  <si>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</si>
  <si>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</si>
  <si>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</si>
  <si>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</si>
  <si>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</si>
  <si>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</si>
  <si>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</si>
  <si>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</si>
  <si>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</si>
  <si>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</si>
  <si>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</si>
  <si>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</si>
  <si>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</si>
  <si>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</si>
  <si>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</si>
  <si>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</si>
  <si>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</si>
  <si>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</si>
  <si>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</si>
  <si>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</si>
  <si>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</si>
  <si>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</si>
  <si>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</si>
  <si>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</si>
  <si>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</si>
  <si>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</si>
  <si>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</si>
  <si>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</si>
  <si>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</si>
  <si>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</si>
  <si>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</si>
  <si>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</si>
  <si>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</si>
  <si>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</si>
  <si>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</si>
  <si>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</si>
  <si>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</si>
  <si>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</si>
  <si>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</si>
  <si>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</si>
  <si>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</si>
  <si>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</si>
  <si>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</si>
  <si>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</si>
  <si>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</si>
  <si>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</si>
  <si>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</si>
  <si>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</si>
  <si>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</si>
  <si>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</si>
  <si>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</si>
  <si>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</si>
  <si>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</si>
  <si>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</si>
  <si>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</si>
  <si>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</si>
  <si>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</si>
  <si>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</si>
  <si>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</si>
  <si>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</si>
  <si>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</si>
  <si>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</si>
  <si>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</si>
  <si>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</si>
  <si>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</si>
  <si>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</si>
  <si>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</si>
  <si>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</si>
  <si>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</si>
  <si>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</si>
  <si>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</si>
  <si>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</si>
  <si>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</si>
  <si>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</si>
  <si>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</si>
  <si>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</si>
  <si>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</si>
  <si>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</si>
  <si>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</si>
  <si>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</si>
  <si>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</si>
  <si>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</si>
  <si>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</si>
  <si>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</si>
  <si>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</si>
  <si>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</si>
  <si>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</si>
  <si>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</si>
  <si>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</si>
  <si>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</si>
  <si>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</si>
  <si>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</si>
  <si>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</si>
  <si>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</si>
  <si>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</si>
  <si>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</si>
  <si>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</si>
  <si>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</si>
  <si>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</si>
  <si>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</si>
  <si>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</si>
  <si>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</si>
  <si>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</si>
  <si>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</si>
  <si>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</si>
  <si>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</si>
  <si>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</si>
  <si>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</si>
  <si>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</si>
  <si>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</si>
  <si>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</si>
  <si>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</si>
  <si>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</si>
  <si>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</si>
  <si>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</si>
  <si>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</si>
  <si>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</si>
  <si>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</si>
  <si>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</si>
  <si>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</si>
  <si>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</si>
  <si>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</si>
  <si>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</si>
  <si>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</si>
  <si>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</si>
  <si>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</si>
  <si>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</si>
  <si>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</si>
  <si>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</si>
  <si>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</si>
  <si>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</si>
  <si>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</si>
  <si>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</si>
  <si>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</si>
  <si>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</si>
  <si>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</si>
  <si>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</si>
  <si>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</si>
  <si>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</si>
  <si>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</si>
  <si>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</si>
  <si>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</si>
  <si>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</si>
  <si>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</si>
  <si>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</si>
  <si>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</si>
  <si>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</si>
  <si>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</si>
  <si>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</si>
  <si>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</si>
  <si>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</si>
  <si>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</si>
  <si>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</si>
  <si>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</si>
  <si>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</si>
  <si>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</si>
  <si>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</si>
  <si>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</si>
  <si>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</si>
  <si>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</si>
  <si>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</si>
  <si>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</si>
  <si>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</si>
  <si>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</si>
  <si>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</si>
  <si>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</si>
  <si>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</si>
  <si>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</si>
  <si>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</si>
  <si>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</si>
  <si>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</si>
  <si>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</si>
  <si>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</si>
  <si>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</si>
  <si>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</si>
  <si>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</si>
  <si>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</si>
  <si>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</si>
  <si>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</si>
  <si>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</si>
  <si>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</si>
  <si>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</si>
  <si>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</si>
  <si>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</si>
  <si>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</si>
  <si>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</si>
  <si>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</si>
  <si>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</si>
  <si>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</si>
  <si>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</si>
  <si>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</si>
  <si>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</si>
  <si>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</si>
  <si>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</si>
  <si>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</si>
  <si>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</si>
  <si>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</si>
  <si>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</si>
  <si>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</si>
  <si>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</si>
  <si>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</si>
  <si>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</si>
  <si>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</si>
  <si>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</si>
  <si>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</si>
  <si>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</si>
  <si>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</si>
  <si>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</si>
  <si>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</si>
  <si>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</si>
  <si>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</si>
  <si>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</si>
  <si>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</si>
  <si>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</si>
  <si>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</si>
  <si>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</si>
  <si>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</si>
  <si>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</si>
  <si>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</si>
  <si>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</si>
  <si>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</si>
  <si>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</si>
  <si>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</si>
  <si>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</si>
  <si>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</si>
  <si>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</si>
  <si>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</si>
  <si>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</si>
  <si>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</si>
  <si>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</si>
  <si>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</si>
  <si>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</si>
  <si>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</si>
  <si>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</si>
  <si>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</si>
  <si>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</si>
  <si>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</si>
  <si>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</si>
  <si>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</si>
  <si>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</si>
  <si>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</si>
  <si>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</si>
  <si>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</si>
  <si>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</si>
  <si>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</si>
  <si>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</si>
  <si>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</si>
  <si>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</si>
  <si>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</si>
  <si>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</si>
  <si>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</si>
  <si>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</si>
  <si>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</si>
  <si>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</si>
  <si>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</si>
  <si>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</si>
  <si>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</si>
  <si>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</si>
  <si>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</si>
  <si>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</si>
  <si>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</si>
  <si>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</si>
  <si>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</si>
  <si>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</si>
  <si>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</si>
  <si>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</si>
  <si>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</si>
  <si>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</si>
  <si>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</si>
  <si>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</si>
  <si>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</si>
  <si>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</si>
  <si>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</si>
  <si>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</si>
  <si>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</si>
  <si>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</si>
  <si>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</si>
  <si>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</si>
  <si>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</si>
  <si>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</si>
  <si>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</si>
  <si>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</si>
  <si>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</si>
  <si>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</si>
  <si>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</si>
  <si>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</si>
  <si>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</si>
  <si>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</si>
  <si>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</si>
  <si>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</si>
  <si>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</si>
  <si>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</si>
  <si>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</si>
  <si>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</si>
  <si>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</si>
  <si>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</si>
  <si>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</si>
  <si>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</si>
  <si>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</si>
  <si>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</si>
  <si>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</si>
  <si>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</si>
  <si>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</si>
  <si>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</si>
  <si>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</si>
  <si>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</si>
  <si>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</si>
  <si>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</si>
  <si>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</si>
  <si>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</si>
  <si>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</si>
  <si>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</si>
  <si>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</si>
  <si>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</si>
  <si>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</si>
  <si>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</si>
  <si>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</si>
  <si>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</si>
  <si>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</si>
  <si>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</si>
  <si>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</si>
  <si>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</si>
  <si>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</si>
  <si>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</si>
  <si>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</si>
  <si>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</si>
  <si>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</si>
  <si>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</si>
  <si>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</si>
  <si>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</si>
  <si>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</si>
  <si>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</si>
  <si>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</si>
  <si>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</si>
  <si>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</si>
  <si>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</si>
  <si>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</si>
  <si>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</si>
  <si>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</si>
  <si>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</si>
  <si>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</si>
  <si>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</si>
  <si>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</si>
  <si>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</si>
  <si>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</si>
  <si>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</si>
  <si>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</si>
  <si>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</si>
  <si>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</si>
  <si>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</si>
  <si>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</si>
  <si>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</si>
  <si>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</si>
  <si>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</si>
  <si>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</si>
  <si>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</si>
  <si>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</si>
  <si>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</si>
  <si>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</si>
  <si>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</si>
  <si>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</si>
  <si>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</si>
  <si>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</si>
  <si>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</si>
  <si>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</si>
  <si>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</si>
  <si>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</si>
  <si>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</si>
  <si>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</si>
  <si>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</si>
  <si>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</si>
  <si>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</si>
  <si>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</si>
  <si>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</si>
  <si>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</si>
  <si>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</si>
  <si>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</si>
  <si>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</si>
  <si>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</si>
  <si>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</si>
  <si>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</si>
  <si>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</si>
  <si>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</si>
  <si>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</si>
  <si>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</si>
  <si>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</si>
  <si>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</si>
  <si>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</si>
  <si>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</si>
  <si>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</si>
  <si>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</si>
  <si>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</si>
  <si>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</si>
  <si>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</si>
  <si>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</si>
  <si>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</si>
  <si>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</si>
  <si>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</si>
  <si>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</si>
  <si>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</si>
  <si>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</si>
  <si>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</si>
  <si>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</si>
  <si>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</si>
  <si>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</si>
  <si>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</si>
  <si>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</si>
  <si>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</si>
  <si>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</si>
  <si>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</si>
  <si>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</si>
  <si>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</si>
  <si>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</si>
  <si>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</si>
  <si>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</si>
  <si>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</si>
  <si>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</si>
  <si>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</si>
  <si>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</si>
  <si>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</si>
  <si>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</si>
  <si>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</si>
  <si>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</si>
  <si>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</si>
  <si>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</si>
  <si>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</si>
  <si>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</si>
  <si>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</si>
  <si>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</si>
  <si>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</si>
  <si>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</si>
  <si>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</si>
  <si>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</si>
  <si>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</si>
  <si>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</si>
  <si>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</si>
  <si>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</si>
  <si>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</si>
  <si>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</si>
  <si>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</si>
  <si>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</si>
  <si>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</si>
  <si>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</si>
  <si>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</si>
  <si>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</si>
  <si>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</si>
  <si>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</si>
  <si>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</si>
  <si>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</si>
  <si>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</si>
  <si>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</si>
  <si>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</si>
  <si>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</si>
  <si>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</si>
  <si>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</si>
  <si>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</si>
  <si>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</si>
  <si>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</si>
  <si>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</si>
  <si>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</si>
  <si>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</si>
  <si>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</si>
  <si>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</si>
  <si>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</si>
  <si>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</si>
  <si>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</si>
  <si>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</si>
  <si>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</si>
  <si>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</si>
  <si>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</si>
  <si>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</si>
  <si>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</si>
  <si>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</si>
  <si>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</si>
  <si>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</si>
  <si>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</si>
  <si>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</si>
  <si>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</si>
  <si>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</si>
  <si>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</si>
  <si>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</si>
  <si>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</si>
  <si>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</si>
  <si>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</si>
  <si>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</si>
  <si>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</si>
  <si>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</si>
  <si>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</si>
  <si>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</si>
  <si>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</si>
  <si>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</si>
  <si>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</si>
  <si>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</si>
  <si>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</si>
  <si>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</si>
  <si>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</si>
  <si>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</si>
  <si>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</si>
  <si>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</si>
  <si>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</si>
  <si>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</si>
  <si>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</si>
  <si>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</si>
  <si>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</si>
  <si>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</si>
  <si>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</si>
  <si>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</si>
  <si>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</si>
  <si>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</si>
  <si>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</si>
  <si>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</si>
  <si>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</si>
  <si>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</si>
  <si>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</si>
  <si>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</si>
  <si>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</si>
  <si>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</si>
  <si>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</si>
  <si>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</si>
  <si>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</si>
  <si>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</si>
  <si>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</si>
  <si>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</si>
  <si>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</si>
  <si>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</si>
  <si>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</si>
  <si>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</si>
  <si>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</si>
  <si>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</si>
  <si>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</si>
  <si>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</si>
  <si>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</si>
  <si>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</si>
  <si>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</si>
  <si>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</si>
  <si>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</si>
  <si>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</si>
  <si>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</si>
  <si>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</si>
  <si>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</si>
  <si>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</si>
  <si>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</si>
  <si>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</si>
  <si>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</si>
  <si>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</si>
  <si>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</si>
  <si>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</si>
  <si>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</si>
  <si>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</si>
  <si>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</si>
  <si>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</si>
  <si>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</si>
  <si>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</si>
  <si>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</si>
  <si>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</si>
  <si>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</si>
  <si>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</si>
  <si>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</si>
  <si>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</si>
  <si>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</si>
  <si>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</si>
  <si>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</si>
  <si>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</si>
  <si>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</si>
  <si>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</si>
  <si>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</si>
  <si>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</si>
  <si>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</si>
  <si>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</si>
  <si>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</si>
  <si>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</si>
  <si>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</si>
  <si>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</si>
  <si>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</si>
  <si>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</si>
  <si>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</si>
  <si>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</si>
  <si>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</si>
  <si>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</si>
  <si>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</si>
  <si>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</si>
  <si>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</si>
  <si>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</si>
  <si>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</si>
  <si>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</si>
  <si>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</si>
  <si>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</si>
  <si>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</si>
  <si>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</si>
  <si>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</si>
  <si>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</si>
  <si>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</si>
  <si>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</si>
  <si>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</si>
  <si>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</si>
  <si>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</si>
  <si>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</si>
  <si>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</si>
  <si>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</si>
  <si>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</si>
  <si>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</si>
  <si>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</si>
  <si>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</si>
  <si>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</si>
  <si>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</si>
  <si>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</si>
  <si>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</si>
  <si>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</si>
  <si>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</si>
  <si>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</si>
  <si>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</si>
  <si>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</si>
  <si>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</si>
  <si>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</si>
  <si>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</si>
  <si>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</si>
  <si>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</si>
  <si>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</si>
  <si>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</si>
  <si>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</si>
  <si>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</si>
  <si>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</si>
  <si>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</si>
  <si>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</si>
  <si>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</si>
  <si>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</si>
  <si>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</si>
  <si>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</si>
  <si>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</si>
  <si>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</si>
  <si>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</si>
  <si>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</si>
  <si>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</si>
  <si>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</si>
  <si>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</si>
  <si>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</si>
  <si>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</si>
  <si>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</si>
  <si>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</si>
  <si>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</si>
  <si>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</si>
  <si>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</si>
  <si>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</si>
  <si>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</si>
  <si>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</si>
  <si>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</si>
  <si>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</si>
  <si>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</si>
  <si>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</si>
  <si>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</si>
  <si>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</si>
  <si>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</si>
  <si>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</si>
  <si>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</si>
  <si>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</si>
  <si>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</si>
  <si>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</si>
  <si>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</si>
  <si>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</si>
  <si>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</si>
  <si>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</si>
  <si>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</si>
  <si>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</si>
  <si>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</si>
  <si>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</si>
  <si>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</si>
  <si>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</si>
  <si>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</si>
  <si>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</si>
  <si>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</si>
  <si>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</si>
  <si>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</si>
  <si>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</si>
  <si>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</si>
  <si>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</si>
  <si>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</si>
  <si>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</si>
  <si>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</si>
  <si>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</si>
  <si>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</si>
  <si>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</si>
  <si>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</si>
  <si>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</si>
  <si>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</si>
  <si>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</si>
  <si>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</si>
  <si>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</si>
  <si>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</si>
  <si>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</si>
  <si>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</si>
  <si>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</si>
  <si>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</si>
  <si>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</si>
  <si>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</si>
  <si>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</si>
  <si>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</si>
  <si>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</si>
  <si>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</si>
  <si>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</si>
  <si>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</si>
  <si>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</si>
  <si>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</si>
  <si>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</si>
  <si>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</si>
  <si>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</si>
  <si>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</si>
  <si>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</si>
  <si>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</si>
  <si>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</si>
  <si>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</si>
  <si>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</si>
  <si>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</si>
  <si>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</si>
  <si>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</si>
  <si>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</si>
  <si>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</si>
  <si>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</si>
  <si>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</si>
  <si>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</si>
  <si>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</si>
  <si>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</si>
  <si>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</si>
  <si>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</si>
  <si>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</si>
  <si>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</si>
  <si>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</si>
  <si>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</si>
  <si>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</si>
  <si>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</si>
  <si>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</si>
  <si>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</si>
  <si>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</si>
  <si>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</si>
  <si>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</si>
  <si>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</si>
  <si>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</si>
  <si>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</si>
  <si>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</si>
  <si>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</si>
  <si>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</si>
  <si>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</si>
  <si>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</si>
  <si>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</si>
  <si>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</si>
  <si>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</si>
  <si>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</si>
  <si>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</si>
  <si>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</si>
  <si>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</si>
  <si>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</si>
  <si>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</si>
  <si>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</si>
  <si>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</si>
  <si>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</si>
  <si>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</si>
  <si>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</si>
  <si>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</si>
  <si>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</si>
  <si>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</si>
  <si>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</si>
  <si>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</si>
  <si>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</si>
  <si>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</si>
  <si>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</si>
  <si>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</si>
  <si>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</si>
  <si>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</si>
  <si>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</si>
  <si>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</si>
  <si>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</si>
  <si>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</si>
  <si>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</si>
  <si>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</si>
  <si>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</si>
  <si>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</si>
  <si>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</si>
  <si>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</si>
  <si>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</si>
  <si>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</si>
  <si>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</si>
  <si>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</si>
  <si>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</si>
  <si>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</si>
  <si>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</si>
  <si>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</si>
  <si>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</si>
  <si>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</si>
  <si>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</si>
  <si>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</si>
  <si>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</si>
  <si>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</si>
  <si>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</si>
  <si>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</si>
  <si>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</si>
  <si>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</si>
  <si>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</si>
  <si>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</si>
  <si>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</si>
  <si>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</si>
  <si>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</si>
  <si>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</si>
  <si>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</si>
  <si>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</si>
  <si>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</si>
  <si>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</si>
  <si>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</si>
  <si>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</si>
  <si>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</si>
  <si>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</si>
  <si>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</si>
  <si>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</si>
  <si>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</si>
  <si>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</si>
  <si>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</si>
  <si>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</si>
  <si>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</si>
  <si>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</si>
  <si>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</si>
  <si>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</si>
  <si>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</si>
  <si>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</si>
  <si>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</si>
  <si>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</si>
  <si>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</si>
  <si>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</si>
  <si>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</si>
  <si>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</si>
  <si>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</si>
  <si>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</si>
  <si>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</si>
  <si>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</si>
  <si>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</si>
  <si>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</si>
  <si>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</si>
  <si>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</si>
  <si>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</si>
  <si>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</si>
  <si>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</si>
  <si>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</si>
  <si>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</si>
  <si>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</si>
  <si>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</si>
  <si>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</si>
  <si>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</si>
  <si>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</si>
  <si>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</si>
  <si>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</si>
  <si>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</si>
  <si>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</si>
  <si>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</si>
  <si>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</si>
  <si>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</si>
  <si>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</si>
  <si>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</si>
  <si>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</si>
  <si>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</si>
  <si>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</si>
  <si>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</si>
  <si>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</si>
  <si>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</si>
  <si>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</si>
  <si>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</si>
  <si>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</si>
  <si>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</si>
  <si>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</si>
  <si>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</si>
  <si>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</si>
  <si>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</si>
  <si>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</si>
  <si>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</si>
  <si>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</si>
  <si>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</si>
  <si>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</si>
  <si>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</si>
  <si>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</si>
  <si>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</si>
  <si>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</si>
  <si>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</si>
  <si>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</si>
  <si>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</si>
  <si>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</si>
  <si>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</si>
  <si>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</si>
  <si>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</si>
  <si>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</si>
  <si>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</si>
  <si>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</si>
  <si>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</si>
  <si>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</si>
  <si>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</si>
  <si>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</si>
  <si>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</si>
  <si>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</si>
  <si>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</si>
  <si>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</si>
  <si>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</si>
  <si>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</si>
  <si>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</si>
  <si>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</si>
  <si>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</si>
  <si>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</si>
  <si>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</si>
  <si>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</si>
  <si>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</si>
  <si>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</si>
  <si>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</si>
  <si>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</si>
  <si>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</si>
  <si>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</si>
  <si>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</si>
  <si>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</si>
  <si>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</si>
  <si>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</si>
  <si>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</si>
  <si>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</si>
  <si>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</si>
  <si>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</si>
  <si>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</si>
  <si>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</si>
  <si>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</si>
  <si>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</si>
  <si>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</si>
  <si>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</si>
  <si>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</si>
  <si>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</si>
  <si>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</si>
  <si>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</si>
  <si>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</si>
  <si>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</si>
  <si>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</si>
  <si>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</si>
  <si>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</si>
  <si>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</si>
  <si>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</si>
  <si>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</si>
  <si>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</si>
  <si>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</si>
  <si>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</si>
  <si>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</si>
  <si>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</si>
  <si>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</si>
  <si>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</si>
  <si>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</si>
  <si>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</si>
  <si>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</si>
  <si>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</si>
  <si>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</si>
  <si>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</si>
  <si>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</si>
  <si>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</si>
  <si>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</si>
  <si>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</si>
  <si>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</si>
  <si>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</si>
  <si>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</si>
  <si>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</si>
  <si>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</si>
  <si>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</si>
  <si>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</si>
  <si>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</si>
  <si>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</si>
  <si>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</si>
  <si>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</si>
  <si>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</si>
  <si>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</si>
  <si>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</si>
  <si>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</si>
  <si>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</si>
  <si>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</si>
  <si>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</si>
  <si>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</si>
  <si>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</si>
  <si>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</si>
  <si>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</si>
  <si>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</si>
  <si>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</si>
  <si>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</si>
  <si>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</si>
  <si>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</si>
  <si>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</si>
  <si>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</si>
  <si>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</si>
  <si>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</si>
  <si>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</si>
  <si>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</si>
  <si>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</si>
  <si>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</si>
  <si>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</si>
  <si>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</si>
  <si>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</si>
  <si>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</si>
  <si>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</si>
  <si>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</si>
  <si>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</si>
  <si>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</si>
  <si>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</si>
  <si>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</si>
  <si>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</si>
  <si>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</si>
  <si>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</si>
  <si>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</si>
  <si>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</si>
  <si>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</si>
  <si>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</si>
  <si>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</si>
  <si>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</si>
  <si>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</si>
  <si>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</si>
  <si>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</si>
  <si>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</si>
  <si>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</si>
  <si>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</si>
  <si>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</si>
  <si>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</si>
  <si>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</si>
  <si>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</si>
  <si>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</si>
  <si>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</si>
  <si>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</si>
  <si>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</si>
  <si>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</si>
  <si>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</si>
  <si>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</si>
  <si>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</si>
  <si>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</si>
  <si>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</si>
  <si>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</si>
  <si>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</si>
  <si>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</si>
  <si>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</si>
  <si>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</si>
  <si>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</si>
  <si>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</si>
  <si>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</si>
  <si>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</si>
  <si>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</si>
  <si>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</si>
  <si>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</si>
  <si>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</si>
  <si>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</si>
  <si>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</si>
  <si>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</si>
  <si>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</si>
  <si>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</si>
  <si>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</si>
  <si>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</si>
  <si>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</si>
  <si>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</si>
  <si>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</si>
  <si>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</si>
  <si>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</si>
  <si>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</si>
  <si>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</si>
  <si>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</si>
  <si>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</si>
  <si>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</si>
  <si>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</si>
  <si>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</si>
  <si>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</si>
  <si>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</si>
  <si>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</si>
  <si>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</si>
  <si>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</si>
  <si>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</si>
  <si>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</si>
  <si>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</si>
  <si>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</si>
  <si>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</si>
  <si>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</si>
  <si>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</si>
  <si>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</si>
  <si>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</si>
  <si>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</si>
  <si>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</si>
  <si>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</si>
  <si>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</si>
  <si>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</si>
  <si>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</si>
  <si>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</si>
  <si>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</si>
  <si>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</si>
  <si>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</si>
  <si>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</si>
  <si>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</si>
  <si>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</si>
  <si>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</si>
  <si>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</si>
  <si>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</si>
  <si>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</si>
  <si>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</si>
  <si>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</si>
  <si>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</si>
  <si>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</si>
  <si>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</si>
  <si>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</si>
  <si>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</si>
  <si>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</si>
  <si>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</si>
  <si>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</si>
  <si>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</si>
  <si>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</si>
  <si>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</si>
  <si>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</si>
  <si>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</si>
  <si>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</si>
  <si>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</si>
  <si>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</si>
  <si>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</si>
  <si>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</si>
  <si>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</si>
  <si>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</si>
  <si>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</si>
  <si>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</si>
  <si>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</si>
  <si>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</si>
  <si>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</si>
  <si>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</si>
  <si>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</si>
  <si>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</si>
  <si>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</si>
  <si>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</si>
  <si>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</si>
  <si>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</si>
  <si>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</si>
  <si>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</si>
  <si>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</si>
  <si>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</si>
  <si>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</si>
  <si>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</si>
  <si>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</si>
  <si>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</si>
  <si>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</si>
  <si>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</si>
  <si>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</si>
  <si>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</si>
  <si>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</si>
  <si>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</si>
  <si>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</si>
  <si>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</si>
  <si>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</si>
  <si>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</si>
  <si>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</si>
  <si>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</si>
  <si>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</si>
  <si>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</si>
  <si>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</si>
  <si>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</si>
  <si>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</si>
  <si>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</si>
  <si>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</si>
  <si>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</si>
  <si>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</si>
  <si>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</si>
  <si>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</si>
  <si>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</si>
  <si>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</si>
  <si>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</si>
  <si>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</si>
  <si>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</si>
  <si>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</si>
  <si>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</si>
  <si>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</si>
  <si>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</si>
  <si>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</si>
  <si>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</si>
  <si>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</si>
  <si>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</si>
  <si>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</si>
  <si>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</si>
  <si>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</si>
  <si>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</si>
  <si>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</si>
  <si>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</si>
  <si>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</si>
  <si>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</si>
  <si>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</si>
  <si>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</si>
  <si>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</si>
  <si>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</si>
  <si>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</si>
  <si>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</si>
  <si>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</si>
  <si>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</si>
  <si>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</si>
  <si>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</si>
  <si>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</si>
  <si>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</si>
  <si>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</si>
  <si>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</si>
  <si>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</si>
  <si>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</si>
  <si>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</si>
  <si>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</si>
  <si>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</si>
  <si>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</si>
  <si>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</si>
  <si>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</si>
  <si>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</si>
  <si>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</si>
  <si>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</si>
  <si>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</si>
  <si>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</si>
  <si>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</si>
  <si>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</si>
  <si>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</si>
  <si>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</si>
  <si>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</si>
  <si>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</si>
  <si>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</si>
  <si>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</si>
  <si>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</si>
  <si>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</si>
  <si>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</si>
  <si>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</si>
  <si>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</si>
  <si>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</si>
  <si>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</si>
  <si>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</si>
  <si>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</si>
  <si>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</si>
  <si>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</si>
  <si>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</si>
  <si>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</si>
  <si>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</si>
  <si>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</si>
  <si>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</si>
  <si>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</si>
  <si>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</si>
  <si>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</si>
  <si>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</si>
  <si>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</si>
  <si>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</si>
  <si>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</si>
  <si>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</si>
  <si>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</si>
  <si>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</si>
  <si>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</si>
  <si>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</si>
  <si>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</si>
  <si>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</si>
  <si>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</si>
  <si>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</si>
  <si>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</si>
  <si>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</si>
  <si>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</si>
  <si>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</si>
  <si>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</si>
  <si>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</si>
  <si>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</si>
  <si>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</si>
  <si>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</si>
  <si>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</si>
  <si>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</si>
  <si>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</si>
  <si>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</si>
  <si>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</si>
  <si>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</si>
  <si>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</si>
  <si>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</si>
  <si>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</si>
  <si>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</si>
  <si>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</si>
  <si>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</si>
  <si>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</si>
  <si>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</si>
  <si>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</si>
  <si>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</si>
  <si>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</si>
  <si>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</si>
  <si>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</si>
  <si>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</si>
  <si>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</si>
  <si>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</si>
  <si>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</si>
  <si>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</si>
  <si>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</si>
  <si>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</si>
  <si>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</si>
  <si>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</si>
  <si>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</si>
  <si>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</si>
  <si>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</si>
  <si>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</si>
  <si>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</si>
  <si>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</si>
  <si>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</si>
  <si>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</si>
  <si>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</si>
  <si>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</si>
  <si>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</si>
  <si>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</si>
  <si>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</si>
  <si>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</si>
  <si>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</si>
  <si>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</si>
  <si>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</si>
  <si>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</si>
  <si>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</si>
  <si>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</si>
  <si>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</si>
  <si>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</si>
  <si>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</si>
  <si>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</si>
  <si>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</si>
  <si>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</si>
  <si>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</si>
  <si>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</si>
  <si>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</si>
  <si>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</si>
  <si>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</si>
  <si>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</si>
  <si>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</si>
  <si>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</si>
  <si>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</si>
  <si>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</si>
  <si>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</si>
  <si>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</si>
  <si>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</si>
  <si>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</si>
  <si>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</si>
  <si>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</si>
  <si>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</si>
  <si>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</si>
  <si>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</si>
  <si>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</si>
  <si>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</si>
  <si>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</si>
  <si>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</si>
  <si>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</si>
  <si>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</si>
  <si>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</si>
  <si>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</si>
  <si>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</si>
  <si>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</si>
  <si>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</si>
  <si>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</si>
  <si>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</si>
  <si>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</si>
  <si>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</si>
  <si>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</si>
  <si>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</si>
  <si>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</si>
  <si>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</si>
  <si>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</si>
  <si>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</si>
  <si>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</si>
  <si>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</si>
  <si>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</si>
  <si>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</si>
  <si>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</si>
  <si>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</si>
  <si>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</si>
  <si>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</si>
  <si>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</si>
  <si>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</si>
  <si>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</si>
  <si>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</si>
  <si>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</si>
  <si>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</si>
  <si>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</si>
  <si>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</si>
  <si>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</si>
  <si>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</si>
  <si>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</si>
  <si>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</si>
  <si>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</si>
  <si>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</si>
  <si>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</si>
  <si>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</si>
  <si>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</si>
  <si>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</si>
  <si>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</si>
  <si>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</si>
  <si>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</si>
  <si>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</si>
  <si>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</si>
  <si>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</si>
  <si>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</si>
  <si>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</si>
  <si>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</si>
  <si>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</si>
  <si>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</si>
  <si>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</si>
  <si>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</si>
  <si>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</si>
  <si>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</si>
  <si>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</si>
  <si>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</si>
  <si>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</si>
  <si>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</si>
  <si>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</si>
  <si>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</si>
  <si>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</si>
  <si>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</si>
  <si>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</si>
  <si>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</si>
  <si>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</si>
  <si>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</si>
  <si>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</si>
  <si>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</si>
  <si>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</si>
  <si>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</si>
  <si>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</si>
  <si>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</si>
  <si>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</si>
  <si>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</si>
  <si>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</si>
  <si>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</si>
  <si>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</si>
  <si>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</si>
  <si>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</si>
  <si>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</si>
  <si>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</si>
  <si>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</si>
  <si>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</si>
  <si>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</si>
  <si>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</si>
  <si>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</si>
  <si>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</si>
  <si>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</si>
  <si>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</si>
  <si>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</si>
  <si>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</si>
  <si>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</si>
  <si>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</si>
  <si>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</si>
  <si>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</si>
  <si>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</si>
  <si>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</si>
  <si>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</si>
  <si>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</si>
  <si>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</si>
  <si>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</si>
  <si>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</si>
  <si>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</si>
  <si>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</si>
  <si>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</si>
  <si>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</si>
  <si>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</si>
  <si>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</si>
  <si>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</si>
  <si>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</si>
  <si>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</si>
  <si>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</si>
  <si>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</si>
  <si>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</si>
  <si>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</si>
  <si>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</si>
  <si>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</si>
  <si>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</si>
  <si>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</si>
  <si>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</si>
  <si>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</si>
  <si>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</si>
  <si>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</si>
  <si>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</si>
  <si>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</si>
  <si>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</si>
  <si>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</si>
  <si>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</si>
  <si>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</si>
  <si>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</si>
  <si>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</si>
  <si>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</si>
  <si>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</si>
  <si>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</si>
  <si>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</si>
  <si>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</si>
  <si>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</si>
  <si>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</si>
  <si>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</si>
  <si>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</si>
  <si>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</si>
  <si>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</si>
  <si>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</si>
  <si>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</si>
  <si>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</si>
  <si>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</si>
  <si>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</si>
  <si>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</si>
  <si>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</si>
  <si>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</si>
  <si>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</si>
  <si>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</si>
  <si>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</si>
  <si>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</si>
  <si>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</si>
  <si>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</si>
  <si>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</si>
  <si>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</si>
  <si>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</si>
  <si>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</si>
  <si>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</si>
  <si>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</si>
  <si>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</si>
  <si>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</si>
  <si>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</si>
  <si>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</si>
  <si>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</si>
  <si>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</si>
  <si>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</si>
  <si>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</si>
  <si>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</si>
  <si>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</si>
  <si>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</si>
  <si>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</si>
  <si>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</si>
  <si>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</si>
  <si>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</si>
  <si>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</si>
  <si>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</si>
  <si>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</si>
  <si>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</si>
  <si>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</si>
  <si>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</si>
  <si>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</si>
  <si>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</si>
  <si>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</si>
  <si>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</si>
  <si>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</si>
  <si>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</si>
  <si>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</si>
  <si>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</si>
  <si>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</si>
  <si>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</si>
  <si>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</si>
  <si>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</si>
  <si>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</si>
  <si>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</si>
  <si>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</si>
  <si>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</si>
  <si>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</si>
  <si>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</si>
  <si>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</si>
  <si>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</si>
  <si>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</si>
  <si>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</si>
  <si>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</si>
  <si>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</si>
  <si>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</si>
  <si>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</si>
  <si>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</si>
  <si>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</si>
  <si>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</si>
  <si>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</si>
  <si>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</si>
  <si>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</si>
  <si>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</si>
  <si>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</si>
  <si>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</si>
  <si>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</si>
  <si>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</si>
  <si>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</si>
  <si>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</si>
  <si>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</si>
  <si>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</si>
  <si>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</si>
  <si>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</si>
  <si>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</si>
  <si>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</si>
  <si>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</si>
  <si>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</si>
  <si>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</si>
  <si>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</si>
  <si>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</si>
  <si>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</si>
  <si>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</si>
  <si>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</si>
  <si>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</si>
  <si>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</si>
  <si>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</si>
  <si>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</si>
  <si>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</si>
  <si>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</si>
  <si>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</si>
  <si>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</si>
  <si>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</si>
  <si>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</si>
  <si>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</si>
  <si>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</si>
  <si>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</si>
  <si>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</si>
  <si>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</si>
  <si>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</si>
  <si>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</si>
  <si>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</si>
  <si>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</si>
  <si>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</si>
  <si>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</si>
  <si>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</si>
  <si>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</si>
  <si>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</si>
  <si>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</si>
  <si>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</si>
  <si>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</si>
  <si>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</si>
  <si>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</si>
  <si>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</si>
  <si>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</si>
  <si>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</si>
  <si>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</si>
  <si>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</si>
  <si>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</si>
  <si>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</si>
  <si>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</si>
  <si>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</si>
  <si>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</si>
  <si>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</si>
  <si>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</si>
  <si>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</si>
  <si>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</si>
  <si>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</si>
  <si>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</si>
  <si>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</si>
  <si>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</si>
  <si>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</si>
  <si>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</si>
  <si>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</si>
  <si>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</si>
  <si>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</si>
  <si>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</si>
  <si>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</si>
  <si>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</si>
  <si>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</si>
  <si>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</si>
  <si>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</si>
  <si>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</si>
  <si>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</si>
  <si>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</si>
  <si>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</si>
  <si>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</si>
  <si>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</si>
  <si>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</si>
  <si>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</si>
  <si>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</si>
  <si>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</si>
  <si>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</si>
  <si>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</si>
  <si>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</si>
  <si>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</si>
  <si>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</si>
  <si>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</si>
  <si>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</si>
  <si>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</si>
  <si>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</si>
  <si>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</si>
  <si>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</si>
  <si>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</si>
  <si>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</si>
  <si>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</si>
  <si>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</si>
  <si>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</si>
  <si>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</si>
  <si>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</si>
  <si>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</si>
  <si>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</si>
  <si>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</si>
  <si>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</si>
  <si>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</si>
  <si>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</si>
  <si>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</si>
  <si>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</si>
  <si>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</si>
  <si>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</si>
  <si>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</si>
  <si>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</si>
  <si>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</si>
  <si>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</si>
  <si>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</si>
  <si>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</si>
  <si>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</si>
  <si>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</si>
  <si>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</si>
  <si>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</si>
  <si>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</si>
  <si>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</si>
  <si>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</si>
  <si>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</si>
  <si>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</si>
  <si>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</si>
  <si>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</si>
  <si>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</si>
  <si>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</si>
  <si>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</si>
  <si>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</si>
  <si>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</si>
  <si>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</si>
  <si>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</si>
  <si>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</si>
  <si>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</si>
  <si>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</si>
  <si>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</si>
  <si>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</si>
  <si>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</si>
  <si>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</si>
  <si>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</si>
  <si>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</si>
  <si>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</si>
  <si>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</si>
  <si>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</si>
  <si>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</si>
  <si>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</si>
  <si>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</si>
  <si>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</si>
  <si>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</si>
  <si>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</si>
  <si>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</si>
  <si>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</si>
  <si>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</si>
  <si>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</si>
  <si>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</si>
  <si>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</si>
  <si>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</si>
  <si>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</si>
  <si>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</si>
  <si>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</si>
  <si>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</si>
  <si>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</si>
  <si>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</si>
  <si>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</si>
  <si>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</si>
  <si>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</si>
  <si>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</si>
  <si>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</si>
  <si>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</si>
  <si>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</si>
  <si>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</si>
  <si>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</si>
  <si>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</si>
  <si>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</si>
  <si>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</si>
  <si>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</si>
  <si>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</si>
  <si>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</si>
  <si>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</si>
  <si>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</si>
  <si>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</si>
  <si>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</si>
  <si>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</si>
  <si>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</si>
  <si>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</si>
  <si>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</si>
  <si>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</si>
  <si>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</si>
  <si>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</si>
  <si>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</si>
  <si>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</si>
  <si>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</si>
  <si>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</si>
  <si>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</si>
  <si>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</si>
  <si>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</si>
  <si>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</si>
  <si>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</si>
  <si>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</si>
  <si>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</si>
  <si>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</si>
  <si>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</si>
  <si>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</si>
  <si>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</si>
  <si>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</si>
  <si>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</si>
  <si>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</si>
  <si>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</si>
  <si>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</si>
  <si>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</si>
  <si>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</si>
  <si>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</si>
  <si>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</si>
  <si>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</si>
  <si>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</si>
  <si>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</si>
  <si>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</si>
  <si>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</si>
  <si>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</si>
  <si>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</si>
  <si>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</si>
  <si>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</si>
  <si>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</si>
  <si>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</si>
  <si>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</si>
  <si>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</si>
  <si>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</si>
  <si>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</si>
  <si>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</si>
  <si>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</si>
  <si>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</si>
  <si>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</si>
  <si>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</si>
  <si>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</si>
  <si>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</si>
  <si>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</si>
  <si>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</si>
  <si>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</si>
  <si>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</si>
  <si>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</si>
  <si>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</si>
  <si>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</si>
  <si>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</si>
  <si>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</si>
  <si>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</si>
  <si>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</si>
  <si>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</si>
  <si>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</si>
  <si>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</si>
  <si>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</si>
  <si>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</si>
  <si>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</si>
  <si>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</si>
  <si>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</si>
  <si>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</si>
  <si>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</si>
  <si>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</si>
  <si>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</si>
  <si>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</si>
  <si>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</si>
  <si>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</si>
  <si>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</si>
  <si>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</si>
  <si>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</si>
  <si>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</si>
  <si>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</si>
  <si>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</si>
  <si>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</si>
  <si>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</si>
  <si>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</si>
  <si>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</si>
  <si>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</si>
  <si>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</si>
  <si>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</si>
  <si>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</si>
  <si>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</si>
  <si>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</si>
  <si>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</si>
  <si>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</si>
  <si>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</si>
  <si>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</si>
  <si>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</si>
  <si>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</si>
  <si>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</si>
  <si>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</si>
  <si>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</si>
  <si>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</si>
  <si>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</si>
  <si>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</si>
  <si>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</si>
  <si>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</si>
  <si>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</si>
  <si>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</si>
  <si>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</si>
  <si>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</si>
  <si>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</si>
  <si>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</si>
  <si>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</si>
  <si>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</si>
  <si>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</si>
  <si>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</si>
  <si>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</si>
  <si>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</si>
  <si>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</si>
  <si>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</si>
  <si>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</si>
  <si>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</si>
  <si>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</si>
  <si>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</si>
  <si>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</si>
  <si>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</si>
  <si>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</si>
  <si>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</si>
  <si>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</si>
  <si>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</si>
  <si>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</si>
  <si>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</si>
  <si>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</si>
  <si>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</si>
  <si>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</si>
  <si>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</si>
  <si>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</si>
  <si>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</si>
  <si>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</si>
  <si>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</si>
  <si>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</si>
  <si>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</si>
  <si>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</si>
  <si>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</si>
  <si>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</si>
  <si>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</si>
  <si>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</si>
  <si>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</si>
  <si>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</si>
  <si>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</si>
  <si>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</si>
  <si>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</si>
  <si>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</si>
  <si>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</si>
  <si>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</si>
  <si>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</si>
  <si>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</si>
  <si>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</si>
  <si>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</si>
  <si>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</si>
  <si>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</si>
  <si>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</si>
  <si>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</si>
  <si>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</si>
  <si>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</si>
  <si>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</si>
  <si>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</si>
  <si>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</si>
  <si>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</si>
  <si>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</si>
  <si>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</si>
  <si>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</si>
  <si>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</si>
  <si>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</si>
  <si>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</si>
  <si>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</si>
  <si>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</si>
  <si>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</si>
  <si>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</si>
  <si>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</si>
  <si>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</si>
  <si>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</si>
  <si>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</si>
  <si>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</si>
  <si>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</si>
  <si>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</si>
  <si>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</si>
  <si>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</si>
  <si>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</si>
  <si>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</si>
  <si>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</si>
  <si>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</si>
  <si>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</si>
  <si>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</si>
  <si>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</si>
  <si>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</si>
  <si>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</si>
  <si>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</si>
  <si>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</si>
  <si>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</si>
  <si>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</si>
  <si>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</si>
  <si>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</si>
  <si>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</si>
  <si>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</si>
  <si>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</si>
  <si>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</si>
  <si>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</si>
  <si>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</si>
  <si>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</si>
  <si>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</si>
  <si>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</si>
  <si>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</si>
  <si>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</si>
  <si>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</si>
  <si>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</si>
  <si>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</si>
  <si>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</si>
  <si>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</si>
  <si>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</si>
  <si>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</si>
  <si>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</si>
  <si>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</si>
  <si>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</si>
  <si>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</si>
  <si>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</si>
  <si>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</si>
  <si>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</si>
  <si>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</si>
  <si>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</si>
  <si>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</si>
  <si>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</si>
  <si>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</si>
  <si>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</si>
  <si>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</si>
  <si>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</si>
  <si>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</si>
  <si>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</si>
  <si>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</si>
  <si>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</si>
  <si>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</si>
  <si>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</si>
  <si>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</si>
  <si>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</si>
  <si>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</si>
  <si>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</si>
  <si>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</si>
  <si>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</si>
  <si>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</si>
  <si>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</si>
  <si>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</si>
  <si>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</si>
  <si>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</si>
  <si>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</si>
  <si>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</si>
  <si>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</si>
  <si>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</si>
  <si>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</si>
  <si>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</si>
  <si>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</si>
  <si>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</si>
  <si>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</si>
  <si>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</si>
  <si>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</si>
  <si>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</si>
  <si>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</si>
  <si>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</si>
  <si>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</si>
  <si>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</si>
  <si>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</si>
  <si>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</si>
  <si>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</si>
  <si>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</si>
  <si>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</si>
  <si>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</si>
  <si>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</si>
  <si>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</si>
  <si>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</si>
  <si>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</si>
  <si>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</si>
  <si>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</si>
  <si>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</si>
  <si>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</si>
  <si>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</si>
  <si>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</si>
  <si>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</si>
  <si>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</si>
  <si>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</si>
  <si>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</si>
  <si>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</si>
  <si>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</si>
  <si>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</si>
  <si>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</si>
  <si>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</si>
  <si>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</si>
  <si>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</si>
  <si>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</si>
  <si>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</si>
  <si>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</si>
  <si>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</si>
  <si>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</si>
  <si>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</si>
  <si>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</si>
  <si>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</si>
  <si>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</si>
  <si>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</si>
  <si>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</si>
  <si>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</si>
  <si>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</si>
  <si>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</si>
  <si>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</si>
  <si>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</si>
  <si>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</si>
  <si>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</si>
  <si>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</si>
  <si>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</si>
  <si>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</si>
  <si>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</si>
  <si>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</si>
  <si>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</si>
  <si>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</si>
  <si>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</si>
  <si>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</si>
  <si>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</si>
  <si>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</si>
  <si>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</si>
  <si>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</si>
  <si>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</si>
  <si>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</si>
  <si>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</si>
  <si>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</si>
  <si>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</si>
  <si>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</si>
  <si>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</si>
  <si>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</si>
  <si>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</si>
  <si>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</si>
  <si>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</si>
  <si>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</si>
  <si>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</si>
  <si>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</si>
  <si>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</si>
  <si>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</si>
  <si>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</si>
  <si>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</si>
  <si>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</si>
  <si>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</si>
  <si>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</si>
  <si>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</si>
  <si>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</si>
  <si>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</si>
  <si>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</si>
  <si>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</si>
  <si>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</si>
  <si>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</si>
  <si>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</si>
  <si>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</si>
  <si>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</si>
  <si>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</si>
  <si>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</si>
  <si>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</si>
  <si>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</si>
  <si>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</si>
  <si>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</si>
  <si>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</si>
  <si>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</si>
  <si>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</si>
  <si>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</si>
  <si>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</si>
  <si>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</si>
  <si>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</si>
  <si>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</si>
  <si>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</si>
  <si>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</si>
  <si>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</si>
  <si>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</si>
  <si>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</si>
  <si>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</si>
  <si>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</si>
  <si>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</si>
  <si>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</si>
  <si>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</si>
  <si>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</si>
  <si>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</si>
  <si>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</si>
  <si>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</si>
  <si>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</si>
  <si>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</si>
  <si>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</si>
  <si>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</si>
  <si>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</si>
  <si>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</si>
  <si>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</si>
  <si>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</si>
  <si>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</si>
  <si>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</si>
  <si>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</si>
  <si>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</si>
  <si>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</si>
  <si>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</si>
  <si>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</si>
  <si>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</si>
  <si>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</si>
  <si>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</si>
  <si>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</si>
  <si>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</si>
  <si>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</si>
  <si>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</si>
  <si>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</si>
  <si>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</si>
  <si>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</si>
  <si>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</si>
  <si>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</si>
  <si>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</si>
  <si>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</si>
  <si>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</si>
  <si>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</si>
  <si>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</si>
  <si>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</si>
  <si>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</si>
  <si>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</si>
  <si>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</si>
  <si>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</si>
  <si>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</si>
  <si>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</si>
  <si>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</si>
  <si>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</si>
  <si>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</si>
  <si>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</si>
  <si>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</si>
  <si>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</si>
  <si>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</si>
  <si>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</si>
  <si>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</si>
  <si>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</si>
  <si>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</si>
  <si>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</si>
  <si>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</si>
  <si>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</si>
  <si>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</si>
  <si>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</si>
  <si>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</si>
  <si>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</si>
  <si>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</si>
  <si>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</si>
  <si>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</si>
  <si>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</si>
  <si>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</si>
  <si>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</si>
  <si>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</si>
  <si>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</si>
  <si>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</si>
  <si>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</si>
  <si>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</si>
  <si>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</si>
  <si>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</si>
  <si>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</si>
  <si>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</si>
  <si>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</si>
  <si>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</si>
  <si>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</si>
  <si>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</si>
  <si>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</si>
  <si>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</si>
  <si>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</si>
  <si>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</si>
  <si>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</si>
  <si>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</si>
  <si>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</si>
  <si>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</si>
  <si>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</si>
  <si>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</si>
  <si>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</si>
  <si>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</si>
  <si>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</si>
  <si>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</si>
  <si>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</si>
  <si>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</si>
  <si>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</si>
  <si>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</si>
  <si>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</si>
  <si>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</si>
  <si>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</si>
  <si>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</si>
  <si>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</si>
  <si>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</si>
  <si>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</si>
  <si>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</si>
  <si>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</si>
  <si>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</si>
  <si>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</si>
  <si>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</si>
  <si>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</si>
  <si>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</si>
  <si>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</si>
  <si>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</si>
  <si>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</si>
  <si>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</si>
  <si>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</si>
  <si>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</si>
  <si>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</si>
  <si>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</si>
  <si>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</si>
  <si>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</si>
  <si>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</si>
  <si>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</si>
  <si>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</si>
  <si>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</si>
  <si>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</si>
  <si>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</si>
  <si>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</si>
  <si>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</si>
  <si>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</si>
  <si>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</si>
  <si>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</si>
  <si>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</si>
  <si>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</si>
  <si>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</si>
  <si>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</si>
  <si>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</si>
  <si>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</si>
  <si>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</si>
  <si>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</si>
  <si>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</si>
  <si>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</si>
  <si>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</si>
  <si>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</si>
  <si>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</si>
  <si>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</si>
  <si>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</si>
  <si>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</si>
  <si>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</si>
  <si>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</si>
  <si>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</si>
  <si>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</si>
  <si>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</si>
  <si>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</si>
  <si>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</si>
  <si>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</si>
  <si>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</si>
  <si>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</si>
  <si>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</si>
  <si>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</si>
  <si>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</si>
  <si>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</si>
  <si>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</si>
  <si>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</si>
  <si>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</si>
  <si>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</si>
  <si>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</si>
  <si>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</si>
  <si>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</si>
  <si>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</si>
  <si>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</si>
  <si>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</si>
  <si>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</si>
  <si>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</si>
  <si>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</si>
  <si>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</si>
  <si>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</si>
  <si>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</si>
  <si>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</si>
  <si>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</si>
  <si>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</si>
  <si>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</si>
  <si>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</si>
  <si>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</si>
  <si>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</si>
  <si>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</si>
  <si>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</si>
  <si>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</si>
  <si>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</si>
  <si>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</si>
  <si>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</si>
  <si>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</si>
  <si>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</si>
  <si>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</si>
  <si>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</si>
  <si>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</si>
  <si>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</si>
  <si>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</si>
  <si>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</si>
  <si>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</si>
  <si>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</si>
  <si>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</si>
  <si>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</si>
  <si>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</si>
  <si>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</si>
  <si>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</si>
  <si>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</si>
  <si>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</si>
  <si>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</si>
  <si>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</si>
  <si>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</si>
  <si>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</si>
  <si>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</si>
  <si>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</si>
  <si>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</si>
  <si>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</si>
  <si>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</si>
  <si>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</si>
  <si>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</si>
  <si>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</si>
  <si>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</si>
  <si>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</si>
  <si>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</si>
  <si>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</si>
  <si>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</si>
  <si>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</si>
  <si>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</si>
  <si>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</si>
  <si>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</si>
  <si>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</si>
  <si>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</si>
  <si>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</si>
  <si>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</si>
  <si>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</si>
  <si>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</si>
  <si>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</si>
  <si>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</si>
  <si>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</si>
  <si>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</si>
  <si>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</si>
  <si>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</si>
  <si>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</si>
  <si>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</si>
  <si>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</si>
  <si>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</si>
  <si>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</si>
  <si>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</si>
  <si>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</si>
  <si>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</si>
  <si>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</si>
  <si>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</si>
  <si>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</si>
  <si>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</si>
  <si>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</si>
  <si>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</si>
  <si>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</si>
  <si>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</si>
  <si>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</si>
  <si>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</si>
  <si>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</si>
  <si>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</si>
  <si>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</si>
  <si>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</si>
  <si>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</si>
  <si>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</si>
  <si>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</si>
  <si>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</si>
  <si>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</si>
  <si>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</si>
  <si>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</si>
  <si>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</si>
  <si>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</si>
  <si>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</si>
  <si>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</si>
  <si>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</si>
  <si>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</si>
  <si>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</si>
  <si>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</si>
  <si>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</si>
  <si>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</si>
  <si>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</si>
  <si>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</si>
  <si>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</si>
  <si>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</si>
  <si>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</si>
  <si>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</si>
  <si>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</si>
  <si>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</si>
  <si>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</si>
  <si>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</si>
  <si>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</si>
  <si>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</si>
  <si>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</si>
  <si>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</si>
  <si>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</si>
  <si>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</si>
  <si>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</si>
  <si>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</si>
  <si>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</si>
  <si>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</si>
  <si>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</si>
  <si>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</si>
  <si>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</si>
  <si>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</si>
  <si>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</si>
  <si>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</si>
  <si>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</si>
  <si>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</si>
  <si>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</si>
  <si>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</si>
  <si>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</si>
  <si>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</si>
  <si>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</si>
  <si>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</si>
  <si>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</si>
  <si>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</si>
  <si>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</si>
  <si>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</si>
  <si>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</si>
  <si>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</si>
  <si>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</si>
  <si>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</si>
  <si>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</si>
  <si>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</si>
  <si>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</si>
  <si>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</si>
  <si>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</si>
  <si>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</si>
  <si>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</si>
  <si>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</si>
  <si>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</si>
  <si>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</si>
  <si>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</si>
  <si>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</si>
  <si>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</si>
  <si>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</si>
  <si>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</si>
  <si>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</si>
  <si>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</si>
  <si>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</si>
  <si>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</si>
  <si>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</si>
  <si>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</si>
  <si>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</si>
  <si>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</si>
  <si>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</si>
  <si>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</si>
  <si>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</si>
  <si>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</si>
  <si>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</si>
  <si>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</si>
  <si>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</si>
  <si>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</si>
  <si>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</si>
  <si>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</si>
  <si>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</si>
  <si>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</si>
  <si>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</si>
  <si>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</si>
  <si>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</si>
  <si>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</si>
  <si>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</si>
  <si>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</si>
  <si>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</si>
  <si>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</si>
  <si>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</si>
  <si>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</si>
  <si>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</si>
  <si>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</si>
  <si>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</si>
  <si>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</si>
  <si>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</si>
  <si>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</si>
  <si>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</si>
  <si>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</si>
  <si>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</si>
  <si>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</si>
  <si>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</si>
  <si>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</si>
  <si>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</si>
  <si>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</si>
  <si>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</si>
  <si>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</si>
  <si>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</si>
  <si>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</si>
  <si>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</si>
  <si>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</si>
  <si>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</si>
  <si>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</si>
  <si>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</si>
  <si>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</si>
  <si>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</si>
  <si>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</si>
  <si>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</si>
  <si>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</si>
  <si>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</si>
  <si>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</si>
  <si>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</si>
  <si>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</si>
  <si>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</si>
  <si>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</si>
  <si>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</si>
  <si>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</si>
  <si>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</si>
  <si>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</si>
  <si>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</si>
  <si>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</si>
  <si>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</si>
  <si>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</si>
  <si>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</si>
  <si>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</si>
  <si>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</si>
  <si>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</si>
  <si>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</si>
  <si>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</si>
  <si>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</si>
  <si>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</si>
  <si>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</si>
  <si>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</si>
  <si>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</si>
  <si>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</si>
  <si>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</si>
  <si>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</si>
  <si>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</si>
  <si>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</si>
  <si>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</si>
  <si>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</si>
  <si>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</si>
  <si>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</si>
  <si>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</si>
  <si>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</si>
  <si>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</si>
  <si>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</si>
  <si>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</si>
  <si>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</si>
  <si>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</si>
  <si>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</si>
  <si>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</si>
  <si>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</si>
  <si>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</si>
  <si>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</si>
  <si>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</si>
  <si>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</si>
  <si>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</si>
  <si>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</si>
  <si>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</si>
  <si>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</si>
  <si>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</si>
  <si>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</si>
  <si>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</si>
  <si>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</si>
  <si>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</si>
  <si>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</si>
  <si>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</si>
  <si>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</si>
  <si>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</si>
  <si>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</si>
  <si>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</si>
  <si>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</si>
  <si>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</si>
  <si>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</si>
  <si>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</si>
  <si>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</si>
  <si>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</si>
  <si>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</si>
  <si>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</si>
  <si>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</si>
  <si>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</si>
  <si>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</si>
  <si>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</si>
  <si>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</si>
  <si>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</si>
  <si>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</si>
  <si>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</si>
  <si>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</si>
  <si>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</si>
  <si>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</si>
  <si>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</si>
  <si>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</si>
  <si>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</si>
  <si>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</si>
  <si>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</si>
  <si>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</si>
  <si>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</si>
  <si>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</si>
  <si>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</si>
  <si>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</si>
  <si>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</si>
  <si>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</si>
  <si>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</si>
  <si>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</si>
  <si>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</si>
  <si>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</si>
  <si>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</si>
  <si>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</si>
  <si>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</si>
  <si>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</si>
  <si>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</si>
  <si>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</si>
  <si>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</si>
  <si>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</si>
  <si>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</si>
  <si>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</si>
  <si>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</si>
  <si>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</si>
  <si>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</si>
  <si>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</si>
  <si>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</si>
  <si>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</si>
  <si>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</si>
  <si>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</si>
  <si>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</si>
  <si>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</si>
  <si>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</si>
  <si>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</si>
  <si>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</si>
  <si>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</si>
  <si>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</si>
  <si>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</si>
  <si>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</si>
  <si>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</si>
  <si>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</si>
  <si>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</si>
  <si>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</si>
  <si>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</si>
  <si>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</si>
  <si>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</si>
  <si>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</si>
  <si>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</si>
  <si>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</si>
  <si>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</si>
  <si>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</si>
  <si>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</si>
  <si>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</si>
  <si>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</si>
  <si>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</si>
  <si>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</si>
  <si>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</si>
  <si>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</si>
  <si>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</si>
  <si>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</si>
  <si>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</si>
  <si>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</si>
  <si>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</si>
  <si>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</si>
  <si>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</si>
  <si>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</si>
  <si>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</si>
  <si>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</si>
  <si>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</si>
  <si>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</si>
  <si>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</si>
  <si>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</si>
  <si>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</si>
  <si>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</si>
  <si>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</si>
  <si>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</si>
  <si>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</si>
  <si>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</si>
  <si>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</si>
  <si>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</si>
  <si>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</si>
  <si>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</si>
  <si>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</si>
  <si>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</si>
  <si>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</si>
  <si>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</si>
  <si>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</si>
  <si>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</si>
  <si>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</si>
  <si>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</si>
  <si>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</si>
  <si>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</si>
  <si>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</si>
  <si>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</si>
  <si>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</si>
  <si>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</si>
  <si>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</si>
  <si>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</si>
  <si>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</si>
  <si>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</si>
  <si>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</si>
  <si>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</si>
  <si>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</si>
  <si>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</si>
  <si>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</si>
  <si>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</si>
  <si>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</si>
  <si>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</si>
  <si>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</si>
  <si>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</si>
  <si>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</si>
  <si>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</si>
  <si>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</si>
  <si>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</si>
  <si>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</si>
  <si>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</si>
  <si>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</si>
  <si>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</si>
  <si>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</si>
  <si>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</si>
  <si>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</si>
  <si>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</si>
  <si>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</si>
  <si>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</si>
  <si>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</si>
  <si>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</si>
  <si>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</si>
  <si>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</si>
  <si>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</si>
  <si>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</si>
  <si>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</si>
  <si>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</si>
  <si>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</si>
  <si>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</si>
  <si>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</si>
  <si>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</si>
  <si>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</si>
  <si>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</si>
  <si>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</si>
  <si>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</si>
  <si>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</si>
  <si>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</si>
  <si>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</si>
  <si>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</si>
  <si>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</si>
  <si>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</si>
  <si>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</si>
  <si>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</si>
  <si>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</si>
  <si>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</si>
  <si>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</si>
  <si>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</si>
  <si>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</si>
  <si>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</si>
  <si>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</si>
  <si>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</si>
  <si>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</si>
  <si>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</si>
  <si>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</si>
  <si>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</si>
  <si>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</si>
  <si>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</si>
  <si>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</si>
  <si>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</si>
  <si>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</si>
  <si>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</si>
  <si>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</si>
  <si>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</si>
  <si>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</si>
  <si>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</si>
  <si>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</si>
  <si>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</si>
  <si>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</si>
  <si>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</si>
  <si>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</si>
  <si>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</si>
  <si>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</si>
  <si>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</si>
  <si>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</si>
  <si>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</si>
  <si>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</si>
  <si>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</si>
  <si>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</si>
  <si>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</si>
  <si>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</si>
  <si>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</si>
  <si>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</si>
  <si>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</si>
  <si>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</si>
  <si>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</si>
  <si>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</si>
  <si>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</si>
  <si>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</si>
  <si>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</si>
  <si>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</si>
  <si>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</si>
  <si>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</si>
  <si>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</si>
  <si>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</si>
  <si>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</si>
  <si>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</si>
  <si>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</si>
  <si>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</si>
  <si>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</si>
  <si>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</si>
  <si>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</si>
  <si>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</si>
  <si>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</si>
  <si>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</si>
  <si>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</si>
  <si>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</si>
  <si>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</si>
  <si>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</si>
  <si>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</si>
  <si>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</si>
  <si>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</si>
  <si>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</si>
  <si>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</si>
  <si>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</si>
  <si>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</si>
  <si>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</si>
  <si>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</si>
  <si>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</si>
  <si>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</si>
  <si>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</si>
  <si>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</si>
  <si>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</si>
  <si>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</si>
  <si>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</si>
  <si>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</si>
  <si>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</si>
  <si>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</si>
  <si>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</si>
  <si>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</si>
  <si>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</si>
  <si>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</si>
  <si>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</si>
  <si>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</si>
  <si>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</si>
  <si>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</si>
  <si>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</si>
  <si>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</si>
  <si>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</si>
  <si>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</si>
  <si>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</si>
  <si>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</si>
  <si>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</si>
  <si>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</si>
  <si>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</si>
  <si>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</si>
  <si>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</si>
  <si>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</si>
  <si>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</si>
  <si>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</si>
  <si>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</si>
  <si>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</si>
  <si>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</si>
  <si>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</si>
  <si>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</si>
  <si>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</si>
  <si>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</si>
  <si>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自然人</t>
  </si>
  <si>
    <t>万元</t>
  </si>
  <si>
    <t>楼面单价</t>
  </si>
  <si>
    <t>办公</t>
  </si>
  <si>
    <t>无租约</t>
  </si>
  <si>
    <t>否</t>
  </si>
  <si>
    <t>利息：取LPR加浮动点数</t>
  </si>
  <si>
    <t>较好</t>
    <phoneticPr fontId="20" type="noConversion"/>
  </si>
  <si>
    <t>七通</t>
  </si>
  <si>
    <t>七通</t>
    <phoneticPr fontId="20" type="noConversion"/>
  </si>
  <si>
    <t>比较法-办公</t>
  </si>
  <si>
    <t>收益法</t>
  </si>
  <si>
    <t>时代财富</t>
    <phoneticPr fontId="4" type="noConversion"/>
  </si>
  <si>
    <t>工商联</t>
    <phoneticPr fontId="4" type="noConversion"/>
  </si>
  <si>
    <t>科研办公</t>
  </si>
  <si>
    <t>科研办公</t>
    <phoneticPr fontId="26" type="noConversion"/>
  </si>
  <si>
    <t>办公</t>
    <phoneticPr fontId="26" type="noConversion"/>
  </si>
  <si>
    <t>高区</t>
  </si>
  <si>
    <t>高区</t>
    <phoneticPr fontId="26" type="noConversion"/>
  </si>
  <si>
    <t>中区</t>
  </si>
  <si>
    <t>中区</t>
    <phoneticPr fontId="26" type="noConversion"/>
  </si>
  <si>
    <t>低区</t>
  </si>
  <si>
    <t>低区</t>
    <phoneticPr fontId="26" type="noConversion"/>
  </si>
  <si>
    <t>标准写字楼</t>
  </si>
  <si>
    <t>标准写字楼</t>
    <phoneticPr fontId="26" type="noConversion"/>
  </si>
  <si>
    <t>钢混</t>
  </si>
  <si>
    <t>钢混</t>
    <phoneticPr fontId="26" type="noConversion"/>
  </si>
  <si>
    <t>精装修</t>
  </si>
  <si>
    <t>精装修</t>
    <phoneticPr fontId="26" type="noConversion"/>
  </si>
  <si>
    <t>普通装修</t>
  </si>
  <si>
    <t>普通装修</t>
    <phoneticPr fontId="26" type="noConversion"/>
  </si>
  <si>
    <t>简单装修</t>
  </si>
  <si>
    <t>简单装修</t>
    <phoneticPr fontId="26" type="noConversion"/>
  </si>
  <si>
    <t>毛坯</t>
  </si>
  <si>
    <t>毛坯</t>
    <phoneticPr fontId="26" type="noConversion"/>
  </si>
  <si>
    <t>甲级</t>
  </si>
  <si>
    <t>甲级</t>
    <phoneticPr fontId="26" type="noConversion"/>
  </si>
  <si>
    <t>专业</t>
  </si>
  <si>
    <t>专业</t>
    <phoneticPr fontId="26" type="noConversion"/>
  </si>
  <si>
    <t>七通</t>
    <phoneticPr fontId="26" type="noConversion"/>
  </si>
  <si>
    <t>六通</t>
    <phoneticPr fontId="26" type="noConversion"/>
  </si>
  <si>
    <t>五通</t>
    <phoneticPr fontId="26" type="noConversion"/>
  </si>
  <si>
    <t>标准层高</t>
  </si>
  <si>
    <t>标准层高</t>
    <phoneticPr fontId="26" type="noConversion"/>
  </si>
  <si>
    <t>30-40（含）</t>
  </si>
  <si>
    <t>非生产用房</t>
  </si>
  <si>
    <t>是</t>
  </si>
  <si>
    <t>五通</t>
  </si>
  <si>
    <t>押一</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</si>
</sst>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46" fillId="0" borderId="0" xfId="0" applyNumberFormat="1" applyFont="1" applyFill="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5" Type="http://schemas.openxmlformats.org/officeDocument/2006/relationships/image" Target="../media/image8.jpg"/><Relationship Id="rId4" Type="http://schemas.openxmlformats.org/officeDocument/2006/relationships/image" Target="../media/image7.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314325</xdr:colOff>
      <xdr:row>44</xdr:row>
      <xdr:rowOff>66675</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915525" cy="7610475"/>
        </a:xfrm>
        <a:prstGeom prst="rect">
          <a:avLst/>
        </a:prstGeom>
      </xdr:spPr>
    </xdr:pic>
    <xdr:clientData/>
  </xdr:twoCellAnchor>
  <xdr:twoCellAnchor editAs="oneCell">
    <xdr:from>
      <xdr:col>0</xdr:col>
      <xdr:colOff>0</xdr:colOff>
      <xdr:row>47</xdr:row>
      <xdr:rowOff>0</xdr:rowOff>
    </xdr:from>
    <xdr:to>
      <xdr:col>14</xdr:col>
      <xdr:colOff>457200</xdr:colOff>
      <xdr:row>77</xdr:row>
      <xdr:rowOff>152624</xdr:rowOff>
    </xdr:to>
    <xdr:pic>
      <xdr:nvPicPr>
        <xdr:cNvPr id="3" name="图片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8058150"/>
          <a:ext cx="10058400" cy="5296124"/>
        </a:xfrm>
        <a:prstGeom prst="rect">
          <a:avLst/>
        </a:prstGeom>
      </xdr:spPr>
    </xdr:pic>
    <xdr:clientData/>
  </xdr:twoCellAnchor>
  <xdr:twoCellAnchor editAs="oneCell">
    <xdr:from>
      <xdr:col>0</xdr:col>
      <xdr:colOff>0</xdr:colOff>
      <xdr:row>80</xdr:row>
      <xdr:rowOff>0</xdr:rowOff>
    </xdr:from>
    <xdr:to>
      <xdr:col>14</xdr:col>
      <xdr:colOff>390525</xdr:colOff>
      <xdr:row>125</xdr:row>
      <xdr:rowOff>57150</xdr:rowOff>
    </xdr:to>
    <xdr:pic>
      <xdr:nvPicPr>
        <xdr:cNvPr id="4" name="图片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3716000"/>
          <a:ext cx="9991725" cy="7772400"/>
        </a:xfrm>
        <a:prstGeom prst="rect">
          <a:avLst/>
        </a:prstGeom>
      </xdr:spPr>
    </xdr:pic>
    <xdr:clientData/>
  </xdr:twoCellAnchor>
  <xdr:twoCellAnchor editAs="oneCell">
    <xdr:from>
      <xdr:col>15</xdr:col>
      <xdr:colOff>0</xdr:colOff>
      <xdr:row>0</xdr:row>
      <xdr:rowOff>0</xdr:rowOff>
    </xdr:from>
    <xdr:to>
      <xdr:col>28</xdr:col>
      <xdr:colOff>371475</xdr:colOff>
      <xdr:row>12</xdr:row>
      <xdr:rowOff>85725</xdr:rowOff>
    </xdr:to>
    <xdr:pic>
      <xdr:nvPicPr>
        <xdr:cNvPr id="5" name="图片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287000" y="0"/>
          <a:ext cx="9286875" cy="2143125"/>
        </a:xfrm>
        <a:prstGeom prst="rect">
          <a:avLst/>
        </a:prstGeom>
      </xdr:spPr>
    </xdr:pic>
    <xdr:clientData/>
  </xdr:twoCellAnchor>
  <xdr:twoCellAnchor editAs="oneCell">
    <xdr:from>
      <xdr:col>15</xdr:col>
      <xdr:colOff>0</xdr:colOff>
      <xdr:row>14</xdr:row>
      <xdr:rowOff>0</xdr:rowOff>
    </xdr:from>
    <xdr:to>
      <xdr:col>28</xdr:col>
      <xdr:colOff>9525</xdr:colOff>
      <xdr:row>31</xdr:row>
      <xdr:rowOff>133350</xdr:rowOff>
    </xdr:to>
    <xdr:pic>
      <xdr:nvPicPr>
        <xdr:cNvPr id="6" name="图片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0287000" y="2400300"/>
          <a:ext cx="8924925" cy="30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估价对象为北京市房地产，为XX所有。根据《》[]，估价对象建筑面积为182.31平方米。根据《》[]，估价对象（分摊）出让国有建设用地使用权面积为平方米。估价对象用途为。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2022年7月21日（评估专业人员实地查勘之日）</v>
      </c>
    </row>
    <row r="10" spans="1:2">
      <c r="A10" s="1139" t="s">
        <v>865</v>
      </c>
      <c r="B10" s="1126" t="str">
        <f>'预评函-1'!A13</f>
        <v>本次估价的“房地产价值”是指在正常市场情况下，在价值时点2022年7月21日，估价对象规划用途为，假定未设立法定优先受偿款下的房地产市场价值。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182.31</v>
      </c>
    </row>
    <row r="19" spans="1:2">
      <c r="A19" s="1139" t="s">
        <v>874</v>
      </c>
      <c r="B19" s="1126">
        <f ca="1">'预评函-2（1）'!D7</f>
        <v>493</v>
      </c>
    </row>
    <row r="20" spans="1:2">
      <c r="A20" s="1139" t="s">
        <v>912</v>
      </c>
      <c r="B20" s="1126" t="str">
        <f>'预评函-2（1）'!C7</f>
        <v>总价（万元）</v>
      </c>
    </row>
    <row r="21" spans="1:2">
      <c r="A21" s="1139" t="s">
        <v>875</v>
      </c>
      <c r="B21" s="1126">
        <f ca="1">'预评函-2（1）'!D9</f>
        <v>27016</v>
      </c>
    </row>
    <row r="22" spans="1:2">
      <c r="A22" s="1139" t="s">
        <v>876</v>
      </c>
      <c r="B22" s="1126" t="str">
        <f ca="1">'预评函-2（1）'!D8</f>
        <v>肆佰玖拾叁万元整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493</v>
      </c>
    </row>
    <row r="30" spans="1:2">
      <c r="A30" s="1139" t="s">
        <v>882</v>
      </c>
      <c r="B30" s="1126" t="str">
        <f ca="1">'预评函-2（1）'!D16</f>
        <v>肆佰玖拾叁万元整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418</v>
      </c>
    </row>
    <row r="38" spans="1:2">
      <c r="A38" s="1139" t="s">
        <v>890</v>
      </c>
      <c r="B38" s="1126">
        <f ca="1">'预评函-2（2）'!E4</f>
        <v>22910</v>
      </c>
    </row>
    <row r="39" spans="1:2">
      <c r="A39" s="1139" t="s">
        <v>891</v>
      </c>
      <c r="B39" s="1126" t="str">
        <f ca="1">'预评函-2（2）'!D5</f>
        <v>肆佰壹拾捌万元整</v>
      </c>
    </row>
    <row r="40" spans="1:2">
      <c r="A40" s="1139" t="s">
        <v>892</v>
      </c>
      <c r="B40" s="1126">
        <f ca="1">'预评函-2（2）'!F4</f>
        <v>75</v>
      </c>
    </row>
    <row r="41" spans="1:2">
      <c r="A41" s="1139" t="s">
        <v>893</v>
      </c>
      <c r="B41" s="1126">
        <f ca="1">'预评函-2（2）'!G4</f>
        <v>4106</v>
      </c>
    </row>
    <row r="42" spans="1:2" s="1136" customFormat="1" ht="15.75" thickBot="1">
      <c r="A42" s="1140" t="s">
        <v>894</v>
      </c>
      <c r="B42" s="1128" t="str">
        <f ca="1">'预评函-2（2）'!F5</f>
        <v>柒拾伍万元整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27016</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2" sqref="C1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v>44763</v>
      </c>
      <c r="C2" s="2809" t="s">
        <v>1291</v>
      </c>
      <c r="D2" s="2510">
        <f>B2</f>
        <v>44763</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2478</v>
      </c>
      <c r="C4" s="2810" t="s">
        <v>1294</v>
      </c>
      <c r="D4" s="1357"/>
      <c r="E4" s="782"/>
      <c r="F4" s="782"/>
      <c r="G4" s="1121"/>
    </row>
    <row r="5" spans="1:17">
      <c r="A5" s="1358" t="s">
        <v>1295</v>
      </c>
      <c r="B5" s="1359" t="s">
        <v>2479</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3026</v>
      </c>
      <c r="C6" s="2516" t="s">
        <v>2480</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3027</v>
      </c>
      <c r="C7" s="1453" t="str">
        <f>IF(B7="自然人","姓名","名称")</f>
        <v>姓名</v>
      </c>
      <c r="D7" s="1366" t="s">
        <v>2479</v>
      </c>
      <c r="E7" s="783"/>
      <c r="F7" s="783"/>
      <c r="G7" s="1122"/>
    </row>
    <row r="8" spans="1:17" ht="13.5" thickTop="1">
      <c r="A8" s="3383" t="s">
        <v>1301</v>
      </c>
      <c r="B8" s="1367" t="s">
        <v>1302</v>
      </c>
      <c r="C8" s="3396"/>
      <c r="D8" s="3397"/>
      <c r="E8" s="2519" t="s">
        <v>1303</v>
      </c>
      <c r="F8" s="2520" t="s">
        <v>1304</v>
      </c>
      <c r="G8" s="2521" t="str">
        <f>C6</f>
        <v>XX</v>
      </c>
    </row>
    <row r="9" spans="1:17">
      <c r="A9" s="3383"/>
      <c r="B9" s="259" t="s">
        <v>1305</v>
      </c>
      <c r="C9" s="1359"/>
      <c r="D9" s="1368"/>
      <c r="E9" s="2815" t="s">
        <v>1306</v>
      </c>
      <c r="F9" s="2522"/>
      <c r="G9" s="2523"/>
    </row>
    <row r="10" spans="1:17" ht="13.5" thickBot="1">
      <c r="A10" s="3383"/>
      <c r="B10" s="259" t="s">
        <v>1307</v>
      </c>
      <c r="C10" s="3398"/>
      <c r="D10" s="3399"/>
      <c r="E10" s="2816" t="s">
        <v>1308</v>
      </c>
      <c r="F10" s="2524"/>
      <c r="G10" s="2525"/>
    </row>
    <row r="11" spans="1:17" ht="13.5" thickBot="1">
      <c r="A11" s="3383"/>
      <c r="B11" s="1370" t="s">
        <v>1309</v>
      </c>
      <c r="C11" s="3400"/>
      <c r="D11" s="3401"/>
      <c r="E11" s="769"/>
      <c r="F11" s="769"/>
      <c r="G11" s="788"/>
    </row>
    <row r="12" spans="1:17" ht="13.5" thickBot="1">
      <c r="A12" s="3387" t="s">
        <v>2586</v>
      </c>
      <c r="B12" s="2817" t="s">
        <v>1310</v>
      </c>
      <c r="C12" s="766">
        <v>182.31</v>
      </c>
      <c r="D12" s="1371" t="s">
        <v>1311</v>
      </c>
      <c r="E12" s="1372"/>
      <c r="F12" s="1373"/>
      <c r="G12" s="788"/>
    </row>
    <row r="13" spans="1:17" ht="21" customHeight="1" thickBot="1">
      <c r="A13" s="3388"/>
      <c r="B13" s="2818" t="s">
        <v>1312</v>
      </c>
      <c r="C13" s="767"/>
      <c r="D13" s="1374" t="s">
        <v>1313</v>
      </c>
      <c r="E13" s="1375"/>
      <c r="F13" s="769"/>
      <c r="G13" s="788"/>
      <c r="I13" s="3406"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2587</v>
      </c>
      <c r="C14" s="2527"/>
      <c r="D14" s="769"/>
      <c r="E14" s="769"/>
      <c r="F14" s="769"/>
      <c r="G14" s="788"/>
      <c r="I14" s="3406"/>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406"/>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2" t="s">
        <v>1320</v>
      </c>
      <c r="C17" s="3403"/>
      <c r="D17" s="3404" t="s">
        <v>1321</v>
      </c>
      <c r="E17" s="3405"/>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15" t="s">
        <v>2585</v>
      </c>
      <c r="B24" s="3415"/>
      <c r="C24" s="3415"/>
      <c r="D24" s="3415"/>
      <c r="E24" s="3415"/>
      <c r="F24" s="3415"/>
      <c r="G24" s="3415"/>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0" t="s">
        <v>1334</v>
      </c>
      <c r="D28" s="3391"/>
      <c r="E28" s="759"/>
      <c r="F28" s="761" t="s">
        <v>1334</v>
      </c>
      <c r="G28" s="759"/>
      <c r="K28" s="2822"/>
    </row>
    <row r="29" spans="1:66">
      <c r="A29" s="762" t="s">
        <v>1335</v>
      </c>
      <c r="B29" s="756"/>
      <c r="C29" s="3392" t="s">
        <v>1336</v>
      </c>
      <c r="D29" s="3393"/>
      <c r="E29" s="756"/>
      <c r="F29" s="762" t="s">
        <v>1336</v>
      </c>
      <c r="G29" s="756"/>
      <c r="K29" s="2822"/>
    </row>
    <row r="30" spans="1:66">
      <c r="A30" s="762" t="s">
        <v>1337</v>
      </c>
      <c r="B30" s="756"/>
      <c r="C30" s="3392" t="s">
        <v>1337</v>
      </c>
      <c r="D30" s="3393"/>
      <c r="E30" s="756"/>
      <c r="F30" s="762" t="s">
        <v>1338</v>
      </c>
      <c r="G30" s="756"/>
      <c r="K30" s="2822"/>
    </row>
    <row r="31" spans="1:66">
      <c r="A31" s="762" t="s">
        <v>1339</v>
      </c>
      <c r="B31" s="756"/>
      <c r="C31" s="3412" t="s">
        <v>1340</v>
      </c>
      <c r="D31" s="769"/>
      <c r="E31" s="2545" t="str">
        <f>E32&amp;" "&amp;E33&amp;" "&amp;E34&amp;" "&amp;E35</f>
        <v xml:space="preserve">   </v>
      </c>
      <c r="F31" s="762" t="s">
        <v>1341</v>
      </c>
      <c r="G31" s="756"/>
    </row>
    <row r="32" spans="1:66">
      <c r="A32" s="762" t="s">
        <v>1342</v>
      </c>
      <c r="B32" s="756"/>
      <c r="C32" s="3413"/>
      <c r="D32" s="259" t="s">
        <v>1343</v>
      </c>
      <c r="E32" s="756"/>
      <c r="F32" s="762" t="s">
        <v>1344</v>
      </c>
      <c r="G32" s="756"/>
    </row>
    <row r="33" spans="1:7" ht="24.75" thickBot="1">
      <c r="A33" s="763" t="s">
        <v>1345</v>
      </c>
      <c r="B33" s="760"/>
      <c r="C33" s="3413"/>
      <c r="D33" s="259" t="s">
        <v>1346</v>
      </c>
      <c r="E33" s="756"/>
      <c r="F33" s="762" t="s">
        <v>1347</v>
      </c>
      <c r="G33" s="756"/>
    </row>
    <row r="34" spans="1:7">
      <c r="A34" s="761" t="s">
        <v>1348</v>
      </c>
      <c r="B34" s="759"/>
      <c r="C34" s="3413"/>
      <c r="D34" s="259" t="s">
        <v>1349</v>
      </c>
      <c r="E34" s="756"/>
      <c r="F34" s="762" t="s">
        <v>1350</v>
      </c>
      <c r="G34" s="756"/>
    </row>
    <row r="35" spans="1:7" ht="13.5" thickBot="1">
      <c r="A35" s="762" t="s">
        <v>1351</v>
      </c>
      <c r="B35" s="756"/>
      <c r="C35" s="3414"/>
      <c r="D35" s="259" t="s">
        <v>1352</v>
      </c>
      <c r="E35" s="756"/>
      <c r="F35" s="763" t="s">
        <v>1353</v>
      </c>
      <c r="G35" s="2546"/>
    </row>
    <row r="36" spans="1:7">
      <c r="A36" s="762" t="s">
        <v>1310</v>
      </c>
      <c r="B36" s="756"/>
      <c r="C36" s="3392" t="s">
        <v>1354</v>
      </c>
      <c r="D36" s="3393"/>
      <c r="E36" s="756"/>
      <c r="F36" s="2547" t="s">
        <v>1355</v>
      </c>
      <c r="G36" s="759"/>
    </row>
    <row r="37" spans="1:7" ht="13.5" thickBot="1">
      <c r="A37" s="762" t="s">
        <v>1356</v>
      </c>
      <c r="B37" s="756"/>
      <c r="C37" s="3394" t="s">
        <v>1357</v>
      </c>
      <c r="D37" s="3395"/>
      <c r="E37" s="760"/>
      <c r="F37" s="1391" t="s">
        <v>1358</v>
      </c>
      <c r="G37" s="756"/>
    </row>
    <row r="38" spans="1:7" ht="13.5" thickBot="1">
      <c r="A38" s="762" t="s">
        <v>1359</v>
      </c>
      <c r="B38" s="756"/>
      <c r="C38" s="3384" t="s">
        <v>1360</v>
      </c>
      <c r="D38" s="1371" t="s">
        <v>1344</v>
      </c>
      <c r="E38" s="759"/>
      <c r="F38" s="763" t="s">
        <v>1361</v>
      </c>
      <c r="G38" s="760"/>
    </row>
    <row r="39" spans="1:7">
      <c r="A39" s="762" t="s">
        <v>1362</v>
      </c>
      <c r="B39" s="756"/>
      <c r="C39" s="3385"/>
      <c r="D39" s="259" t="s">
        <v>1351</v>
      </c>
      <c r="E39" s="756"/>
      <c r="F39" s="761" t="s">
        <v>1363</v>
      </c>
      <c r="G39" s="759"/>
    </row>
    <row r="40" spans="1:7">
      <c r="A40" s="762" t="s">
        <v>1364</v>
      </c>
      <c r="B40" s="756"/>
      <c r="C40" s="3385" t="s">
        <v>1365</v>
      </c>
      <c r="D40" s="259" t="s">
        <v>1310</v>
      </c>
      <c r="E40" s="756"/>
      <c r="F40" s="762" t="s">
        <v>1366</v>
      </c>
      <c r="G40" s="756"/>
    </row>
    <row r="41" spans="1:7" ht="24.75" customHeight="1" thickBot="1">
      <c r="A41" s="763" t="s">
        <v>1367</v>
      </c>
      <c r="B41" s="760"/>
      <c r="C41" s="3386"/>
      <c r="D41" s="1374" t="s">
        <v>1312</v>
      </c>
      <c r="E41" s="760"/>
      <c r="F41" s="763" t="s">
        <v>1368</v>
      </c>
      <c r="G41" s="760"/>
    </row>
    <row r="42" spans="1:7">
      <c r="A42" s="764" t="s">
        <v>1369</v>
      </c>
      <c r="B42" s="2548"/>
      <c r="C42" s="3407" t="s">
        <v>1369</v>
      </c>
      <c r="D42" s="3408"/>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9" t="s">
        <v>1372</v>
      </c>
      <c r="D49" s="3410"/>
      <c r="E49" s="778"/>
      <c r="F49" s="763" t="s">
        <v>1373</v>
      </c>
      <c r="G49" s="760"/>
    </row>
    <row r="50" spans="1:66">
      <c r="A50" s="762" t="s">
        <v>1374</v>
      </c>
      <c r="B50" s="777"/>
      <c r="C50" s="3384" t="s">
        <v>1375</v>
      </c>
      <c r="D50" s="3411"/>
      <c r="E50" s="2550"/>
      <c r="F50" s="795"/>
      <c r="G50" s="796"/>
    </row>
    <row r="51" spans="1:66" ht="13.5" thickBot="1">
      <c r="A51" s="762" t="s">
        <v>1376</v>
      </c>
      <c r="B51" s="777"/>
      <c r="C51" s="3386" t="s">
        <v>1377</v>
      </c>
      <c r="D51" s="3389"/>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6" t="s">
        <v>0</v>
      </c>
      <c r="B1" s="3416" t="s">
        <v>2</v>
      </c>
      <c r="C1" s="3416" t="s">
        <v>3</v>
      </c>
      <c r="D1" s="3417" t="s">
        <v>67</v>
      </c>
      <c r="E1" s="3417" t="s">
        <v>68</v>
      </c>
      <c r="F1" s="3417"/>
      <c r="G1" s="3417"/>
      <c r="H1" s="3417"/>
      <c r="I1" s="3417"/>
      <c r="J1" s="3417"/>
      <c r="K1" s="3417"/>
      <c r="L1" s="3417"/>
      <c r="M1" s="3417"/>
    </row>
    <row r="2" spans="1:13" ht="27" customHeight="1">
      <c r="A2" s="3416"/>
      <c r="B2" s="3416"/>
      <c r="C2" s="3416"/>
      <c r="D2" s="3417"/>
      <c r="E2" s="3417" t="s">
        <v>51</v>
      </c>
      <c r="F2" s="3417" t="s">
        <v>52</v>
      </c>
      <c r="G2" s="3417"/>
      <c r="H2" s="3417"/>
      <c r="I2" s="3417"/>
      <c r="J2" s="3417" t="s">
        <v>53</v>
      </c>
      <c r="K2" s="3417"/>
      <c r="L2" s="3417"/>
      <c r="M2" s="3417"/>
    </row>
    <row r="3" spans="1:13" ht="28.5">
      <c r="A3" s="3416"/>
      <c r="B3" s="3416"/>
      <c r="C3" s="3416"/>
      <c r="D3" s="3417"/>
      <c r="E3" s="341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7" t="s">
        <v>69</v>
      </c>
      <c r="B9" s="3417"/>
      <c r="C9" s="341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44763</v>
      </c>
      <c r="C2" s="1613"/>
      <c r="D2" s="3418"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3028</v>
      </c>
      <c r="C3" s="1613"/>
      <c r="D3" s="3419"/>
      <c r="E3" s="2557" t="s">
        <v>3032</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3029</v>
      </c>
      <c r="C4" s="1613"/>
      <c r="D4" s="3419"/>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182.31</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3030</v>
      </c>
      <c r="C10" s="1613"/>
      <c r="D10" s="2841" t="s">
        <v>1389</v>
      </c>
      <c r="E10" s="2845" t="s">
        <v>1390</v>
      </c>
      <c r="F10" s="3009" t="s">
        <v>2595</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35</v>
      </c>
      <c r="C13" s="2885"/>
      <c r="D13" s="2851" t="s">
        <v>1397</v>
      </c>
      <c r="E13" s="2571"/>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0.89700000000000002</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2596</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2597</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2594</v>
      </c>
      <c r="B17" s="3007">
        <v>7.4999999999999997E-2</v>
      </c>
      <c r="C17" s="2481" t="s">
        <v>2598</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c r="C18" s="1613"/>
      <c r="D18" s="2857" t="str">
        <f>IF(B26=0,"建安总额","在建建安")</f>
        <v>建安总额</v>
      </c>
      <c r="E18" s="2858">
        <f>ROUND(B5*E17*IF(B26=0,1,E20),0)</f>
        <v>638085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0.78</v>
      </c>
      <c r="F20" s="905"/>
      <c r="G20" s="1613">
        <f>2022-B27</f>
        <v>13</v>
      </c>
      <c r="H20" s="1613">
        <f>47/60</f>
        <v>0.78333333333333333</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2604</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2602</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2605</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2603</v>
      </c>
      <c r="I25" s="2886"/>
    </row>
    <row r="26" spans="1:41" ht="15" thickBot="1">
      <c r="A26" s="2864" t="s">
        <v>1417</v>
      </c>
      <c r="B26" s="2868">
        <f>B22-B23</f>
        <v>0</v>
      </c>
      <c r="D26" s="2848" t="s">
        <v>1420</v>
      </c>
      <c r="E26" s="2583">
        <v>0.02</v>
      </c>
      <c r="F26" s="2591" t="s">
        <v>2603</v>
      </c>
      <c r="G26" s="2887"/>
      <c r="H26" s="2887"/>
      <c r="I26" s="1613"/>
      <c r="J26" s="1613"/>
      <c r="K26" s="1613"/>
      <c r="L26" s="1613"/>
      <c r="M26" s="1613"/>
      <c r="N26" s="1613"/>
    </row>
    <row r="27" spans="1:41" ht="15.75" thickBot="1">
      <c r="A27" s="2869" t="s">
        <v>1419</v>
      </c>
      <c r="B27" s="2585">
        <v>2009</v>
      </c>
      <c r="C27" s="1613"/>
      <c r="D27" s="3074" t="s">
        <v>3033</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3031</v>
      </c>
      <c r="D29" s="2853" t="s">
        <v>1423</v>
      </c>
      <c r="E29" s="2872">
        <f>E30+E31</f>
        <v>5.6000000000000001E-2</v>
      </c>
      <c r="F29" s="1238"/>
      <c r="G29" s="2887"/>
      <c r="H29" s="2887"/>
      <c r="K29" s="1613"/>
      <c r="N29" s="1613"/>
    </row>
    <row r="30" spans="1:41" ht="14.25">
      <c r="A30" s="2848" t="str">
        <f>IF(B29="租赁期内按合同租金","合同租金","市场租金")</f>
        <v>市场租金</v>
      </c>
      <c r="B30" s="2588">
        <v>4</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0.03</v>
      </c>
      <c r="D32" s="2855" t="s">
        <v>1429</v>
      </c>
      <c r="E32" s="2590">
        <v>7.0000000000000007E-2</v>
      </c>
      <c r="F32" s="2591" t="s">
        <v>2490</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35</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2601</v>
      </c>
      <c r="D45" s="2601" t="s">
        <v>1456</v>
      </c>
      <c r="E45" s="2588"/>
      <c r="F45" s="1239">
        <v>12</v>
      </c>
      <c r="G45" s="2593"/>
      <c r="H45" s="2593"/>
      <c r="M45" s="1613"/>
      <c r="N45" s="1613"/>
    </row>
    <row r="46" spans="1:14" ht="14.25">
      <c r="A46" s="2848" t="s">
        <v>1455</v>
      </c>
      <c r="B46" s="2603">
        <v>1E-3</v>
      </c>
      <c r="C46" s="2481" t="s">
        <v>2599</v>
      </c>
      <c r="D46" s="2601" t="s">
        <v>1218</v>
      </c>
      <c r="E46" s="2588"/>
      <c r="F46" s="1239">
        <v>3</v>
      </c>
      <c r="G46" s="2593"/>
      <c r="H46" s="2593"/>
      <c r="M46" s="1613"/>
      <c r="N46" s="1613"/>
    </row>
    <row r="47" spans="1:14" ht="15" thickBot="1">
      <c r="A47" s="2851" t="s">
        <v>1457</v>
      </c>
      <c r="B47" s="2604">
        <v>0.02</v>
      </c>
      <c r="C47" s="2481" t="s">
        <v>2600</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20" t="s">
        <v>1463</v>
      </c>
      <c r="B1" s="3421"/>
      <c r="C1" s="3421"/>
      <c r="D1" s="3421"/>
      <c r="E1" s="3421"/>
      <c r="F1" s="3421"/>
      <c r="G1" s="3421"/>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2606</v>
      </c>
      <c r="D2" s="3019"/>
      <c r="E2" s="3016"/>
      <c r="F2" s="3020"/>
      <c r="G2" s="3018" t="s">
        <v>2607</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25.5">
      <c r="A3" s="3022" t="s">
        <v>2608</v>
      </c>
      <c r="B3" s="3023" t="s">
        <v>2609</v>
      </c>
      <c r="C3" s="3024"/>
      <c r="D3" s="3025"/>
      <c r="E3" s="3026" t="s">
        <v>2608</v>
      </c>
      <c r="F3" s="3027" t="s">
        <v>2610</v>
      </c>
      <c r="G3" s="3028" t="s">
        <v>2611</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
      <c r="A4" s="3026"/>
      <c r="B4" s="3010" t="s">
        <v>2612</v>
      </c>
      <c r="C4" s="3029"/>
      <c r="D4" s="3025"/>
      <c r="E4" s="3030"/>
      <c r="F4" s="3012" t="s">
        <v>2613</v>
      </c>
      <c r="G4" s="3031" t="s">
        <v>2614</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12.75">
      <c r="A5" s="3026"/>
      <c r="B5" s="3010" t="s">
        <v>2615</v>
      </c>
      <c r="C5" s="3325" t="s">
        <v>3034</v>
      </c>
      <c r="D5" s="3025"/>
      <c r="E5" s="3030"/>
      <c r="F5" s="3010" t="s">
        <v>2616</v>
      </c>
      <c r="G5" s="3031" t="s">
        <v>2617</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12.75">
      <c r="A6" s="3026"/>
      <c r="B6" s="3010" t="s">
        <v>2618</v>
      </c>
      <c r="C6" s="3326" t="s">
        <v>3034</v>
      </c>
      <c r="D6" s="3025"/>
      <c r="E6" s="3030"/>
      <c r="F6" s="3010" t="s">
        <v>2619</v>
      </c>
      <c r="G6" s="3031" t="s">
        <v>2620</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2616</v>
      </c>
      <c r="C7" s="3326" t="s">
        <v>3034</v>
      </c>
      <c r="D7" s="2900"/>
      <c r="E7" s="3032"/>
      <c r="F7" s="3033" t="s">
        <v>2621</v>
      </c>
      <c r="G7" s="3034" t="s">
        <v>2622</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2619</v>
      </c>
      <c r="C8" s="3326" t="s">
        <v>3036</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12.75">
      <c r="A9" s="3026"/>
      <c r="B9" s="3010" t="s">
        <v>2623</v>
      </c>
      <c r="C9" s="3325" t="s">
        <v>3034</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2624</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2625</v>
      </c>
      <c r="D14" s="3025"/>
      <c r="E14" s="3043"/>
      <c r="F14" s="3043"/>
      <c r="G14" s="3018" t="s">
        <v>2626</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25.5">
      <c r="A15" s="3047" t="s">
        <v>2627</v>
      </c>
      <c r="B15" s="3048" t="s">
        <v>2609</v>
      </c>
      <c r="C15" s="3049">
        <f>C3</f>
        <v>0</v>
      </c>
      <c r="D15" s="3025"/>
      <c r="E15" s="3050" t="s">
        <v>2628</v>
      </c>
      <c r="F15" s="3048" t="s">
        <v>2629</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2612</v>
      </c>
      <c r="C16" s="3053">
        <f>C4</f>
        <v>0</v>
      </c>
      <c r="D16" s="3025"/>
      <c r="E16" s="3054"/>
      <c r="F16" s="3011" t="s">
        <v>2613</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12.75">
      <c r="A17" s="3052"/>
      <c r="B17" s="2492" t="s">
        <v>2615</v>
      </c>
      <c r="C17" s="3053" t="str">
        <f>C5</f>
        <v>较好</v>
      </c>
      <c r="D17" s="2900"/>
      <c r="E17" s="3054"/>
      <c r="F17" s="3324" t="s">
        <v>3024</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25.5">
      <c r="A18" s="3052"/>
      <c r="B18" s="3011" t="s">
        <v>2618</v>
      </c>
      <c r="C18" s="3055" t="str">
        <f>C6</f>
        <v>较好</v>
      </c>
      <c r="D18" s="2900"/>
      <c r="E18" s="3054"/>
      <c r="F18" s="3011" t="s">
        <v>2621</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3023</v>
      </c>
      <c r="C19" s="3056"/>
      <c r="D19" s="3025"/>
      <c r="E19" s="3054"/>
      <c r="F19" s="3010" t="s">
        <v>2616</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12.75">
      <c r="A20" s="3052"/>
      <c r="B20" s="3011" t="s">
        <v>2630</v>
      </c>
      <c r="C20" s="3053" t="str">
        <f>C9</f>
        <v>较好</v>
      </c>
      <c r="D20" s="2900"/>
      <c r="E20" s="3054"/>
      <c r="F20" s="3010" t="s">
        <v>2619</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12.75">
      <c r="A21" s="3052"/>
      <c r="B21" s="3010" t="s">
        <v>2616</v>
      </c>
      <c r="C21" s="3055" t="str">
        <f>C7</f>
        <v>较好</v>
      </c>
      <c r="D21" s="3025"/>
      <c r="E21" s="3054"/>
      <c r="F21" s="3011" t="s">
        <v>2631</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2619</v>
      </c>
      <c r="C22" s="3055" t="str">
        <f>C8</f>
        <v>七通</v>
      </c>
      <c r="D22" s="3025"/>
      <c r="E22" s="3054"/>
      <c r="F22" s="3011" t="s">
        <v>2624</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2631</v>
      </c>
      <c r="C23" s="3057"/>
      <c r="D23" s="3044"/>
      <c r="E23" s="3059"/>
      <c r="F23" s="3013" t="s">
        <v>2632</v>
      </c>
      <c r="G23" s="3060"/>
      <c r="H23" s="3044"/>
      <c r="I23" s="3045"/>
      <c r="J23" s="3044"/>
      <c r="K23" s="3044"/>
      <c r="L23" s="3045"/>
      <c r="M23" s="3044"/>
      <c r="N23" s="3044"/>
      <c r="O23" s="3045"/>
      <c r="P23" s="3044"/>
      <c r="Q23" s="3044"/>
      <c r="R23" s="3046"/>
    </row>
    <row r="24" spans="1:29" s="3021" customFormat="1" ht="13.5" thickBot="1">
      <c r="A24" s="3061"/>
      <c r="B24" s="3013" t="s">
        <v>2633</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6"/>
  <sheetViews>
    <sheetView view="pageBreakPreview" topLeftCell="A7" zoomScale="80" zoomScaleNormal="100" zoomScaleSheetLayoutView="80" workbookViewId="0">
      <selection activeCell="F19" sqref="F19"/>
    </sheetView>
  </sheetViews>
  <sheetFormatPr defaultColWidth="14.625" defaultRowHeight="13.5"/>
  <cols>
    <col min="1" max="1" width="24.375" style="2501" customWidth="1"/>
    <col min="2" max="16384" width="14.625" style="2501"/>
  </cols>
  <sheetData>
    <row r="1" spans="1:9" ht="16.5">
      <c r="A1" s="2499" t="s">
        <v>973</v>
      </c>
      <c r="B1" s="2499">
        <f>SUM(B14:B23)</f>
        <v>182.31</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44763</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493</v>
      </c>
      <c r="C5" s="2499">
        <f ca="1">ROUND(B5*10000/$B$1,0)</f>
        <v>27042</v>
      </c>
      <c r="D5" s="2499" t="e">
        <f ca="1">ROUND(B5*10000/$B$2,0)</f>
        <v>#DIV/0!</v>
      </c>
      <c r="E5" s="1562"/>
      <c r="F5" s="2500"/>
      <c r="G5" s="2500"/>
    </row>
    <row r="6" spans="1:9" ht="16.5">
      <c r="A6" s="2499" t="s">
        <v>981</v>
      </c>
      <c r="B6" s="2499">
        <f ca="1">SUM(G14:G23)</f>
        <v>493</v>
      </c>
      <c r="C6" s="2499">
        <f t="shared" ref="C6:C8" ca="1" si="0">ROUND(B6*10000/$B$1,0)</f>
        <v>27042</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3025</v>
      </c>
      <c r="B14" s="2835">
        <f>项目基本情况!C12</f>
        <v>182.31</v>
      </c>
      <c r="C14" s="2835">
        <f>项目基本情况!C13</f>
        <v>0</v>
      </c>
      <c r="D14" s="2835">
        <f ca="1">IF('数据-取费表'!B3="万元",IF(A14="估价对象1（结果表）",结果表!H121,'结果表 (1修多)'!H125),IF(A14="估价对象1（结果表）",结果表!H121,'结果表 (1修多)'!H125)/10000)</f>
        <v>493</v>
      </c>
      <c r="E14" s="2835">
        <f ca="1">ROUND(D14*10000/B14,0)</f>
        <v>27042</v>
      </c>
      <c r="F14" s="2835" t="e">
        <f ca="1">ROUND(D14*10000/C14,0)</f>
        <v>#DIV/0!</v>
      </c>
      <c r="G14" s="2835">
        <f ca="1">IF('数据-取费表'!B3="万元",IF(A14="估价对象1（结果表）",结果表!D125,'结果表 (1修多)'!D129),IF(A14="估价对象1（结果表）",结果表!D125,'结果表 (1修多)'!D129)/10000)</f>
        <v>493</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row r="26" spans="1:9">
      <c r="D26" s="2501">
        <f ca="1">结果表!G20*系统读取表!B14/10000</f>
        <v>492.52869599999997</v>
      </c>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G20" sqref="G20"/>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93" t="str">
        <f>项目基本情况!B1</f>
        <v>北京市预评估</v>
      </c>
      <c r="B2" s="3493"/>
      <c r="C2" s="3493"/>
      <c r="D2" s="3493"/>
      <c r="E2" s="3493"/>
      <c r="F2" s="3493"/>
      <c r="G2" s="3493"/>
      <c r="H2" s="3493"/>
      <c r="I2" s="3493"/>
      <c r="J2" s="2762"/>
    </row>
    <row r="3" spans="1:15" ht="12.75">
      <c r="A3" s="3498" t="s">
        <v>1471</v>
      </c>
      <c r="B3" s="3499"/>
      <c r="C3" s="3499"/>
      <c r="D3" s="3499"/>
      <c r="E3" s="3499"/>
      <c r="F3" s="3499"/>
      <c r="G3" s="3499"/>
      <c r="H3" s="3499"/>
      <c r="I3" s="3499"/>
      <c r="J3" s="2763"/>
    </row>
    <row r="4" spans="1:15" ht="14.25">
      <c r="A4" s="2631" t="s">
        <v>1472</v>
      </c>
      <c r="B4" s="2631" t="s">
        <v>1473</v>
      </c>
      <c r="C4" s="2632" t="s">
        <v>3037</v>
      </c>
      <c r="D4" s="2632" t="s">
        <v>3038</v>
      </c>
      <c r="E4" s="3495" t="s">
        <v>1474</v>
      </c>
      <c r="F4" s="3483"/>
      <c r="G4" s="3483"/>
      <c r="H4" s="3483"/>
      <c r="I4" s="3484"/>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94" t="s">
        <v>1475</v>
      </c>
      <c r="B5" s="3494">
        <v>25</v>
      </c>
      <c r="C5" s="3500"/>
      <c r="D5" s="3497"/>
      <c r="E5" s="12" t="s">
        <v>1476</v>
      </c>
      <c r="F5" s="2017"/>
      <c r="G5" s="2017"/>
      <c r="H5" s="2017"/>
      <c r="I5" s="2012"/>
      <c r="J5" s="2764"/>
    </row>
    <row r="6" spans="1:15" ht="12.75">
      <c r="A6" s="3494"/>
      <c r="B6" s="3494"/>
      <c r="C6" s="3501"/>
      <c r="D6" s="3497"/>
      <c r="E6" s="12" t="s">
        <v>1477</v>
      </c>
      <c r="F6" s="2017"/>
      <c r="G6" s="2017"/>
      <c r="H6" s="2017"/>
      <c r="I6" s="2012"/>
      <c r="J6" s="2764"/>
    </row>
    <row r="7" spans="1:15" ht="12.75">
      <c r="A7" s="3494"/>
      <c r="B7" s="3494"/>
      <c r="C7" s="3502"/>
      <c r="D7" s="3497"/>
      <c r="E7" s="12" t="s">
        <v>1478</v>
      </c>
      <c r="F7" s="2017"/>
      <c r="G7" s="2017"/>
      <c r="H7" s="2017"/>
      <c r="I7" s="2012"/>
      <c r="J7" s="2764"/>
    </row>
    <row r="8" spans="1:15" ht="12.75">
      <c r="A8" s="3494" t="s">
        <v>1479</v>
      </c>
      <c r="B8" s="3494">
        <v>15</v>
      </c>
      <c r="C8" s="3500"/>
      <c r="D8" s="3497"/>
      <c r="E8" s="12" t="s">
        <v>1480</v>
      </c>
      <c r="F8" s="2017"/>
      <c r="G8" s="2017"/>
      <c r="H8" s="2017"/>
      <c r="I8" s="2012"/>
      <c r="J8" s="2764"/>
    </row>
    <row r="9" spans="1:15" ht="12.75">
      <c r="A9" s="3494"/>
      <c r="B9" s="3494"/>
      <c r="C9" s="3502"/>
      <c r="D9" s="3497"/>
      <c r="E9" s="12" t="s">
        <v>1481</v>
      </c>
      <c r="F9" s="2017"/>
      <c r="G9" s="2017"/>
      <c r="H9" s="2017"/>
      <c r="I9" s="2012"/>
      <c r="J9" s="2764"/>
    </row>
    <row r="10" spans="1:15" ht="12.75">
      <c r="A10" s="3494" t="s">
        <v>1482</v>
      </c>
      <c r="B10" s="3494">
        <v>15</v>
      </c>
      <c r="C10" s="3500"/>
      <c r="D10" s="3497"/>
      <c r="E10" s="12" t="s">
        <v>1483</v>
      </c>
      <c r="F10" s="2017"/>
      <c r="G10" s="2017"/>
      <c r="H10" s="2017"/>
      <c r="I10" s="2012"/>
      <c r="J10" s="2764"/>
    </row>
    <row r="11" spans="1:15" ht="12.75">
      <c r="A11" s="3494"/>
      <c r="B11" s="3494"/>
      <c r="C11" s="3502"/>
      <c r="D11" s="3497"/>
      <c r="E11" s="12" t="s">
        <v>1484</v>
      </c>
      <c r="F11" s="2017"/>
      <c r="G11" s="2017"/>
      <c r="H11" s="2017"/>
      <c r="I11" s="2012"/>
      <c r="J11" s="2764"/>
    </row>
    <row r="12" spans="1:15" ht="12.75">
      <c r="A12" s="3494" t="s">
        <v>1485</v>
      </c>
      <c r="B12" s="3494">
        <v>15</v>
      </c>
      <c r="C12" s="3500"/>
      <c r="D12" s="3497"/>
      <c r="E12" s="12" t="s">
        <v>1486</v>
      </c>
      <c r="F12" s="2017"/>
      <c r="G12" s="2017"/>
      <c r="H12" s="2017"/>
      <c r="I12" s="2012"/>
      <c r="J12" s="2764"/>
    </row>
    <row r="13" spans="1:15" ht="12.75">
      <c r="A13" s="3494"/>
      <c r="B13" s="3494"/>
      <c r="C13" s="3502"/>
      <c r="D13" s="3497"/>
      <c r="E13" s="12" t="s">
        <v>1487</v>
      </c>
      <c r="F13" s="2017"/>
      <c r="G13" s="2017"/>
      <c r="H13" s="2017"/>
      <c r="I13" s="2012"/>
      <c r="J13" s="2764"/>
    </row>
    <row r="14" spans="1:15" ht="12.75">
      <c r="A14" s="3494" t="s">
        <v>1488</v>
      </c>
      <c r="B14" s="3494">
        <v>30</v>
      </c>
      <c r="C14" s="3500">
        <v>5</v>
      </c>
      <c r="D14" s="3497">
        <f>10-C14</f>
        <v>5</v>
      </c>
      <c r="E14" s="12" t="s">
        <v>1489</v>
      </c>
      <c r="F14" s="2017"/>
      <c r="G14" s="2017"/>
      <c r="H14" s="2017"/>
      <c r="I14" s="2012"/>
      <c r="J14" s="2764"/>
    </row>
    <row r="15" spans="1:15" ht="12.75">
      <c r="A15" s="3494"/>
      <c r="B15" s="3494"/>
      <c r="C15" s="3501"/>
      <c r="D15" s="3497"/>
      <c r="E15" s="12" t="s">
        <v>1490</v>
      </c>
      <c r="F15" s="2017"/>
      <c r="G15" s="2017"/>
      <c r="H15" s="2017"/>
      <c r="I15" s="2012"/>
      <c r="J15" s="2764"/>
    </row>
    <row r="16" spans="1:15" ht="12.75">
      <c r="A16" s="3494"/>
      <c r="B16" s="3494"/>
      <c r="C16" s="3502"/>
      <c r="D16" s="3497"/>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514" t="s">
        <v>2575</v>
      </c>
      <c r="F18" s="3515"/>
      <c r="G18" s="3515"/>
      <c r="H18" s="3515"/>
      <c r="I18" s="3515"/>
      <c r="J18" s="2765"/>
    </row>
    <row r="19" spans="1:36" ht="15">
      <c r="A19" s="2638" t="s">
        <v>1494</v>
      </c>
      <c r="B19" s="2639" t="s">
        <v>1495</v>
      </c>
      <c r="C19" s="2640">
        <f ca="1">SUMIF(INDIRECT("'"&amp;C4&amp;"'"&amp;"!A:A"),结果表!B19,INDIRECT("'"&amp;C4&amp;"'"&amp;"!B:B"))</f>
        <v>510</v>
      </c>
      <c r="D19" s="2641">
        <f ca="1">SUMIF(INDIRECT("'"&amp;D4&amp;"'"&amp;"!A:A"),结果表!B19,INDIRECT("'"&amp;D4&amp;"'"&amp;"!B:B"))</f>
        <v>475</v>
      </c>
      <c r="E19" s="2638" t="s">
        <v>1496</v>
      </c>
      <c r="F19" s="2639" t="s">
        <v>1495</v>
      </c>
      <c r="G19" s="2642">
        <f ca="1">ROUND(C19*$C$18+D19*$D$18,0)</f>
        <v>493</v>
      </c>
      <c r="H19" s="2643" t="str">
        <f>'数据-取费表'!B3</f>
        <v>万元</v>
      </c>
      <c r="I19" s="2691"/>
      <c r="J19" s="2766"/>
    </row>
    <row r="20" spans="1:36" ht="15">
      <c r="A20" s="2644"/>
      <c r="B20" s="1622" t="s">
        <v>1497</v>
      </c>
      <c r="C20" s="1847">
        <f ca="1">SUMIF(INDIRECT("'"&amp;C4&amp;"'"&amp;"!A:A"),结果表!B20,INDIRECT("'"&amp;C4&amp;"'"&amp;"!B:B"))</f>
        <v>27972</v>
      </c>
      <c r="D20" s="1850">
        <f ca="1">SUMIF(INDIRECT("'"&amp;D4&amp;"'"&amp;"!A:A"),结果表!B20,INDIRECT("'"&amp;D4&amp;"'"&amp;"!B:B"))</f>
        <v>26059</v>
      </c>
      <c r="E20" s="2644"/>
      <c r="F20" s="1622" t="s">
        <v>1497</v>
      </c>
      <c r="G20" s="2021">
        <f ca="1">ROUND(C20*$C$18+D20*$D$18,0)</f>
        <v>27016</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7.3684210526315796E-2</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03" t="s">
        <v>1500</v>
      </c>
      <c r="B24" s="2639" t="s">
        <v>1495</v>
      </c>
      <c r="C24" s="2642">
        <f>D30</f>
        <v>0</v>
      </c>
      <c r="D24" s="2594"/>
      <c r="E24" s="905"/>
      <c r="F24" s="905"/>
      <c r="G24" s="905"/>
      <c r="H24" s="905"/>
      <c r="I24" s="905"/>
      <c r="J24" s="2765"/>
    </row>
    <row r="25" spans="1:36" ht="21.75" customHeight="1">
      <c r="A25" s="3504"/>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2579</v>
      </c>
      <c r="F30" s="2481"/>
      <c r="G30" s="2481"/>
      <c r="H30" s="2481"/>
      <c r="I30" s="2481"/>
      <c r="J30" s="2765"/>
    </row>
    <row r="31" spans="1:36" s="2758" customFormat="1" ht="26.45"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27016</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22910</v>
      </c>
      <c r="D34" s="2668">
        <f ca="1">IF(D33="自定义",ROUND(C34/C32,3),1-D35)</f>
        <v>0.84799999999999998</v>
      </c>
      <c r="E34" s="1363" t="s">
        <v>1510</v>
      </c>
      <c r="F34" s="2669">
        <v>2000</v>
      </c>
      <c r="G34" s="905"/>
      <c r="H34" s="905"/>
      <c r="I34" s="905"/>
      <c r="J34" s="2765"/>
    </row>
    <row r="35" spans="1:17" ht="15.75" thickBot="1">
      <c r="A35" s="1395"/>
      <c r="B35" s="2670" t="s">
        <v>1511</v>
      </c>
      <c r="C35" s="2671">
        <f ca="1">IF(D33="自定义",F35,ROUND(C32*D35,0))</f>
        <v>4106</v>
      </c>
      <c r="D35" s="2672">
        <f ca="1">IF(D33="自定义",ROUND(C35/C32,3),IF(D33="成本法成本比率",成本法!C56,IF(D33="收益法收益比率",收益法!J38,收益法!J41)))</f>
        <v>0.152</v>
      </c>
      <c r="E35" s="2673" t="s">
        <v>1512</v>
      </c>
      <c r="F35" s="2674">
        <v>4460</v>
      </c>
      <c r="G35" s="905"/>
      <c r="H35" s="905"/>
      <c r="I35" s="905"/>
      <c r="J35" s="2765"/>
    </row>
    <row r="36" spans="1:17" ht="15.75" thickBot="1">
      <c r="A36" s="3503" t="s">
        <v>1513</v>
      </c>
      <c r="B36" s="1396" t="s">
        <v>1514</v>
      </c>
      <c r="C36" s="2675">
        <v>0</v>
      </c>
      <c r="D36" s="2676"/>
      <c r="E36" s="1608"/>
      <c r="F36" s="1608"/>
      <c r="G36" s="905"/>
      <c r="H36" s="905"/>
      <c r="I36" s="905"/>
      <c r="J36" s="2765"/>
    </row>
    <row r="37" spans="1:17" ht="15.75" thickBot="1">
      <c r="A37" s="3508"/>
      <c r="B37" s="2022" t="s">
        <v>1515</v>
      </c>
      <c r="C37" s="2677">
        <v>0</v>
      </c>
      <c r="D37" s="1239"/>
      <c r="E37" s="1239"/>
      <c r="F37" s="1608"/>
      <c r="G37" s="1239"/>
      <c r="H37" s="1239"/>
      <c r="I37" s="1239"/>
      <c r="J37" s="2769"/>
    </row>
    <row r="38" spans="1:17" ht="15.75" thickBot="1">
      <c r="A38" s="3509"/>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2574</v>
      </c>
      <c r="J44" s="2771"/>
      <c r="K44" s="1403" t="s">
        <v>1523</v>
      </c>
      <c r="L44" s="1404"/>
      <c r="M44" s="1404"/>
      <c r="N44" s="1404"/>
      <c r="O44" s="1404"/>
      <c r="P44" s="1404"/>
      <c r="Q44" s="1236"/>
    </row>
    <row r="45" spans="1:17" ht="14.25" customHeight="1" thickBot="1">
      <c r="A45" s="3428" t="s">
        <v>1524</v>
      </c>
      <c r="B45" s="3429"/>
      <c r="C45" s="3439"/>
      <c r="D45" s="246">
        <f ca="1">ROUND(I102*F45,0)</f>
        <v>493</v>
      </c>
      <c r="E45" s="1470" t="s">
        <v>1525</v>
      </c>
      <c r="F45" s="2479">
        <v>1</v>
      </c>
      <c r="G45" s="2480" t="s">
        <v>1526</v>
      </c>
      <c r="H45" s="905"/>
      <c r="I45" s="905"/>
      <c r="J45" s="2765"/>
      <c r="K45" s="3434" t="s">
        <v>2504</v>
      </c>
      <c r="L45" s="3434"/>
      <c r="M45" s="3434"/>
      <c r="N45" s="3434"/>
      <c r="O45" s="3434"/>
      <c r="P45" s="3434"/>
      <c r="Q45" s="1236"/>
    </row>
    <row r="46" spans="1:17" ht="14.25" customHeight="1">
      <c r="A46" s="3505" t="s">
        <v>1528</v>
      </c>
      <c r="B46" s="3506"/>
      <c r="C46" s="3506"/>
      <c r="D46" s="3506"/>
      <c r="E46" s="3506"/>
      <c r="F46" s="3506"/>
      <c r="G46" s="3507"/>
      <c r="H46" s="2897"/>
      <c r="I46" s="905"/>
      <c r="J46" s="2765"/>
      <c r="K46" s="2454">
        <v>1</v>
      </c>
      <c r="L46" s="3435" t="s">
        <v>2505</v>
      </c>
      <c r="M46" s="3435"/>
      <c r="N46" s="3436" t="str">
        <f>项目基本情况!B1</f>
        <v>北京市预评估</v>
      </c>
      <c r="O46" s="3436"/>
      <c r="P46" s="3436"/>
      <c r="Q46" s="1236"/>
    </row>
    <row r="47" spans="1:17" ht="12" customHeight="1">
      <c r="A47" s="38" t="s">
        <v>1530</v>
      </c>
      <c r="B47" s="39"/>
      <c r="C47" s="40"/>
      <c r="D47" s="1028" t="s">
        <v>1531</v>
      </c>
      <c r="E47" s="235" t="s">
        <v>1532</v>
      </c>
      <c r="F47" s="41" t="s">
        <v>1533</v>
      </c>
      <c r="G47" s="2482" t="s">
        <v>1534</v>
      </c>
      <c r="H47" s="2897"/>
      <c r="I47" s="905"/>
      <c r="J47" s="2765"/>
      <c r="K47" s="2454">
        <v>2</v>
      </c>
      <c r="L47" s="3435" t="s">
        <v>2506</v>
      </c>
      <c r="M47" s="3435"/>
      <c r="N47" s="3437">
        <f>'数据-取费表'!B2</f>
        <v>44763</v>
      </c>
      <c r="O47" s="3437"/>
      <c r="P47" s="3437"/>
      <c r="Q47" s="1236"/>
    </row>
    <row r="48" spans="1:17" ht="25.5">
      <c r="A48" s="3510" t="s">
        <v>1536</v>
      </c>
      <c r="B48" s="3444"/>
      <c r="C48" s="3444"/>
      <c r="D48" s="12">
        <f ca="1">IF(H48="情况1",0,IF(H48="情况2",D52,IF(H48="情况3",D53,IF(H48="情况4",D54))))</f>
        <v>26</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435" t="s">
        <v>2507</v>
      </c>
      <c r="M48" s="3435"/>
      <c r="N48" s="3436">
        <f ca="1">I102</f>
        <v>493</v>
      </c>
      <c r="O48" s="3436"/>
      <c r="P48" s="3436"/>
      <c r="Q48" s="1236"/>
    </row>
    <row r="49" spans="1:17" ht="25.5" customHeight="1">
      <c r="A49" s="2019" t="s">
        <v>1540</v>
      </c>
      <c r="B49" s="3483" t="s">
        <v>1541</v>
      </c>
      <c r="C49" s="3483"/>
      <c r="D49" s="2486">
        <v>0</v>
      </c>
      <c r="E49" s="261" t="s">
        <v>1542</v>
      </c>
      <c r="F49" s="2487" t="s">
        <v>48</v>
      </c>
      <c r="G49" s="3425"/>
      <c r="H49" s="2488" t="s">
        <v>2581</v>
      </c>
      <c r="I49" s="2489"/>
      <c r="J49" s="2773"/>
      <c r="K49" s="2454">
        <v>4</v>
      </c>
      <c r="L49" s="3435" t="str">
        <f>IF(项目基本情况!F5="房地产抵押价值","房地产抵押价值","抵押担保权已注销时的房地产抵押价值")</f>
        <v>抵押担保权已注销时的房地产抵押价值</v>
      </c>
      <c r="M49" s="3435"/>
      <c r="N49" s="3436" t="str">
        <f>IF(项目基本情况!F5="房地产抵押价值",I110,I112)</f>
        <v>——</v>
      </c>
      <c r="O49" s="3436"/>
      <c r="P49" s="3436"/>
      <c r="Q49" s="1236"/>
    </row>
    <row r="50" spans="1:17" ht="25.5" customHeight="1">
      <c r="A50" s="2009"/>
      <c r="B50" s="3483" t="s">
        <v>1543</v>
      </c>
      <c r="C50" s="3483"/>
      <c r="D50" s="2490"/>
      <c r="E50" s="269"/>
      <c r="F50" s="2487"/>
      <c r="G50" s="3426"/>
      <c r="H50" s="2491" t="s">
        <v>2500</v>
      </c>
      <c r="I50" s="2489"/>
      <c r="J50" s="2773"/>
      <c r="K50" s="3435" t="s">
        <v>2508</v>
      </c>
      <c r="L50" s="3435"/>
      <c r="M50" s="3435"/>
      <c r="N50" s="3435"/>
      <c r="O50" s="3435"/>
      <c r="P50" s="3435"/>
      <c r="Q50" s="1236"/>
    </row>
    <row r="51" spans="1:17" ht="20.45" customHeight="1">
      <c r="A51" s="2492"/>
      <c r="B51" s="3483" t="s">
        <v>1545</v>
      </c>
      <c r="C51" s="3483"/>
      <c r="D51" s="1028"/>
      <c r="E51" s="264"/>
      <c r="F51" s="2487"/>
      <c r="G51" s="3427"/>
      <c r="H51" s="2491" t="s">
        <v>2501</v>
      </c>
      <c r="I51" s="2489"/>
      <c r="J51" s="2773"/>
      <c r="K51" s="2455" t="s">
        <v>2509</v>
      </c>
      <c r="L51" s="3435" t="s">
        <v>2510</v>
      </c>
      <c r="M51" s="3435"/>
      <c r="N51" s="2455" t="s">
        <v>2511</v>
      </c>
      <c r="O51" s="2455" t="s">
        <v>2512</v>
      </c>
      <c r="P51" s="2455" t="s">
        <v>2513</v>
      </c>
      <c r="Q51" s="1236"/>
    </row>
    <row r="52" spans="1:17" ht="24" customHeight="1">
      <c r="A52" s="2010" t="s">
        <v>1551</v>
      </c>
      <c r="B52" s="3483" t="s">
        <v>1552</v>
      </c>
      <c r="C52" s="3483"/>
      <c r="D52" s="1028">
        <f ca="1">ROUND(D45*'数据-取费表'!E29/(1+'数据-取费表'!F30),0)</f>
        <v>26</v>
      </c>
      <c r="E52" s="2020" t="s">
        <v>1553</v>
      </c>
      <c r="F52" s="2493">
        <f>'数据-取费表'!E29</f>
        <v>5.6000000000000001E-2</v>
      </c>
      <c r="G52" s="2494"/>
      <c r="H52" s="905"/>
      <c r="I52" s="2898"/>
      <c r="J52" s="2773"/>
      <c r="K52" s="2454">
        <v>1</v>
      </c>
      <c r="L52" s="3424" t="s">
        <v>2514</v>
      </c>
      <c r="M52" s="3424"/>
      <c r="N52" s="2456">
        <f ca="1">D48</f>
        <v>26</v>
      </c>
      <c r="O52" s="2454" t="str">
        <f>E48</f>
        <v>销售额×税（费）率</v>
      </c>
      <c r="P52" s="2457">
        <f>F48</f>
        <v>5.6000000000000001E-2</v>
      </c>
      <c r="Q52" s="1236"/>
    </row>
    <row r="53" spans="1:17" ht="12" customHeight="1">
      <c r="A53" s="2010" t="s">
        <v>1555</v>
      </c>
      <c r="B53" s="3495" t="s">
        <v>2592</v>
      </c>
      <c r="C53" s="3484"/>
      <c r="D53" s="1028">
        <f ca="1">ROUND(D45*'数据-取费表'!E29/(1+'数据-取费表'!F30),0)</f>
        <v>26</v>
      </c>
      <c r="E53" s="2020" t="s">
        <v>1553</v>
      </c>
      <c r="F53" s="2493">
        <f>'数据-取费表'!E29</f>
        <v>5.6000000000000001E-2</v>
      </c>
      <c r="G53" s="2494"/>
      <c r="H53" s="905"/>
      <c r="I53" s="2898"/>
      <c r="J53" s="2773"/>
      <c r="K53" s="2454">
        <v>2</v>
      </c>
      <c r="L53" s="3424" t="s">
        <v>2515</v>
      </c>
      <c r="M53" s="3424"/>
      <c r="N53" s="2456">
        <f t="shared" ref="N53:P54" si="1">D55</f>
        <v>0</v>
      </c>
      <c r="O53" s="2454" t="str">
        <f t="shared" si="1"/>
        <v>销售额×税（费）率</v>
      </c>
      <c r="P53" s="2457" t="str">
        <f t="shared" si="1"/>
        <v>免征</v>
      </c>
      <c r="Q53" s="1236"/>
    </row>
    <row r="54" spans="1:17" ht="12" customHeight="1">
      <c r="A54" s="2010" t="s">
        <v>1557</v>
      </c>
      <c r="B54" s="3495" t="s">
        <v>2593</v>
      </c>
      <c r="C54" s="3484"/>
      <c r="D54" s="1028">
        <f ca="1">C68</f>
        <v>26</v>
      </c>
      <c r="E54" s="264" t="s">
        <v>1558</v>
      </c>
      <c r="F54" s="2493">
        <f>'数据-取费表'!E29</f>
        <v>5.6000000000000001E-2</v>
      </c>
      <c r="G54" s="2494"/>
      <c r="H54" s="2899"/>
      <c r="I54" s="2898"/>
      <c r="J54" s="2773"/>
      <c r="K54" s="2454">
        <v>3</v>
      </c>
      <c r="L54" s="3424" t="s">
        <v>2516</v>
      </c>
      <c r="M54" s="3424"/>
      <c r="N54" s="2456">
        <f t="shared" si="1"/>
        <v>0</v>
      </c>
      <c r="O54" s="2454" t="str">
        <f t="shared" si="1"/>
        <v>增值额×税（费）率</v>
      </c>
      <c r="P54" s="2458" t="str">
        <f t="shared" si="1"/>
        <v>免征</v>
      </c>
      <c r="Q54" s="1236"/>
    </row>
    <row r="55" spans="1:17" ht="24" customHeight="1">
      <c r="A55" s="3448" t="s">
        <v>1560</v>
      </c>
      <c r="B55" s="3444"/>
      <c r="C55" s="3444"/>
      <c r="D55" s="12">
        <f>IF(H55="个人住宅",0,ROUND(D45*I55,0))</f>
        <v>0</v>
      </c>
      <c r="E55" s="2020" t="s">
        <v>1561</v>
      </c>
      <c r="F55" s="2493" t="str">
        <f>IF(H55="正常",I55,"免征")</f>
        <v>免征</v>
      </c>
      <c r="G55" s="2494"/>
      <c r="H55" s="2485" t="s">
        <v>2497</v>
      </c>
      <c r="I55" s="74">
        <f>'数据-取费表'!E37</f>
        <v>5.0000000000000001E-4</v>
      </c>
      <c r="J55" s="2773"/>
      <c r="K55" s="2454" t="str">
        <f>IF(H59="非个人房产","",4)</f>
        <v/>
      </c>
      <c r="L55" s="3424" t="str">
        <f>IF(H59="非个人房产","——","个人所得税")</f>
        <v>——</v>
      </c>
      <c r="M55" s="3424"/>
      <c r="N55" s="2459" t="str">
        <f>D59</f>
        <v>——</v>
      </c>
      <c r="O55" s="2460" t="str">
        <f>E59</f>
        <v>——</v>
      </c>
      <c r="P55" s="2461" t="str">
        <f>F59</f>
        <v>——</v>
      </c>
      <c r="Q55" s="1236"/>
    </row>
    <row r="56" spans="1:17" ht="24.75">
      <c r="A56" s="3448" t="s">
        <v>1563</v>
      </c>
      <c r="B56" s="3444"/>
      <c r="C56" s="3444"/>
      <c r="D56" s="12">
        <f>IF(H56="个人住宅",D57,D58)</f>
        <v>0</v>
      </c>
      <c r="E56" s="2020" t="s">
        <v>1564</v>
      </c>
      <c r="F56" s="2493" t="str">
        <f>IF(H56="正常",F58,"免征")</f>
        <v>免征</v>
      </c>
      <c r="G56" s="2495" t="s">
        <v>1565</v>
      </c>
      <c r="H56" s="2496" t="s">
        <v>2497</v>
      </c>
      <c r="I56" s="2900"/>
      <c r="J56" s="2773"/>
      <c r="K56" s="2454" t="str">
        <f>IF(项目基本情况!I6="上海银行",IF(K55="",4,K55+1),"")</f>
        <v/>
      </c>
      <c r="L56" s="3422" t="str">
        <f>IF(项目基本情况!I6="上海银行","其他处置费用","")</f>
        <v/>
      </c>
      <c r="M56" s="3442"/>
      <c r="N56" s="2456" t="str">
        <f>IF(项目基本情况!I6="上海银行",N69,"")</f>
        <v/>
      </c>
      <c r="O56" s="3422" t="str">
        <f>IF(项目基本情况!I6="上海银行","包含处置中涉及的律师、诉讼、拍卖、评估等费用","")</f>
        <v/>
      </c>
      <c r="P56" s="3423"/>
      <c r="Q56" s="1236"/>
    </row>
    <row r="57" spans="1:17" ht="12.75">
      <c r="A57" s="2010" t="s">
        <v>1540</v>
      </c>
      <c r="B57" s="3495" t="s">
        <v>1566</v>
      </c>
      <c r="C57" s="3484"/>
      <c r="D57" s="2486">
        <v>0</v>
      </c>
      <c r="E57" s="261" t="s">
        <v>1542</v>
      </c>
      <c r="F57" s="235"/>
      <c r="G57" s="2494"/>
      <c r="H57" s="2900"/>
      <c r="I57" s="2900"/>
      <c r="J57" s="2773"/>
      <c r="K57" s="3424">
        <f>IF(AND(K55="",K56=""),4,IF(项目基本情况!I6="上海银行",K56+1,K55+1))</f>
        <v>4</v>
      </c>
      <c r="L57" s="3424" t="s">
        <v>2517</v>
      </c>
      <c r="M57" s="2462" t="s">
        <v>2518</v>
      </c>
      <c r="N57" s="2463"/>
      <c r="O57" s="2464">
        <f ca="1">SUMIF(N52:N56,"&lt;9e307")</f>
        <v>26</v>
      </c>
      <c r="P57" s="2465"/>
      <c r="Q57" s="1234" t="e">
        <f ca="1">O57/N49</f>
        <v>#VALUE!</v>
      </c>
    </row>
    <row r="58" spans="1:17" ht="24.75">
      <c r="A58" s="2010" t="s">
        <v>1551</v>
      </c>
      <c r="B58" s="3495" t="s">
        <v>1569</v>
      </c>
      <c r="C58" s="3483"/>
      <c r="D58" s="12">
        <f ca="1">IF(H58="转让取得",C81,C97)</f>
        <v>279</v>
      </c>
      <c r="E58" s="2020" t="s">
        <v>1564</v>
      </c>
      <c r="F58" s="235" t="s">
        <v>48</v>
      </c>
      <c r="G58" s="2494"/>
      <c r="H58" s="2496" t="s">
        <v>1570</v>
      </c>
      <c r="I58" s="2900"/>
      <c r="J58" s="2773"/>
      <c r="K58" s="3424"/>
      <c r="L58" s="3424"/>
      <c r="M58" s="2462" t="s">
        <v>2519</v>
      </c>
      <c r="N58" s="2466"/>
      <c r="O58" s="2467" t="str">
        <f ca="1">IF(H19="元",NUMBERSTRING(INT(O57),2)&amp;"元整",NUMBERSTRING(INT(O57*10000),2)&amp;"元整")</f>
        <v>贰拾陆万元整</v>
      </c>
      <c r="P58" s="2468"/>
      <c r="Q58" s="1236"/>
    </row>
    <row r="59" spans="1:17" ht="24.75" thickBot="1">
      <c r="A59" s="3511" t="s">
        <v>1572</v>
      </c>
      <c r="B59" s="3512"/>
      <c r="C59" s="3512"/>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2572</v>
      </c>
      <c r="H59" s="2024" t="s">
        <v>2582</v>
      </c>
      <c r="I59" s="2802" t="s">
        <v>2583</v>
      </c>
      <c r="J59" s="2773"/>
      <c r="K59" s="3477">
        <f>K57+1</f>
        <v>5</v>
      </c>
      <c r="L59" s="3424" t="s">
        <v>2520</v>
      </c>
      <c r="M59" s="2454" t="s">
        <v>2518</v>
      </c>
      <c r="N59" s="2469"/>
      <c r="O59" s="2470" t="e">
        <f ca="1">N49-O57</f>
        <v>#VALUE!</v>
      </c>
      <c r="P59" s="2471"/>
      <c r="Q59" s="1236"/>
    </row>
    <row r="60" spans="1:17" ht="12" customHeight="1">
      <c r="A60" s="1385"/>
      <c r="B60" s="1389"/>
      <c r="C60" s="1389"/>
      <c r="D60" s="1389"/>
      <c r="E60" s="770"/>
      <c r="F60" s="2901"/>
      <c r="G60" s="2901"/>
      <c r="H60" s="2902"/>
      <c r="I60" s="31"/>
      <c r="K60" s="3478"/>
      <c r="L60" s="3424"/>
      <c r="M60" s="2462" t="s">
        <v>2519</v>
      </c>
      <c r="N60" s="2466"/>
      <c r="O60" s="2467" t="e">
        <f ca="1">IF(H19="元",NUMBERSTRING(INT(O59),2)&amp;"元整",NUMBERSTRING(INT(O59*10000),2)&amp;"元整")</f>
        <v>#VALUE!</v>
      </c>
      <c r="P60" s="2468"/>
      <c r="Q60" s="1236"/>
    </row>
    <row r="61" spans="1:17" ht="13.5" thickBot="1">
      <c r="A61" s="3513" t="s">
        <v>1574</v>
      </c>
      <c r="B61" s="3513"/>
      <c r="C61" s="3513"/>
      <c r="D61" s="3513"/>
      <c r="E61" s="3513"/>
      <c r="F61" s="2901"/>
      <c r="G61" s="2901"/>
      <c r="H61" s="2903"/>
      <c r="I61" s="31"/>
      <c r="K61" s="2454">
        <f>K59+1</f>
        <v>6</v>
      </c>
      <c r="L61" s="3424" t="s">
        <v>2521</v>
      </c>
      <c r="M61" s="3424"/>
      <c r="N61" s="2472"/>
      <c r="O61" s="2473" t="e">
        <f ca="1">IF(H19="元",ROUND(O59/项目基本情况!C12,0),ROUND(O59*10000/项目基本情况!C12,0))</f>
        <v>#VALUE!</v>
      </c>
      <c r="P61" s="2474"/>
      <c r="Q61" s="1236"/>
    </row>
    <row r="62" spans="1:17" ht="12.75">
      <c r="A62" s="3462" t="s">
        <v>1576</v>
      </c>
      <c r="B62" s="3463"/>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470</v>
      </c>
      <c r="D63" s="47"/>
      <c r="E63" s="48"/>
      <c r="F63" s="2901"/>
      <c r="G63" s="2901"/>
      <c r="H63" s="2903"/>
      <c r="I63" s="31"/>
      <c r="K63" s="3443" t="s">
        <v>2522</v>
      </c>
      <c r="L63" s="2476" t="s">
        <v>2523</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493</v>
      </c>
      <c r="D64" s="50" t="s">
        <v>41</v>
      </c>
      <c r="E64" s="52"/>
      <c r="F64" s="2901"/>
      <c r="G64" s="2901"/>
      <c r="H64" s="2903"/>
      <c r="I64" s="31"/>
      <c r="K64" s="3443"/>
      <c r="L64" s="2476" t="s">
        <v>2524</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2525</v>
      </c>
      <c r="P64" s="2475"/>
      <c r="Q64" s="1236"/>
    </row>
    <row r="65" spans="1:36" ht="12.75">
      <c r="A65" s="49" t="s">
        <v>72</v>
      </c>
      <c r="B65" s="50" t="s">
        <v>1585</v>
      </c>
      <c r="C65" s="2706"/>
      <c r="D65" s="50"/>
      <c r="E65" s="52"/>
      <c r="F65" s="2901"/>
      <c r="G65" s="2901"/>
      <c r="H65" s="2903"/>
      <c r="I65" s="31"/>
      <c r="K65" s="3443"/>
      <c r="L65" s="2476" t="s">
        <v>2526</v>
      </c>
      <c r="M65" s="2476" t="e">
        <f>IF(N49&gt;1000,N49*0.1%,IF(AND(N49&gt;500,N49&lt;=1000),N49*0.5%,IF(AND(N49&gt;50,N49&lt;=500),N49*1%,IF(AND(N49&gt;1,N49&lt;=50),N49*1.5%))))</f>
        <v>#VALUE!</v>
      </c>
      <c r="N65" s="2477" t="e">
        <f t="shared" si="2"/>
        <v>#VALUE!</v>
      </c>
      <c r="O65" s="2475" t="s">
        <v>2525</v>
      </c>
      <c r="P65" s="2475"/>
      <c r="Q65" s="1236"/>
    </row>
    <row r="66" spans="1:36" ht="12.75">
      <c r="A66" s="53" t="s">
        <v>47</v>
      </c>
      <c r="B66" s="54" t="s">
        <v>1587</v>
      </c>
      <c r="C66" s="2707"/>
      <c r="D66" s="54" t="s">
        <v>41</v>
      </c>
      <c r="E66" s="1244" t="s">
        <v>1588</v>
      </c>
      <c r="F66" s="2901"/>
      <c r="G66" s="2901"/>
      <c r="H66" s="2903"/>
      <c r="I66" s="31"/>
      <c r="K66" s="3443"/>
      <c r="L66" s="2476" t="s">
        <v>2527</v>
      </c>
      <c r="M66" s="2476" t="e">
        <f>N49*0.5%</f>
        <v>#VALUE!</v>
      </c>
      <c r="N66" s="2477" t="e">
        <f>IF(M66&gt;0.5,0.5,ROUND(M66,0))</f>
        <v>#VALUE!</v>
      </c>
      <c r="O66" s="2475" t="s">
        <v>2528</v>
      </c>
      <c r="P66" s="2475"/>
      <c r="Q66" s="1236"/>
    </row>
    <row r="67" spans="1:36" ht="12.75">
      <c r="A67" s="53" t="s">
        <v>42</v>
      </c>
      <c r="B67" s="54" t="s">
        <v>1591</v>
      </c>
      <c r="C67" s="2708">
        <f ca="1">C63-C66</f>
        <v>470</v>
      </c>
      <c r="D67" s="50" t="s">
        <v>41</v>
      </c>
      <c r="E67" s="52"/>
      <c r="F67" s="2901"/>
      <c r="G67" s="2901"/>
      <c r="H67" s="2903"/>
      <c r="I67" s="31"/>
      <c r="K67" s="3443"/>
      <c r="L67" s="2476" t="s">
        <v>2529</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26</v>
      </c>
      <c r="D68" s="2170">
        <f>'数据-取费表'!E29</f>
        <v>5.6000000000000001E-2</v>
      </c>
      <c r="E68" s="57"/>
      <c r="F68" s="2901"/>
      <c r="G68" s="2901"/>
      <c r="H68" s="2903"/>
      <c r="I68" s="31"/>
      <c r="K68" s="3443"/>
      <c r="L68" s="2476" t="s">
        <v>2530</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43"/>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64" t="s">
        <v>1596</v>
      </c>
      <c r="B70" s="3465"/>
      <c r="C70" s="3465"/>
      <c r="D70" s="3465"/>
      <c r="E70" s="3465"/>
      <c r="F70" s="3465"/>
      <c r="G70" s="3465"/>
      <c r="H70" s="3465"/>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62" t="s">
        <v>1576</v>
      </c>
      <c r="B71" s="3463"/>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470</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3</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95" t="s">
        <v>1606</v>
      </c>
      <c r="F76" s="3483"/>
      <c r="G76" s="3483"/>
      <c r="H76" s="3496"/>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3</v>
      </c>
      <c r="D78" s="2717">
        <f>'数据-取费表'!E31</f>
        <v>6.000000000000001E-3</v>
      </c>
      <c r="E78" s="3431" t="s">
        <v>1611</v>
      </c>
      <c r="F78" s="3432"/>
      <c r="G78" s="3432"/>
      <c r="H78" s="3452"/>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467</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155.66666666666666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279</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64" t="s">
        <v>1615</v>
      </c>
      <c r="B83" s="3465"/>
      <c r="C83" s="3465"/>
      <c r="D83" s="3465"/>
      <c r="E83" s="3465"/>
      <c r="F83" s="3465"/>
      <c r="G83" s="3465"/>
      <c r="H83" s="3465"/>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62" t="s">
        <v>1576</v>
      </c>
      <c r="B84" s="3463"/>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470</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3</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2576</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71" t="s">
        <v>2492</v>
      </c>
      <c r="H90" s="3471"/>
      <c r="I90" s="9"/>
      <c r="J90" s="2776"/>
      <c r="K90" s="2892" t="s">
        <v>2577</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31" t="s">
        <v>1623</v>
      </c>
      <c r="F91" s="3432"/>
      <c r="G91" s="3432"/>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31" t="s">
        <v>1626</v>
      </c>
      <c r="F92" s="3432"/>
      <c r="G92" s="3432"/>
      <c r="H92" s="3452"/>
      <c r="I92" s="9"/>
      <c r="J92" s="2776"/>
      <c r="K92" s="2893" t="s">
        <v>2578</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3</v>
      </c>
      <c r="D93" s="2717">
        <f>'数据-取费表'!E31</f>
        <v>6.000000000000001E-3</v>
      </c>
      <c r="E93" s="3431" t="s">
        <v>1611</v>
      </c>
      <c r="F93" s="3432"/>
      <c r="G93" s="3432"/>
      <c r="H93" s="3452"/>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31" t="s">
        <v>1628</v>
      </c>
      <c r="F94" s="3432"/>
      <c r="G94" s="3432"/>
      <c r="H94" s="3452"/>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467</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155.66666666666666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279</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9" t="s">
        <v>1630</v>
      </c>
      <c r="B99" s="3450"/>
      <c r="C99" s="3450"/>
      <c r="D99" s="3451"/>
      <c r="E99" s="1389"/>
      <c r="F99" s="3459" t="s">
        <v>1631</v>
      </c>
      <c r="G99" s="3460"/>
      <c r="H99" s="3460"/>
      <c r="I99" s="3461"/>
      <c r="J99" s="2779"/>
    </row>
    <row r="100" spans="1:36" ht="15">
      <c r="A100" s="3466" t="s">
        <v>1632</v>
      </c>
      <c r="B100" s="3467"/>
      <c r="C100" s="1235" t="str">
        <f>C4</f>
        <v>比较法-办公</v>
      </c>
      <c r="D100" s="2727" t="str">
        <f>D4</f>
        <v>收益法</v>
      </c>
      <c r="E100" s="1389"/>
      <c r="F100" s="3468" t="s">
        <v>2536</v>
      </c>
      <c r="G100" s="3470"/>
      <c r="H100" s="3468" t="s">
        <v>2537</v>
      </c>
      <c r="I100" s="3469"/>
      <c r="J100" s="2780"/>
    </row>
    <row r="101" spans="1:36" ht="12.75">
      <c r="A101" s="3485" t="s">
        <v>2569</v>
      </c>
      <c r="B101" s="2235" t="str">
        <f>IF(H19="元","总价（元）","总价（万元）")</f>
        <v>总价（万元）</v>
      </c>
      <c r="C101" s="1235">
        <f ca="1">C19</f>
        <v>510</v>
      </c>
      <c r="D101" s="2727">
        <f ca="1">D19</f>
        <v>475</v>
      </c>
      <c r="E101" s="1389"/>
      <c r="F101" s="3468" t="str">
        <f>项目基本情况!I1</f>
        <v>北京市房地产</v>
      </c>
      <c r="G101" s="3470"/>
      <c r="H101" s="3472">
        <f>项目基本情况!C12</f>
        <v>182.31</v>
      </c>
      <c r="I101" s="3469"/>
      <c r="J101" s="2780"/>
    </row>
    <row r="102" spans="1:36" ht="12.75">
      <c r="A102" s="3485"/>
      <c r="B102" s="2235" t="s">
        <v>2570</v>
      </c>
      <c r="C102" s="2728">
        <f ca="1">C20</f>
        <v>27972</v>
      </c>
      <c r="D102" s="2729">
        <f ca="1">D20</f>
        <v>26059</v>
      </c>
      <c r="E102" s="1389"/>
      <c r="F102" s="3455" t="s">
        <v>2566</v>
      </c>
      <c r="G102" s="3456"/>
      <c r="H102" s="2737" t="str">
        <f>C106</f>
        <v>总价（万元）</v>
      </c>
      <c r="I102" s="2738">
        <f ca="1">H121</f>
        <v>493</v>
      </c>
      <c r="J102" s="2780"/>
    </row>
    <row r="103" spans="1:36" ht="12.75">
      <c r="A103" s="3485" t="s">
        <v>2571</v>
      </c>
      <c r="B103" s="2173" t="str">
        <f>B101</f>
        <v>总价（万元）</v>
      </c>
      <c r="C103" s="2732">
        <f ca="1">H121</f>
        <v>493</v>
      </c>
      <c r="D103" s="2730"/>
      <c r="E103" s="1389"/>
      <c r="F103" s="3455"/>
      <c r="G103" s="3456"/>
      <c r="H103" s="2737" t="s">
        <v>2539</v>
      </c>
      <c r="I103" s="52">
        <f ca="1">I121</f>
        <v>27016</v>
      </c>
      <c r="J103" s="2764"/>
    </row>
    <row r="104" spans="1:36" ht="13.5" thickBot="1">
      <c r="A104" s="3486"/>
      <c r="B104" s="2734" t="s">
        <v>2570</v>
      </c>
      <c r="C104" s="2735">
        <f ca="1">I121</f>
        <v>27016</v>
      </c>
      <c r="D104" s="2736"/>
      <c r="E104" s="1389"/>
      <c r="F104" s="3455"/>
      <c r="G104" s="3456"/>
      <c r="H104" s="3487"/>
      <c r="I104" s="3488"/>
      <c r="J104" s="2781"/>
    </row>
    <row r="105" spans="1:36" ht="15">
      <c r="A105" s="3449" t="s">
        <v>1633</v>
      </c>
      <c r="B105" s="3450"/>
      <c r="C105" s="3450"/>
      <c r="D105" s="3451"/>
      <c r="E105" s="1389"/>
      <c r="F105" s="3491" t="s">
        <v>2540</v>
      </c>
      <c r="G105" s="3492"/>
      <c r="H105" s="2739" t="str">
        <f>C108</f>
        <v>总额（万元）</v>
      </c>
      <c r="I105" s="2738">
        <f>SUMIF(I106:I108,"&lt;9E307")</f>
        <v>0</v>
      </c>
      <c r="J105" s="2780"/>
    </row>
    <row r="106" spans="1:36" ht="14.25">
      <c r="A106" s="3455" t="s">
        <v>2563</v>
      </c>
      <c r="B106" s="3456"/>
      <c r="C106" s="2737" t="str">
        <f>B101</f>
        <v>总价（万元）</v>
      </c>
      <c r="D106" s="2738">
        <f ca="1">H121</f>
        <v>493</v>
      </c>
      <c r="E106" s="1389"/>
      <c r="F106" s="3457" t="s">
        <v>2541</v>
      </c>
      <c r="G106" s="3458"/>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55"/>
      <c r="B107" s="3456"/>
      <c r="C107" s="2737" t="s">
        <v>2564</v>
      </c>
      <c r="D107" s="52">
        <f ca="1">I121</f>
        <v>27016</v>
      </c>
      <c r="E107" s="1389"/>
      <c r="F107" s="3457" t="s">
        <v>2542</v>
      </c>
      <c r="G107" s="3458"/>
      <c r="H107" s="2739" t="str">
        <f>C110</f>
        <v>总额（万元）</v>
      </c>
      <c r="I107" s="52">
        <f>C37</f>
        <v>0</v>
      </c>
      <c r="J107" s="2764"/>
    </row>
    <row r="108" spans="1:36" ht="12.75">
      <c r="A108" s="3526" t="s">
        <v>2540</v>
      </c>
      <c r="B108" s="3527"/>
      <c r="C108" s="2739" t="str">
        <f>IF(H19="元","总额（元）","总额（万元）")</f>
        <v>总额（万元）</v>
      </c>
      <c r="D108" s="2738">
        <f>IF(D36="正常操作",I106+I107+I108,I107+I108)</f>
        <v>0</v>
      </c>
      <c r="E108" s="1389"/>
      <c r="F108" s="3457" t="s">
        <v>2567</v>
      </c>
      <c r="G108" s="3458"/>
      <c r="H108" s="2739" t="str">
        <f>C111</f>
        <v>总额（万元）</v>
      </c>
      <c r="I108" s="52">
        <f>C38</f>
        <v>0</v>
      </c>
      <c r="J108" s="2764"/>
    </row>
    <row r="109" spans="1:36" ht="12.75">
      <c r="A109" s="3457" t="s">
        <v>2541</v>
      </c>
      <c r="B109" s="3458"/>
      <c r="C109" s="2739" t="str">
        <f>C108</f>
        <v>总额（万元）</v>
      </c>
      <c r="D109" s="52">
        <f>IF(D36="同一抵押权人同一抵押物续贷",C36&amp;"（未扣减，详见特别提示）",C36)</f>
        <v>0</v>
      </c>
      <c r="E109" s="1389"/>
      <c r="F109" s="3455"/>
      <c r="G109" s="3456"/>
      <c r="H109" s="3489"/>
      <c r="I109" s="3490"/>
      <c r="J109" s="2782"/>
    </row>
    <row r="110" spans="1:36" ht="28.5" customHeight="1">
      <c r="A110" s="3457" t="s">
        <v>2565</v>
      </c>
      <c r="B110" s="3458"/>
      <c r="C110" s="2739" t="str">
        <f>C108</f>
        <v>总额（万元）</v>
      </c>
      <c r="D110" s="52">
        <f>C37</f>
        <v>0</v>
      </c>
      <c r="E110" s="1389"/>
      <c r="F110" s="3438" t="str">
        <f>IF(项目基本情况!F5="已注销","——","3.房地产抵押价值")</f>
        <v>3.房地产抵押价值</v>
      </c>
      <c r="G110" s="3439"/>
      <c r="H110" s="2725" t="str">
        <f>C112</f>
        <v>总价（万元）</v>
      </c>
      <c r="I110" s="2738">
        <f ca="1">IF(F110="——","——",I102-I105)</f>
        <v>493</v>
      </c>
      <c r="J110" s="2780"/>
    </row>
    <row r="111" spans="1:36" ht="12.75">
      <c r="A111" s="3457" t="s">
        <v>2544</v>
      </c>
      <c r="B111" s="3458"/>
      <c r="C111" s="2739" t="str">
        <f>C108</f>
        <v>总额（万元）</v>
      </c>
      <c r="D111" s="52">
        <f>C38</f>
        <v>0</v>
      </c>
      <c r="E111" s="1389"/>
      <c r="F111" s="3440"/>
      <c r="G111" s="3441"/>
      <c r="H111" s="2737" t="s">
        <v>2539</v>
      </c>
      <c r="I111" s="2741">
        <f ca="1">D113</f>
        <v>27016</v>
      </c>
      <c r="J111" s="2783"/>
    </row>
    <row r="112" spans="1:36" ht="26.25" customHeight="1">
      <c r="A112" s="3455" t="str">
        <f>IF(项目基本情况!F5="已注销","——","3.房地产抵押价值")</f>
        <v>3.房地产抵押价值</v>
      </c>
      <c r="B112" s="3456"/>
      <c r="C112" s="2737" t="str">
        <f>B101</f>
        <v>总价（万元）</v>
      </c>
      <c r="D112" s="2738">
        <f ca="1">IF(A112="——","——",D106-D108)</f>
        <v>493</v>
      </c>
      <c r="E112" s="1389"/>
      <c r="F112" s="3438" t="str">
        <f>IF(项目基本情况!F5="已注销及未注销","4.抵押担保权已注销时的房地产抵押价值",IF(项目基本情况!F5="已注销","3.抵押担保权已注销时的房地产抵押价值","——"))</f>
        <v>——</v>
      </c>
      <c r="G112" s="3439"/>
      <c r="H112" s="2725" t="str">
        <f>C114</f>
        <v>总价（万元）</v>
      </c>
      <c r="I112" s="2738" t="str">
        <f>IF(F112="——","——",I102-I107-I108)</f>
        <v>——</v>
      </c>
      <c r="J112" s="2780"/>
    </row>
    <row r="113" spans="1:16" ht="12.75">
      <c r="A113" s="3455"/>
      <c r="B113" s="3456"/>
      <c r="C113" s="2737" t="s">
        <v>2532</v>
      </c>
      <c r="D113" s="52">
        <f ca="1">ROUND(IF(D112=D106,D107,IF(H19="元",D112/项目基本情况!C12,D112*10000/项目基本情况!C12)),0)</f>
        <v>27016</v>
      </c>
      <c r="E113" s="1389"/>
      <c r="F113" s="3440"/>
      <c r="G113" s="3441"/>
      <c r="H113" s="2737" t="s">
        <v>2568</v>
      </c>
      <c r="I113" s="52" t="str">
        <f>D115</f>
        <v>——</v>
      </c>
      <c r="J113" s="2764"/>
    </row>
    <row r="114" spans="1:16" ht="12.75">
      <c r="A114" s="3455" t="str">
        <f>IF(项目基本情况!F5="已注销及未注销","4.抵押担保权已注销时的房地产抵押价值",IF(项目基本情况!F5="已注销","3.抵押担保权已注销时的房地产抵押价值","——"))</f>
        <v>——</v>
      </c>
      <c r="B114" s="3456"/>
      <c r="C114" s="2737" t="str">
        <f>B101</f>
        <v>总价（万元）</v>
      </c>
      <c r="D114" s="2738" t="str">
        <f>IF(A114="——","——",D106-D110-D111)</f>
        <v>——</v>
      </c>
      <c r="E114" s="1389"/>
      <c r="F114" s="3438" t="str">
        <f>IF(项目基本情况!G5="抵押净值",IF(OR(项目基本情况!F5="已注销",项目基本情况!F5="房地产抵押价值"),"4.抵押净值","5.抵押净值"),"——")</f>
        <v>——</v>
      </c>
      <c r="G114" s="3439"/>
      <c r="H114" s="2737" t="str">
        <f>C116</f>
        <v>总价（万元）</v>
      </c>
      <c r="I114" s="2738" t="str">
        <f>IF(F114="——","——",O59)</f>
        <v>——</v>
      </c>
      <c r="J114" s="2780"/>
    </row>
    <row r="115" spans="1:16" ht="13.5" thickBot="1">
      <c r="A115" s="3455"/>
      <c r="B115" s="3456"/>
      <c r="C115" s="2737" t="s">
        <v>2532</v>
      </c>
      <c r="D115" s="52" t="str">
        <f>IF(A114="——","——",ROUND(IF(D114=D106,D107,IF(H19="元",D114/项目基本情况!C12,D114*10000/项目基本情况!C12)),0))</f>
        <v>——</v>
      </c>
      <c r="E115" s="1389"/>
      <c r="F115" s="3518"/>
      <c r="G115" s="3519"/>
      <c r="H115" s="2742" t="s">
        <v>2532</v>
      </c>
      <c r="I115" s="2726" t="str">
        <f ca="1">D117</f>
        <v>——</v>
      </c>
      <c r="J115" s="2764"/>
    </row>
    <row r="116" spans="1:16" ht="15.75">
      <c r="A116" s="3455" t="str">
        <f>IF(项目基本情况!G5="抵押净值",IF(OR(项目基本情况!F5="已注销",项目基本情况!F5="房地产抵押价值"),"4.抵押净值","5.抵押净值"),"——")</f>
        <v>——</v>
      </c>
      <c r="B116" s="3456"/>
      <c r="C116" s="2737" t="str">
        <f>B101</f>
        <v>总价（万元）</v>
      </c>
      <c r="D116" s="2738" t="str">
        <f>IF(A116="——","——",O59)</f>
        <v>——</v>
      </c>
      <c r="E116" s="1389"/>
      <c r="F116" s="3433"/>
      <c r="G116" s="3433"/>
      <c r="H116" s="3474"/>
      <c r="I116" s="3474"/>
      <c r="J116" s="2784"/>
      <c r="O116" s="32"/>
      <c r="P116" s="32"/>
    </row>
    <row r="117" spans="1:16" ht="13.5" thickBot="1">
      <c r="A117" s="3524"/>
      <c r="B117" s="3525"/>
      <c r="C117" s="2742" t="s">
        <v>2532</v>
      </c>
      <c r="D117" s="2726" t="str">
        <f ca="1">IF(D116=D112,D113,IF(A116="——","——",O61))</f>
        <v>——</v>
      </c>
      <c r="E117" s="1389"/>
      <c r="F117" s="3517" t="str">
        <f>IF(B32="总价","（以上估价结果中单价为总价除以建筑面积得出）","（以上估价结果中总价为楼面单价乘以建筑面积得出）")</f>
        <v>（以上估价结果中总价为楼面单价乘以建筑面积得出）</v>
      </c>
      <c r="G117" s="3517"/>
      <c r="H117" s="3517"/>
      <c r="I117" s="3517"/>
      <c r="J117" s="2785"/>
      <c r="O117" s="32"/>
      <c r="P117" s="32"/>
    </row>
    <row r="118" spans="1:16" ht="15">
      <c r="A118" s="3475" t="s">
        <v>1634</v>
      </c>
      <c r="B118" s="3476"/>
      <c r="C118" s="3476"/>
      <c r="D118" s="3476"/>
      <c r="E118" s="3476"/>
      <c r="F118" s="3476"/>
      <c r="G118" s="3476"/>
      <c r="H118" s="3476"/>
      <c r="I118" s="3476"/>
      <c r="J118" s="2786"/>
    </row>
    <row r="119" spans="1:16" ht="12.75">
      <c r="A119" s="3448" t="s">
        <v>2550</v>
      </c>
      <c r="B119" s="3446" t="s">
        <v>2560</v>
      </c>
      <c r="C119" s="3446" t="s">
        <v>2561</v>
      </c>
      <c r="D119" s="3453" t="s">
        <v>2552</v>
      </c>
      <c r="E119" s="3454"/>
      <c r="F119" s="3444" t="s">
        <v>2562</v>
      </c>
      <c r="G119" s="3444"/>
      <c r="H119" s="3444" t="s">
        <v>2553</v>
      </c>
      <c r="I119" s="3445"/>
      <c r="J119" s="2764"/>
    </row>
    <row r="120" spans="1:16" ht="12.75">
      <c r="A120" s="3448"/>
      <c r="B120" s="3447"/>
      <c r="C120" s="3447"/>
      <c r="D120" s="2020" t="s">
        <v>2554</v>
      </c>
      <c r="E120" s="2020" t="s">
        <v>2559</v>
      </c>
      <c r="F120" s="2020" t="s">
        <v>2554</v>
      </c>
      <c r="G120" s="2020" t="s">
        <v>2555</v>
      </c>
      <c r="H120" s="2020" t="s">
        <v>2554</v>
      </c>
      <c r="I120" s="52" t="s">
        <v>2555</v>
      </c>
      <c r="J120" s="2764"/>
    </row>
    <row r="121" spans="1:16" ht="12.75">
      <c r="A121" s="2010" t="str">
        <f>项目基本情况!I1</f>
        <v>北京市房地产</v>
      </c>
      <c r="B121" s="2020">
        <f>项目基本情况!C12</f>
        <v>182.31</v>
      </c>
      <c r="C121" s="2020">
        <f>项目基本情况!C13</f>
        <v>0</v>
      </c>
      <c r="D121" s="2020">
        <f ca="1">ROUND(IF(B32="总价",C34,IF('数据-取费表'!B3="万元",E121*B121/10000,E121*B121)),0)</f>
        <v>418</v>
      </c>
      <c r="E121" s="2020">
        <f ca="1">ROUND(IF(B32="楼面单价",C34,IF(H19="元",D121/B121,D121*10000/B121)),0)</f>
        <v>22910</v>
      </c>
      <c r="F121" s="2020">
        <f ca="1">ROUND(IF(B32="总价",C35,IF('数据-取费表'!B3="万元",G121*B121/10000,G121*B121)),0)</f>
        <v>75</v>
      </c>
      <c r="G121" s="2020">
        <f ca="1">ROUND(IF(B32="楼面单价",C35,IF(H19="元",F121/B121,F121*10000/B121)),0)</f>
        <v>4106</v>
      </c>
      <c r="H121" s="2020">
        <f ca="1">ROUND(IF(B32="总价",C32,IF('数据-取费表'!B3="万元",I121*B121/10000,I121*B121)),0)</f>
        <v>493</v>
      </c>
      <c r="I121" s="52">
        <f ca="1">ROUND(IF(B32="楼面单价",C32,IF(H19="元",H121/B121,H121*10000/B121)),0)</f>
        <v>27016</v>
      </c>
      <c r="J121" s="2764"/>
    </row>
    <row r="122" spans="1:16" ht="12.75">
      <c r="A122" s="3448" t="s">
        <v>2556</v>
      </c>
      <c r="B122" s="3444"/>
      <c r="C122" s="3444"/>
      <c r="D122" s="3479" t="str">
        <f ca="1">IF(H19="元",NUMBERSTRING(INT(D121),2)&amp;"元整",NUMBERSTRING(INT(D121*10000),2)&amp;"元整")</f>
        <v>肆佰壹拾捌万元整</v>
      </c>
      <c r="E122" s="3480"/>
      <c r="F122" s="3479" t="str">
        <f ca="1">IF(H19="元",NUMBERSTRING(INT(F121),2)&amp;"元整",NUMBERSTRING(INT(F121*10000),2)&amp;"元整")</f>
        <v>柒拾伍万元整</v>
      </c>
      <c r="G122" s="3480"/>
      <c r="H122" s="3479" t="str">
        <f ca="1">IF(H19="元",NUMBERSTRING(INT(H121),2)&amp;"元整",NUMBERSTRING(INT(H121*10000),2)&amp;"元整")</f>
        <v>肆佰玖拾叁万元整</v>
      </c>
      <c r="I122" s="3528"/>
      <c r="J122" s="2787"/>
    </row>
    <row r="123" spans="1:16" ht="12.75">
      <c r="A123" s="3468" t="str">
        <f>IF(项目基本情况!D5="房地产市场价值","——",MID(A108,3,LEN(A108)-2))</f>
        <v>估价师所知悉的法定优先受偿款</v>
      </c>
      <c r="B123" s="3481"/>
      <c r="C123" s="3470"/>
      <c r="D123" s="3472">
        <f>I105</f>
        <v>0</v>
      </c>
      <c r="E123" s="3481"/>
      <c r="F123" s="3481"/>
      <c r="G123" s="3481"/>
      <c r="H123" s="3481"/>
      <c r="I123" s="3469"/>
      <c r="J123" s="2780"/>
    </row>
    <row r="124" spans="1:16" ht="12.75">
      <c r="A124" s="3482" t="s">
        <v>2556</v>
      </c>
      <c r="B124" s="3483"/>
      <c r="C124" s="3484"/>
      <c r="D124" s="3520">
        <f>H109</f>
        <v>0</v>
      </c>
      <c r="E124" s="3521"/>
      <c r="F124" s="3521"/>
      <c r="G124" s="3521"/>
      <c r="H124" s="3521"/>
      <c r="I124" s="3522"/>
      <c r="J124" s="2788"/>
    </row>
    <row r="125" spans="1:16" ht="12.75">
      <c r="A125" s="3455" t="str">
        <f>IF(项目基本情况!D5="房地产市场价值","——",MID(A112,3,LEN(A112)-2))</f>
        <v>房地产抵押价值</v>
      </c>
      <c r="B125" s="3456"/>
      <c r="C125" s="3456"/>
      <c r="D125" s="3472">
        <f ca="1">I110</f>
        <v>493</v>
      </c>
      <c r="E125" s="3481"/>
      <c r="F125" s="3481"/>
      <c r="G125" s="3481"/>
      <c r="H125" s="3481"/>
      <c r="I125" s="3469"/>
      <c r="J125" s="2780"/>
    </row>
    <row r="126" spans="1:16" ht="12.75">
      <c r="A126" s="3448" t="s">
        <v>2556</v>
      </c>
      <c r="B126" s="3444"/>
      <c r="C126" s="3444"/>
      <c r="D126" s="3520">
        <f ca="1">I111</f>
        <v>27016</v>
      </c>
      <c r="E126" s="3521"/>
      <c r="F126" s="3521"/>
      <c r="G126" s="3521"/>
      <c r="H126" s="3521"/>
      <c r="I126" s="3522"/>
      <c r="J126" s="2788"/>
    </row>
    <row r="127" spans="1:16" ht="13.5" thickBot="1">
      <c r="A127" s="3455" t="str">
        <f>IF(项目基本情况!D5="房地产市场价值","——",MID(A114,3,LEN(A114)-2))</f>
        <v/>
      </c>
      <c r="B127" s="3456"/>
      <c r="C127" s="3456"/>
      <c r="D127" s="3428" t="str">
        <f>I112</f>
        <v>——</v>
      </c>
      <c r="E127" s="3429"/>
      <c r="F127" s="3429"/>
      <c r="G127" s="3429"/>
      <c r="H127" s="3429"/>
      <c r="I127" s="3430"/>
      <c r="J127" s="2780"/>
    </row>
    <row r="128" spans="1:16" ht="14.25" thickTop="1" thickBot="1">
      <c r="A128" s="3448" t="s">
        <v>2556</v>
      </c>
      <c r="B128" s="3444"/>
      <c r="C128" s="3495"/>
      <c r="D128" s="3473" t="str">
        <f>I113</f>
        <v>——</v>
      </c>
      <c r="E128" s="3473"/>
      <c r="F128" s="3473"/>
      <c r="G128" s="3473"/>
      <c r="H128" s="3473"/>
      <c r="I128" s="3473"/>
      <c r="J128" s="2788"/>
    </row>
    <row r="129" spans="1:10" ht="14.25" thickTop="1" thickBot="1">
      <c r="A129" s="3455" t="str">
        <f>IF(项目基本情况!D5="房地产市场价值","——",MID(F114,3,LEN(F114)-2))</f>
        <v/>
      </c>
      <c r="B129" s="3456"/>
      <c r="C129" s="3472"/>
      <c r="D129" s="3523" t="str">
        <f>I114</f>
        <v>——</v>
      </c>
      <c r="E129" s="3523"/>
      <c r="F129" s="3523"/>
      <c r="G129" s="3523"/>
      <c r="H129" s="3523"/>
      <c r="I129" s="3523"/>
      <c r="J129" s="2780"/>
    </row>
    <row r="130" spans="1:10" ht="14.25" thickTop="1" thickBot="1">
      <c r="A130" s="3511" t="s">
        <v>2556</v>
      </c>
      <c r="B130" s="3512"/>
      <c r="C130" s="3512"/>
      <c r="D130" s="3529">
        <f>H116</f>
        <v>0</v>
      </c>
      <c r="E130" s="3530"/>
      <c r="F130" s="3530"/>
      <c r="G130" s="3530"/>
      <c r="H130" s="3530"/>
      <c r="I130" s="3531"/>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16" t="str">
        <f>IF(B32="总价","（以上估价结果中楼面单价为总价除以建筑面积得出）","（以上估价结果中总价为楼面单价乘以建筑面积得出）")</f>
        <v>（以上估价结果中总价为楼面单价乘以建筑面积得出）</v>
      </c>
      <c r="B132" s="3516"/>
      <c r="C132" s="3516"/>
      <c r="D132" s="3516"/>
      <c r="E132" s="3516"/>
      <c r="F132" s="3516"/>
      <c r="G132" s="3516"/>
      <c r="H132" s="3516"/>
      <c r="I132" s="3516"/>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8" t="s">
        <v>1643</v>
      </c>
      <c r="B2" s="3538"/>
      <c r="C2" s="3538"/>
      <c r="D2" s="3538"/>
      <c r="E2" s="3538"/>
      <c r="F2" s="3538"/>
      <c r="G2" s="3538"/>
      <c r="H2" s="3538"/>
      <c r="I2" s="3538"/>
      <c r="J2" s="2793"/>
    </row>
    <row r="3" spans="1:15" ht="12.75">
      <c r="A3" s="3498" t="s">
        <v>1471</v>
      </c>
      <c r="B3" s="3499"/>
      <c r="C3" s="3499"/>
      <c r="D3" s="3499"/>
      <c r="E3" s="3499"/>
      <c r="F3" s="3499"/>
      <c r="G3" s="3499"/>
      <c r="H3" s="3499"/>
      <c r="I3" s="3499"/>
      <c r="J3" s="2763"/>
    </row>
    <row r="4" spans="1:15" ht="14.25">
      <c r="A4" s="2631" t="s">
        <v>1472</v>
      </c>
      <c r="B4" s="2631" t="s">
        <v>1473</v>
      </c>
      <c r="C4" s="2632"/>
      <c r="D4" s="2632"/>
      <c r="E4" s="3495" t="s">
        <v>1644</v>
      </c>
      <c r="F4" s="3483"/>
      <c r="G4" s="3483"/>
      <c r="H4" s="3483"/>
      <c r="I4" s="3484"/>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94" t="s">
        <v>1475</v>
      </c>
      <c r="B5" s="3494">
        <v>25</v>
      </c>
      <c r="C5" s="3500"/>
      <c r="D5" s="3497"/>
      <c r="E5" s="12" t="s">
        <v>1476</v>
      </c>
      <c r="F5" s="2017"/>
      <c r="G5" s="2017"/>
      <c r="H5" s="2017"/>
      <c r="I5" s="2012"/>
      <c r="J5" s="2764"/>
    </row>
    <row r="6" spans="1:15" ht="12.75">
      <c r="A6" s="3494"/>
      <c r="B6" s="3494"/>
      <c r="C6" s="3501"/>
      <c r="D6" s="3497"/>
      <c r="E6" s="12" t="s">
        <v>1477</v>
      </c>
      <c r="F6" s="2017"/>
      <c r="G6" s="2017"/>
      <c r="H6" s="2017"/>
      <c r="I6" s="2012"/>
      <c r="J6" s="2764"/>
    </row>
    <row r="7" spans="1:15" ht="12.75">
      <c r="A7" s="3494"/>
      <c r="B7" s="3494"/>
      <c r="C7" s="3502"/>
      <c r="D7" s="3497"/>
      <c r="E7" s="12" t="s">
        <v>1478</v>
      </c>
      <c r="F7" s="2017"/>
      <c r="G7" s="2017"/>
      <c r="H7" s="2017"/>
      <c r="I7" s="2012"/>
      <c r="J7" s="2764"/>
    </row>
    <row r="8" spans="1:15" ht="12.75">
      <c r="A8" s="3494" t="s">
        <v>1479</v>
      </c>
      <c r="B8" s="3494">
        <v>15</v>
      </c>
      <c r="C8" s="3500"/>
      <c r="D8" s="3497"/>
      <c r="E8" s="12" t="s">
        <v>1480</v>
      </c>
      <c r="F8" s="2017"/>
      <c r="G8" s="2017"/>
      <c r="H8" s="2017"/>
      <c r="I8" s="2012"/>
      <c r="J8" s="2764"/>
    </row>
    <row r="9" spans="1:15" ht="12.75">
      <c r="A9" s="3494"/>
      <c r="B9" s="3494"/>
      <c r="C9" s="3502"/>
      <c r="D9" s="3497"/>
      <c r="E9" s="12" t="s">
        <v>1481</v>
      </c>
      <c r="F9" s="2017"/>
      <c r="G9" s="2017"/>
      <c r="H9" s="2017"/>
      <c r="I9" s="2012"/>
      <c r="J9" s="2764"/>
    </row>
    <row r="10" spans="1:15" ht="12.75">
      <c r="A10" s="3494" t="s">
        <v>1482</v>
      </c>
      <c r="B10" s="3494">
        <v>15</v>
      </c>
      <c r="C10" s="3500"/>
      <c r="D10" s="3497"/>
      <c r="E10" s="12" t="s">
        <v>1483</v>
      </c>
      <c r="F10" s="2017"/>
      <c r="G10" s="2017"/>
      <c r="H10" s="2017"/>
      <c r="I10" s="2012"/>
      <c r="J10" s="2764"/>
    </row>
    <row r="11" spans="1:15" ht="12.75">
      <c r="A11" s="3494"/>
      <c r="B11" s="3494"/>
      <c r="C11" s="3502"/>
      <c r="D11" s="3497"/>
      <c r="E11" s="12" t="s">
        <v>1484</v>
      </c>
      <c r="F11" s="2017"/>
      <c r="G11" s="2017"/>
      <c r="H11" s="2017"/>
      <c r="I11" s="2012"/>
      <c r="J11" s="2764"/>
    </row>
    <row r="12" spans="1:15" ht="12.75">
      <c r="A12" s="3494" t="s">
        <v>1485</v>
      </c>
      <c r="B12" s="3494">
        <v>15</v>
      </c>
      <c r="C12" s="3500"/>
      <c r="D12" s="3497"/>
      <c r="E12" s="12" t="s">
        <v>1486</v>
      </c>
      <c r="F12" s="2017"/>
      <c r="G12" s="2017"/>
      <c r="H12" s="2017"/>
      <c r="I12" s="2012"/>
      <c r="J12" s="2764"/>
    </row>
    <row r="13" spans="1:15" ht="12.75">
      <c r="A13" s="3494"/>
      <c r="B13" s="3494"/>
      <c r="C13" s="3502"/>
      <c r="D13" s="3497"/>
      <c r="E13" s="12" t="s">
        <v>1487</v>
      </c>
      <c r="F13" s="2017"/>
      <c r="G13" s="2017"/>
      <c r="H13" s="2017"/>
      <c r="I13" s="2012"/>
      <c r="J13" s="2764"/>
    </row>
    <row r="14" spans="1:15" ht="12.75">
      <c r="A14" s="3494" t="s">
        <v>1488</v>
      </c>
      <c r="B14" s="3494">
        <v>30</v>
      </c>
      <c r="C14" s="3500"/>
      <c r="D14" s="3497"/>
      <c r="E14" s="12" t="s">
        <v>1489</v>
      </c>
      <c r="F14" s="2017"/>
      <c r="G14" s="2017"/>
      <c r="H14" s="2017"/>
      <c r="I14" s="2012"/>
      <c r="J14" s="2764"/>
    </row>
    <row r="15" spans="1:15" ht="12.75">
      <c r="A15" s="3494"/>
      <c r="B15" s="3494"/>
      <c r="C15" s="3501"/>
      <c r="D15" s="3497"/>
      <c r="E15" s="12" t="s">
        <v>1490</v>
      </c>
      <c r="F15" s="2017"/>
      <c r="G15" s="2017"/>
      <c r="H15" s="2017"/>
      <c r="I15" s="2012"/>
      <c r="J15" s="2764"/>
    </row>
    <row r="16" spans="1:15" ht="12.75">
      <c r="A16" s="3494"/>
      <c r="B16" s="3494"/>
      <c r="C16" s="3502"/>
      <c r="D16" s="3497"/>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14" t="s">
        <v>2575</v>
      </c>
      <c r="F18" s="3515"/>
      <c r="G18" s="3515"/>
      <c r="H18" s="3515"/>
      <c r="I18" s="3515"/>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03" t="s">
        <v>1500</v>
      </c>
      <c r="B24" s="2639" t="s">
        <v>1495</v>
      </c>
      <c r="C24" s="2642">
        <f>D30</f>
        <v>0</v>
      </c>
      <c r="D24" s="2594"/>
      <c r="E24" s="905"/>
      <c r="F24" s="905"/>
      <c r="G24" s="905"/>
      <c r="H24" s="905"/>
      <c r="I24" s="905"/>
      <c r="J24" s="2765"/>
    </row>
    <row r="25" spans="1:36" ht="21.75" customHeight="1">
      <c r="A25" s="3504"/>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2579</v>
      </c>
      <c r="F30" s="2481"/>
      <c r="G30" s="2481"/>
      <c r="H30" s="2481"/>
      <c r="I30" s="2481"/>
      <c r="J30" s="2765"/>
    </row>
    <row r="31" spans="1:36" s="2758" customFormat="1" ht="27.6"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60" t="s">
        <v>1647</v>
      </c>
      <c r="B32" s="3560"/>
      <c r="C32" s="3560"/>
      <c r="D32" s="3560"/>
      <c r="E32" s="3560"/>
      <c r="F32" s="3560"/>
      <c r="G32" s="3560"/>
      <c r="H32" s="3560"/>
      <c r="I32" s="3560"/>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503" t="s">
        <v>1656</v>
      </c>
      <c r="B38" s="1396" t="s">
        <v>1657</v>
      </c>
      <c r="C38" s="2675"/>
      <c r="D38" s="2676"/>
      <c r="E38" s="1608"/>
      <c r="F38" s="1608"/>
      <c r="G38" s="905"/>
      <c r="H38" s="905"/>
      <c r="I38" s="905"/>
      <c r="J38" s="2765"/>
    </row>
    <row r="39" spans="1:16" ht="15.75" thickBot="1">
      <c r="A39" s="3508"/>
      <c r="B39" s="2022" t="s">
        <v>1658</v>
      </c>
      <c r="C39" s="2677"/>
      <c r="D39" s="1239"/>
      <c r="E39" s="1239"/>
      <c r="F39" s="1608"/>
      <c r="G39" s="1239"/>
      <c r="H39" s="1239"/>
      <c r="I39" s="1239"/>
      <c r="J39" s="2769"/>
    </row>
    <row r="40" spans="1:16" ht="15.75" thickBot="1">
      <c r="A40" s="3509"/>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2574</v>
      </c>
      <c r="J46" s="2795"/>
      <c r="K46" s="1403" t="s">
        <v>1523</v>
      </c>
      <c r="L46" s="1404"/>
      <c r="M46" s="1404"/>
      <c r="N46" s="1404"/>
      <c r="O46" s="1404"/>
      <c r="P46" s="1404"/>
    </row>
    <row r="47" spans="1:16" ht="14.25" customHeight="1" thickBot="1">
      <c r="A47" s="3428" t="s">
        <v>1669</v>
      </c>
      <c r="B47" s="3429"/>
      <c r="C47" s="3439"/>
      <c r="D47" s="246">
        <f>ROUND(I104*F47,0)</f>
        <v>0</v>
      </c>
      <c r="E47" s="1470" t="s">
        <v>1670</v>
      </c>
      <c r="F47" s="2479">
        <v>1</v>
      </c>
      <c r="G47" s="2480" t="s">
        <v>1671</v>
      </c>
      <c r="H47" s="905"/>
      <c r="I47" s="905"/>
      <c r="J47" s="2765"/>
      <c r="K47" s="3533" t="s">
        <v>1527</v>
      </c>
      <c r="L47" s="3533"/>
      <c r="M47" s="3533"/>
      <c r="N47" s="3533"/>
      <c r="O47" s="3533"/>
      <c r="P47" s="3533"/>
    </row>
    <row r="48" spans="1:16" ht="14.25" customHeight="1">
      <c r="A48" s="3505" t="s">
        <v>1528</v>
      </c>
      <c r="B48" s="3506"/>
      <c r="C48" s="3506"/>
      <c r="D48" s="3506"/>
      <c r="E48" s="3506"/>
      <c r="F48" s="3506"/>
      <c r="G48" s="3507"/>
      <c r="H48" s="2897"/>
      <c r="I48" s="905"/>
      <c r="J48" s="2765"/>
      <c r="K48" s="2431">
        <v>1</v>
      </c>
      <c r="L48" s="3534" t="s">
        <v>1529</v>
      </c>
      <c r="M48" s="3534"/>
      <c r="N48" s="3535"/>
      <c r="O48" s="3535"/>
      <c r="P48" s="3535"/>
    </row>
    <row r="49" spans="1:17" ht="12" customHeight="1">
      <c r="A49" s="38" t="s">
        <v>1530</v>
      </c>
      <c r="B49" s="39"/>
      <c r="C49" s="40"/>
      <c r="D49" s="1028" t="s">
        <v>1531</v>
      </c>
      <c r="E49" s="235" t="s">
        <v>1532</v>
      </c>
      <c r="F49" s="41" t="s">
        <v>1533</v>
      </c>
      <c r="G49" s="2482" t="s">
        <v>1534</v>
      </c>
      <c r="H49" s="2897"/>
      <c r="I49" s="905"/>
      <c r="J49" s="2765"/>
      <c r="K49" s="2431">
        <v>2</v>
      </c>
      <c r="L49" s="3534" t="s">
        <v>1535</v>
      </c>
      <c r="M49" s="3534"/>
      <c r="N49" s="3537">
        <f>'数据-取费表'!B2</f>
        <v>44763</v>
      </c>
      <c r="O49" s="3537"/>
      <c r="P49" s="3537"/>
    </row>
    <row r="50" spans="1:17" ht="25.5">
      <c r="A50" s="3510" t="s">
        <v>1536</v>
      </c>
      <c r="B50" s="3444"/>
      <c r="C50" s="3444"/>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34" t="s">
        <v>1539</v>
      </c>
      <c r="M50" s="3534"/>
      <c r="N50" s="3539">
        <f>I104</f>
        <v>0</v>
      </c>
      <c r="O50" s="3539"/>
      <c r="P50" s="3539"/>
    </row>
    <row r="51" spans="1:17" ht="25.5" customHeight="1">
      <c r="A51" s="2019" t="s">
        <v>1540</v>
      </c>
      <c r="B51" s="3483" t="s">
        <v>1541</v>
      </c>
      <c r="C51" s="3483"/>
      <c r="D51" s="2486">
        <v>0</v>
      </c>
      <c r="E51" s="261" t="s">
        <v>1542</v>
      </c>
      <c r="F51" s="2487" t="s">
        <v>48</v>
      </c>
      <c r="G51" s="3425"/>
      <c r="H51" s="2488" t="s">
        <v>2499</v>
      </c>
      <c r="I51" s="2489"/>
      <c r="J51" s="2773"/>
      <c r="K51" s="2431">
        <v>4</v>
      </c>
      <c r="L51" s="3534" t="str">
        <f>IF(项目基本情况!F5="房地产抵押价值","房地产抵押价值","抵押担保权已注销时的房地产抵押价值")</f>
        <v>抵押担保权已注销时的房地产抵押价值</v>
      </c>
      <c r="M51" s="3534"/>
      <c r="N51" s="3539" t="str">
        <f>IF(项目基本情况!F5="房地产抵押价值",I112,I114)</f>
        <v>——</v>
      </c>
      <c r="O51" s="3539"/>
      <c r="P51" s="3539"/>
    </row>
    <row r="52" spans="1:17" ht="25.5" customHeight="1">
      <c r="A52" s="2009"/>
      <c r="B52" s="3483" t="s">
        <v>1543</v>
      </c>
      <c r="C52" s="3483"/>
      <c r="D52" s="2490"/>
      <c r="E52" s="269"/>
      <c r="F52" s="2487"/>
      <c r="G52" s="3426"/>
      <c r="H52" s="2491" t="s">
        <v>2500</v>
      </c>
      <c r="I52" s="2489"/>
      <c r="J52" s="2773"/>
      <c r="K52" s="3534" t="s">
        <v>1544</v>
      </c>
      <c r="L52" s="3534"/>
      <c r="M52" s="3534"/>
      <c r="N52" s="3534"/>
      <c r="O52" s="3534"/>
      <c r="P52" s="3534"/>
    </row>
    <row r="53" spans="1:17" ht="20.45" customHeight="1">
      <c r="A53" s="2492"/>
      <c r="B53" s="3483" t="s">
        <v>1545</v>
      </c>
      <c r="C53" s="3483"/>
      <c r="D53" s="1028"/>
      <c r="E53" s="264"/>
      <c r="F53" s="2487"/>
      <c r="G53" s="3427"/>
      <c r="H53" s="2491" t="s">
        <v>2501</v>
      </c>
      <c r="I53" s="2489"/>
      <c r="J53" s="2773"/>
      <c r="K53" s="2432" t="s">
        <v>1546</v>
      </c>
      <c r="L53" s="3534" t="s">
        <v>1547</v>
      </c>
      <c r="M53" s="3534"/>
      <c r="N53" s="2432" t="s">
        <v>1548</v>
      </c>
      <c r="O53" s="2432" t="s">
        <v>1549</v>
      </c>
      <c r="P53" s="2432" t="s">
        <v>1550</v>
      </c>
    </row>
    <row r="54" spans="1:17" ht="24" customHeight="1">
      <c r="A54" s="2010" t="s">
        <v>1551</v>
      </c>
      <c r="B54" s="3483" t="s">
        <v>1552</v>
      </c>
      <c r="C54" s="3483"/>
      <c r="D54" s="1028">
        <f>ROUND(D47*'数据-取费表'!E29/(1+'数据-取费表'!F30),0)</f>
        <v>0</v>
      </c>
      <c r="E54" s="2020" t="s">
        <v>1553</v>
      </c>
      <c r="F54" s="2493">
        <f>'数据-取费表'!E29</f>
        <v>5.6000000000000001E-2</v>
      </c>
      <c r="G54" s="2494"/>
      <c r="H54" s="905"/>
      <c r="I54" s="2898"/>
      <c r="J54" s="2773"/>
      <c r="K54" s="2431">
        <v>1</v>
      </c>
      <c r="L54" s="3536" t="s">
        <v>1554</v>
      </c>
      <c r="M54" s="3536"/>
      <c r="N54" s="2433">
        <f>D50</f>
        <v>0</v>
      </c>
      <c r="O54" s="2431" t="str">
        <f>E50</f>
        <v>销售额×税（费）率</v>
      </c>
      <c r="P54" s="2434">
        <f>F50</f>
        <v>5.6000000000000001E-2</v>
      </c>
    </row>
    <row r="55" spans="1:17" ht="12" customHeight="1">
      <c r="A55" s="2010" t="s">
        <v>1555</v>
      </c>
      <c r="B55" s="3495" t="s">
        <v>2592</v>
      </c>
      <c r="C55" s="3484"/>
      <c r="D55" s="1028">
        <f>ROUND(D47*'数据-取费表'!E29/(1+'数据-取费表'!F30),0)</f>
        <v>0</v>
      </c>
      <c r="E55" s="2020" t="s">
        <v>1553</v>
      </c>
      <c r="F55" s="2493">
        <f>'数据-取费表'!E29</f>
        <v>5.6000000000000001E-2</v>
      </c>
      <c r="G55" s="2494"/>
      <c r="H55" s="905"/>
      <c r="I55" s="2898"/>
      <c r="J55" s="2773"/>
      <c r="K55" s="2431">
        <v>2</v>
      </c>
      <c r="L55" s="3536" t="s">
        <v>1556</v>
      </c>
      <c r="M55" s="3536"/>
      <c r="N55" s="2433">
        <f t="shared" ref="N55:P56" si="1">D57</f>
        <v>0</v>
      </c>
      <c r="O55" s="2431" t="str">
        <f t="shared" si="1"/>
        <v>销售额×税（费）率</v>
      </c>
      <c r="P55" s="2434">
        <f t="shared" si="1"/>
        <v>5.0000000000000001E-4</v>
      </c>
    </row>
    <row r="56" spans="1:17" ht="12" customHeight="1">
      <c r="A56" s="2010" t="s">
        <v>1557</v>
      </c>
      <c r="B56" s="3495" t="s">
        <v>2593</v>
      </c>
      <c r="C56" s="3484"/>
      <c r="D56" s="1028">
        <f>C70</f>
        <v>0</v>
      </c>
      <c r="E56" s="264" t="s">
        <v>1558</v>
      </c>
      <c r="F56" s="2493">
        <f>'数据-取费表'!E29</f>
        <v>5.6000000000000001E-2</v>
      </c>
      <c r="G56" s="2494"/>
      <c r="H56" s="2899"/>
      <c r="I56" s="2898"/>
      <c r="J56" s="2773"/>
      <c r="K56" s="2431">
        <v>3</v>
      </c>
      <c r="L56" s="3536" t="s">
        <v>1559</v>
      </c>
      <c r="M56" s="3536"/>
      <c r="N56" s="2433">
        <f t="shared" si="1"/>
        <v>0</v>
      </c>
      <c r="O56" s="2431" t="str">
        <f t="shared" si="1"/>
        <v>增值额×税（费）率</v>
      </c>
      <c r="P56" s="2435" t="str">
        <f t="shared" si="1"/>
        <v>——</v>
      </c>
    </row>
    <row r="57" spans="1:17" ht="24" customHeight="1">
      <c r="A57" s="3448" t="s">
        <v>1560</v>
      </c>
      <c r="B57" s="3444"/>
      <c r="C57" s="3444"/>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36" t="str">
        <f>IF(H61="非个人房产","——","个人所得税")</f>
        <v>个人所得税</v>
      </c>
      <c r="M57" s="3536"/>
      <c r="N57" s="2436">
        <f>D61</f>
        <v>0</v>
      </c>
      <c r="O57" s="2437" t="str">
        <f>E61</f>
        <v>销售额×税（费）率</v>
      </c>
      <c r="P57" s="2438">
        <f>F61</f>
        <v>0.01</v>
      </c>
    </row>
    <row r="58" spans="1:17" ht="24.75">
      <c r="A58" s="3448" t="s">
        <v>1563</v>
      </c>
      <c r="B58" s="3444"/>
      <c r="C58" s="3444"/>
      <c r="D58" s="12">
        <f>IF(H58="个人住宅",D59,D60)</f>
        <v>0</v>
      </c>
      <c r="E58" s="2020" t="s">
        <v>1564</v>
      </c>
      <c r="F58" s="2493" t="str">
        <f>IF(H58="正常",F60,"免征")</f>
        <v>——</v>
      </c>
      <c r="G58" s="2495" t="s">
        <v>1565</v>
      </c>
      <c r="H58" s="2496" t="s">
        <v>1562</v>
      </c>
      <c r="I58" s="2900"/>
      <c r="J58" s="2773"/>
      <c r="K58" s="2431" t="str">
        <f>IF(项目基本情况!I6="上海银行",IF(K57="",4,K57+1),"")</f>
        <v/>
      </c>
      <c r="L58" s="3540" t="str">
        <f>IF(项目基本情况!I6="上海银行","其他处置费用","")</f>
        <v/>
      </c>
      <c r="M58" s="3545"/>
      <c r="N58" s="2433" t="str">
        <f>IF(项目基本情况!I6="上海银行",N71,"")</f>
        <v/>
      </c>
      <c r="O58" s="3540" t="str">
        <f>IF(项目基本情况!I6="上海银行","包含处置中涉及的律师、诉讼、拍卖、评估等费用","")</f>
        <v/>
      </c>
      <c r="P58" s="3541"/>
    </row>
    <row r="59" spans="1:17" ht="12.75">
      <c r="A59" s="2010" t="s">
        <v>1540</v>
      </c>
      <c r="B59" s="3495" t="s">
        <v>1566</v>
      </c>
      <c r="C59" s="3484"/>
      <c r="D59" s="2486">
        <v>0</v>
      </c>
      <c r="E59" s="261" t="s">
        <v>1542</v>
      </c>
      <c r="F59" s="235"/>
      <c r="G59" s="2494"/>
      <c r="H59" s="2900"/>
      <c r="I59" s="2900"/>
      <c r="J59" s="2773"/>
      <c r="K59" s="3536">
        <f>IF(AND(K57="",K58=""),4,IF(项目基本情况!I6="上海银行",K58+1,K57+1))</f>
        <v>5</v>
      </c>
      <c r="L59" s="3536" t="s">
        <v>1567</v>
      </c>
      <c r="M59" s="2439" t="s">
        <v>1568</v>
      </c>
      <c r="N59" s="2440"/>
      <c r="O59" s="2441">
        <f>SUMIF(N54:N58,"&lt;9e307")</f>
        <v>0</v>
      </c>
      <c r="P59" s="2442"/>
      <c r="Q59" s="1234" t="e">
        <f>O59/N51</f>
        <v>#VALUE!</v>
      </c>
    </row>
    <row r="60" spans="1:17" ht="24.75">
      <c r="A60" s="2010" t="s">
        <v>1551</v>
      </c>
      <c r="B60" s="3495" t="s">
        <v>1569</v>
      </c>
      <c r="C60" s="3483"/>
      <c r="D60" s="12">
        <f>IF(H60="转让取得",C83,C99)</f>
        <v>0</v>
      </c>
      <c r="E60" s="2020" t="s">
        <v>1564</v>
      </c>
      <c r="F60" s="235" t="s">
        <v>48</v>
      </c>
      <c r="G60" s="2494"/>
      <c r="H60" s="2496" t="s">
        <v>1570</v>
      </c>
      <c r="I60" s="2900"/>
      <c r="J60" s="2773"/>
      <c r="K60" s="3536"/>
      <c r="L60" s="3536"/>
      <c r="M60" s="2439" t="s">
        <v>1571</v>
      </c>
      <c r="N60" s="2443"/>
      <c r="O60" s="2444" t="str">
        <f>IF(H19="元",NUMBERSTRING(INT(O59),2)&amp;"元整",NUMBERSTRING(INT(O59*10000),2)&amp;"元整")</f>
        <v>零元整</v>
      </c>
      <c r="P60" s="2445"/>
    </row>
    <row r="61" spans="1:17" ht="26.25" thickBot="1">
      <c r="A61" s="3511" t="s">
        <v>1572</v>
      </c>
      <c r="B61" s="3512"/>
      <c r="C61" s="3512"/>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2572</v>
      </c>
      <c r="H61" s="2024" t="s">
        <v>2498</v>
      </c>
      <c r="I61" s="2801" t="s">
        <v>2584</v>
      </c>
      <c r="J61" s="2773"/>
      <c r="K61" s="3542">
        <f>K59+1</f>
        <v>6</v>
      </c>
      <c r="L61" s="3536" t="s">
        <v>1573</v>
      </c>
      <c r="M61" s="2431" t="s">
        <v>1568</v>
      </c>
      <c r="N61" s="2446"/>
      <c r="O61" s="2447" t="e">
        <f>N51-O59</f>
        <v>#VALUE!</v>
      </c>
      <c r="P61" s="2448"/>
    </row>
    <row r="62" spans="1:17" ht="12" customHeight="1">
      <c r="A62" s="1385"/>
      <c r="B62" s="2481"/>
      <c r="C62" s="2481"/>
      <c r="D62" s="2481"/>
      <c r="E62" s="1385"/>
      <c r="F62" s="2900"/>
      <c r="G62" s="2900"/>
      <c r="H62" s="2895"/>
      <c r="I62" s="905"/>
      <c r="J62" s="2773"/>
      <c r="K62" s="3543"/>
      <c r="L62" s="3536"/>
      <c r="M62" s="2439" t="s">
        <v>1571</v>
      </c>
      <c r="N62" s="2443"/>
      <c r="O62" s="2444" t="e">
        <f>IF(H19="元",NUMBERSTRING(INT(O61),2)&amp;"元整",NUMBERSTRING(INT(O61*10000),2)&amp;"元整")</f>
        <v>#VALUE!</v>
      </c>
      <c r="P62" s="2445"/>
    </row>
    <row r="63" spans="1:17" ht="13.5" thickBot="1">
      <c r="A63" s="3544" t="s">
        <v>1574</v>
      </c>
      <c r="B63" s="3544"/>
      <c r="C63" s="3544"/>
      <c r="D63" s="3544"/>
      <c r="E63" s="3544"/>
      <c r="F63" s="2900"/>
      <c r="G63" s="2900"/>
      <c r="H63" s="2895"/>
      <c r="I63" s="905"/>
      <c r="J63" s="2765"/>
      <c r="K63" s="2431">
        <f>K61+1</f>
        <v>7</v>
      </c>
      <c r="L63" s="3536" t="s">
        <v>1575</v>
      </c>
      <c r="M63" s="3536"/>
      <c r="N63" s="2449"/>
      <c r="O63" s="2450" t="e">
        <f>IF(H19="元",ROUND(O61/项目基本情况!C12,0),ROUND(O61*10000/项目基本情况!C12,0))</f>
        <v>#VALUE!</v>
      </c>
      <c r="P63" s="2451"/>
    </row>
    <row r="64" spans="1:17" ht="12.75">
      <c r="A64" s="3462" t="s">
        <v>1576</v>
      </c>
      <c r="B64" s="3463"/>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32"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32"/>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32"/>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32"/>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32"/>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32"/>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32"/>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9" t="s">
        <v>1596</v>
      </c>
      <c r="B72" s="3550"/>
      <c r="C72" s="3550"/>
      <c r="D72" s="3550"/>
      <c r="E72" s="3550"/>
      <c r="F72" s="3550"/>
      <c r="G72" s="3550"/>
      <c r="H72" s="3550"/>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62" t="s">
        <v>1576</v>
      </c>
      <c r="B73" s="3463"/>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95" t="s">
        <v>1606</v>
      </c>
      <c r="F78" s="3483"/>
      <c r="G78" s="3483"/>
      <c r="H78" s="3496"/>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31" t="s">
        <v>1611</v>
      </c>
      <c r="F80" s="3432"/>
      <c r="G80" s="3432"/>
      <c r="H80" s="3452"/>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9" t="s">
        <v>1615</v>
      </c>
      <c r="B85" s="3550"/>
      <c r="C85" s="3550"/>
      <c r="D85" s="3550"/>
      <c r="E85" s="3550"/>
      <c r="F85" s="3550"/>
      <c r="G85" s="3550"/>
      <c r="H85" s="3550"/>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62" t="s">
        <v>1576</v>
      </c>
      <c r="B86" s="3463"/>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2576</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71" t="s">
        <v>2493</v>
      </c>
      <c r="H92" s="3551"/>
      <c r="I92" s="608"/>
      <c r="J92" s="2797"/>
      <c r="K92" s="2892" t="s">
        <v>2577</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31" t="s">
        <v>1623</v>
      </c>
      <c r="F93" s="3432"/>
      <c r="G93" s="3432"/>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31" t="s">
        <v>1626</v>
      </c>
      <c r="F94" s="3432"/>
      <c r="G94" s="3432"/>
      <c r="H94" s="3452"/>
      <c r="I94" s="608"/>
      <c r="J94" s="2797"/>
      <c r="K94" s="2893" t="s">
        <v>2578</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31" t="s">
        <v>1611</v>
      </c>
      <c r="F95" s="3432"/>
      <c r="G95" s="3432"/>
      <c r="H95" s="3452"/>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31" t="s">
        <v>1628</v>
      </c>
      <c r="F96" s="3432"/>
      <c r="G96" s="3432"/>
      <c r="H96" s="3452"/>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9" t="s">
        <v>1630</v>
      </c>
      <c r="B101" s="3450"/>
      <c r="C101" s="3450"/>
      <c r="D101" s="3451"/>
      <c r="E101" s="1389"/>
      <c r="F101" s="3546" t="s">
        <v>2535</v>
      </c>
      <c r="G101" s="3547"/>
      <c r="H101" s="3547"/>
      <c r="I101" s="3548"/>
      <c r="J101" s="2800"/>
    </row>
    <row r="102" spans="1:36" ht="15">
      <c r="A102" s="3466" t="s">
        <v>1632</v>
      </c>
      <c r="B102" s="3467"/>
      <c r="C102" s="2723">
        <f>C4</f>
        <v>0</v>
      </c>
      <c r="D102" s="2724">
        <f>D4</f>
        <v>0</v>
      </c>
      <c r="E102" s="1389"/>
      <c r="F102" s="3468" t="s">
        <v>2536</v>
      </c>
      <c r="G102" s="3470"/>
      <c r="H102" s="3481" t="s">
        <v>2537</v>
      </c>
      <c r="I102" s="3469"/>
      <c r="J102" s="2780"/>
    </row>
    <row r="103" spans="1:36" ht="12.75">
      <c r="A103" s="3552" t="s">
        <v>2531</v>
      </c>
      <c r="B103" s="2235" t="str">
        <f>IF(H19="元","总价（元）","总价（万元）")</f>
        <v>总价（万元）</v>
      </c>
      <c r="C103" s="1235" t="e">
        <f ca="1">C19</f>
        <v>#REF!</v>
      </c>
      <c r="D103" s="2727" t="e">
        <f ca="1">D19</f>
        <v>#REF!</v>
      </c>
      <c r="E103" s="1389"/>
      <c r="F103" s="3553"/>
      <c r="G103" s="3554"/>
      <c r="H103" s="3472">
        <f>典型户型修正!B25</f>
        <v>0</v>
      </c>
      <c r="I103" s="3469"/>
      <c r="J103" s="2780"/>
    </row>
    <row r="104" spans="1:36" ht="12.75">
      <c r="A104" s="3552"/>
      <c r="B104" s="2235" t="s">
        <v>2532</v>
      </c>
      <c r="C104" s="2728" t="e">
        <f ca="1">C20</f>
        <v>#REF!</v>
      </c>
      <c r="D104" s="2729" t="e">
        <f ca="1">D20</f>
        <v>#REF!</v>
      </c>
      <c r="E104" s="1389"/>
      <c r="F104" s="3455" t="s">
        <v>2538</v>
      </c>
      <c r="G104" s="3456"/>
      <c r="H104" s="2737" t="str">
        <f>C110</f>
        <v>总价（万元）</v>
      </c>
      <c r="I104" s="2738">
        <f>H125</f>
        <v>0</v>
      </c>
      <c r="J104" s="2780"/>
    </row>
    <row r="105" spans="1:36" ht="12.75">
      <c r="A105" s="3552" t="s">
        <v>2533</v>
      </c>
      <c r="B105" s="2173" t="str">
        <f>B103</f>
        <v>总价（万元）</v>
      </c>
      <c r="C105" s="12" t="e">
        <f ca="1">ROUND(IF('数据-取费表'!B4="总价",G19,IF(H19="元",G20*'数据-取费表'!E5,G20*'数据-取费表'!E5/10000)),0)</f>
        <v>#REF!</v>
      </c>
      <c r="D105" s="2730"/>
      <c r="E105" s="1389"/>
      <c r="F105" s="3455"/>
      <c r="G105" s="3456"/>
      <c r="H105" s="2737" t="s">
        <v>2539</v>
      </c>
      <c r="I105" s="52" t="e">
        <f>I125</f>
        <v>#DIV/0!</v>
      </c>
      <c r="J105" s="2764"/>
    </row>
    <row r="106" spans="1:36" ht="12.75">
      <c r="A106" s="3552"/>
      <c r="B106" s="2235" t="s">
        <v>2532</v>
      </c>
      <c r="C106" s="1409" t="e">
        <f ca="1">ROUND(IF('数据-取费表'!B4="楼面单价",G20,IF(H19="元",G19/'数据-取费表'!E5,G19*10000/'数据-取费表'!E5)),0)</f>
        <v>#REF!</v>
      </c>
      <c r="D106" s="2730"/>
      <c r="E106" s="1389"/>
      <c r="F106" s="3455"/>
      <c r="G106" s="3456"/>
      <c r="H106" s="3487"/>
      <c r="I106" s="3488"/>
      <c r="J106" s="2781"/>
    </row>
    <row r="107" spans="1:36" ht="12.75">
      <c r="A107" s="3559" t="s">
        <v>2534</v>
      </c>
      <c r="B107" s="2731" t="str">
        <f>B103</f>
        <v>总价（万元）</v>
      </c>
      <c r="C107" s="2732">
        <f>H125</f>
        <v>0</v>
      </c>
      <c r="D107" s="2733"/>
      <c r="E107" s="1389"/>
      <c r="F107" s="3491" t="s">
        <v>2540</v>
      </c>
      <c r="G107" s="3492"/>
      <c r="H107" s="2739" t="str">
        <f>C112</f>
        <v>总额（万元）</v>
      </c>
      <c r="I107" s="2738">
        <f>SUMIF(I108:I110,"&lt;9E307")</f>
        <v>0</v>
      </c>
      <c r="J107" s="2780"/>
    </row>
    <row r="108" spans="1:36" ht="15" thickBot="1">
      <c r="A108" s="3486"/>
      <c r="B108" s="2734" t="s">
        <v>2532</v>
      </c>
      <c r="C108" s="2735" t="e">
        <f>I125</f>
        <v>#DIV/0!</v>
      </c>
      <c r="D108" s="2736"/>
      <c r="E108" s="1389"/>
      <c r="F108" s="3457" t="s">
        <v>2541</v>
      </c>
      <c r="G108" s="3458"/>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55" t="s">
        <v>1633</v>
      </c>
      <c r="B109" s="3556"/>
      <c r="C109" s="3556"/>
      <c r="D109" s="3557"/>
      <c r="E109" s="1389"/>
      <c r="F109" s="3457" t="s">
        <v>2542</v>
      </c>
      <c r="G109" s="3458"/>
      <c r="H109" s="2739" t="str">
        <f>C114</f>
        <v>总额（万元）</v>
      </c>
      <c r="I109" s="52">
        <f>C39</f>
        <v>0</v>
      </c>
      <c r="J109" s="2764"/>
    </row>
    <row r="110" spans="1:36" ht="12.75">
      <c r="A110" s="3455" t="s">
        <v>2545</v>
      </c>
      <c r="B110" s="3456"/>
      <c r="C110" s="2737" t="str">
        <f>B103</f>
        <v>总价（万元）</v>
      </c>
      <c r="D110" s="2738">
        <f>H125</f>
        <v>0</v>
      </c>
      <c r="E110" s="1389"/>
      <c r="F110" s="3457" t="s">
        <v>2543</v>
      </c>
      <c r="G110" s="3458"/>
      <c r="H110" s="2739" t="str">
        <f>C115</f>
        <v>总额（万元）</v>
      </c>
      <c r="I110" s="52">
        <f>C40</f>
        <v>0</v>
      </c>
      <c r="J110" s="2764"/>
    </row>
    <row r="111" spans="1:36" ht="12.75">
      <c r="A111" s="3455"/>
      <c r="B111" s="3456"/>
      <c r="C111" s="2737" t="s">
        <v>2546</v>
      </c>
      <c r="D111" s="52" t="e">
        <f>I125</f>
        <v>#DIV/0!</v>
      </c>
      <c r="E111" s="1389"/>
      <c r="F111" s="3455"/>
      <c r="G111" s="3456"/>
      <c r="H111" s="3489"/>
      <c r="I111" s="3490"/>
      <c r="J111" s="2782"/>
    </row>
    <row r="112" spans="1:36" ht="28.5" customHeight="1">
      <c r="A112" s="3526" t="s">
        <v>2540</v>
      </c>
      <c r="B112" s="3527"/>
      <c r="C112" s="2739" t="str">
        <f>IF(H19="元","总额（元）","总额（万元）")</f>
        <v>总额（万元）</v>
      </c>
      <c r="D112" s="2738">
        <f>IF(D38="正常操作",I108+I109+I110,I109+I110)</f>
        <v>0</v>
      </c>
      <c r="E112" s="1389"/>
      <c r="F112" s="3438" t="str">
        <f>IF(项目基本情况!F5="已注销","——","3.房地产抵押价值")</f>
        <v>3.房地产抵押价值</v>
      </c>
      <c r="G112" s="3439"/>
      <c r="H112" s="1409" t="str">
        <f>C116</f>
        <v>总价（万元）</v>
      </c>
      <c r="I112" s="2738">
        <f>IF(F112="——","——",I104-I107)</f>
        <v>0</v>
      </c>
      <c r="J112" s="2780"/>
    </row>
    <row r="113" spans="1:27" ht="12.75">
      <c r="A113" s="3457" t="s">
        <v>2547</v>
      </c>
      <c r="B113" s="3458"/>
      <c r="C113" s="2739" t="str">
        <f>C112</f>
        <v>总额（万元）</v>
      </c>
      <c r="D113" s="52">
        <f>IF(D38="同一抵押权人同一抵押物续贷",C38&amp;"（未扣减，详见特别提示）",C38)</f>
        <v>0</v>
      </c>
      <c r="E113" s="1389"/>
      <c r="F113" s="3440"/>
      <c r="G113" s="3441"/>
      <c r="H113" s="2737" t="s">
        <v>2539</v>
      </c>
      <c r="I113" s="2741" t="e">
        <f>D117</f>
        <v>#DIV/0!</v>
      </c>
      <c r="J113" s="2783"/>
    </row>
    <row r="114" spans="1:27" ht="12.75">
      <c r="A114" s="3457" t="s">
        <v>2548</v>
      </c>
      <c r="B114" s="3458"/>
      <c r="C114" s="2739" t="str">
        <f>C112</f>
        <v>总额（万元）</v>
      </c>
      <c r="D114" s="52">
        <f>C39</f>
        <v>0</v>
      </c>
      <c r="E114" s="1389"/>
      <c r="F114" s="3438" t="str">
        <f>IF(项目基本情况!F5="已注销及未注销","4.抵押担保权已注销时的房地产抵押价值",IF(项目基本情况!F5="已注销","3.抵押担保权已注销时的房地产抵押价值","——"))</f>
        <v>——</v>
      </c>
      <c r="G114" s="3439"/>
      <c r="H114" s="1409" t="str">
        <f>C118</f>
        <v>总价（万元）</v>
      </c>
      <c r="I114" s="2738" t="str">
        <f>IF(F114="——","——",I104-I109-I110)</f>
        <v>——</v>
      </c>
      <c r="J114" s="2780"/>
    </row>
    <row r="115" spans="1:27" ht="12.75">
      <c r="A115" s="3457" t="s">
        <v>2549</v>
      </c>
      <c r="B115" s="3458"/>
      <c r="C115" s="2739" t="str">
        <f>C112</f>
        <v>总额（万元）</v>
      </c>
      <c r="D115" s="52">
        <f>C40</f>
        <v>0</v>
      </c>
      <c r="E115" s="1389"/>
      <c r="F115" s="3440"/>
      <c r="G115" s="3441"/>
      <c r="H115" s="2737" t="s">
        <v>2539</v>
      </c>
      <c r="I115" s="52" t="str">
        <f>D119</f>
        <v>——</v>
      </c>
      <c r="J115" s="2764"/>
    </row>
    <row r="116" spans="1:27" ht="12.75">
      <c r="A116" s="3455" t="str">
        <f>IF(项目基本情况!F5="已注销","——","3.房地产抵押价值")</f>
        <v>3.房地产抵押价值</v>
      </c>
      <c r="B116" s="3456"/>
      <c r="C116" s="2737" t="str">
        <f>B103</f>
        <v>总价（万元）</v>
      </c>
      <c r="D116" s="2738">
        <f>IF(A116="——","——",D110-D112)</f>
        <v>0</v>
      </c>
      <c r="E116" s="1389"/>
      <c r="F116" s="3438" t="str">
        <f>IF(项目基本情况!G5="抵押净值",IF(OR(项目基本情况!F5="已注销",项目基本情况!F5="房地产抵押价值"),"4.抵押净值","5.抵押净值"),"——")</f>
        <v>——</v>
      </c>
      <c r="G116" s="3439"/>
      <c r="H116" s="2737" t="str">
        <f>C120</f>
        <v>总价（万元）</v>
      </c>
      <c r="I116" s="2738" t="str">
        <f>IF(F116="——","——",O61)</f>
        <v>——</v>
      </c>
      <c r="J116" s="2780"/>
    </row>
    <row r="117" spans="1:27" ht="13.5" thickBot="1">
      <c r="A117" s="3455"/>
      <c r="B117" s="3456"/>
      <c r="C117" s="2737" t="s">
        <v>2546</v>
      </c>
      <c r="D117" s="52" t="e">
        <f>ROUND(IF(D116=D110,D111,IF(H19="元",D116/B125,D116*10000/B125)),0)</f>
        <v>#DIV/0!</v>
      </c>
      <c r="E117" s="1389"/>
      <c r="F117" s="3518"/>
      <c r="G117" s="3519"/>
      <c r="H117" s="2742" t="s">
        <v>2539</v>
      </c>
      <c r="I117" s="2726" t="str">
        <f>D121</f>
        <v>——</v>
      </c>
      <c r="J117" s="2764"/>
    </row>
    <row r="118" spans="1:27" ht="15.75">
      <c r="A118" s="3455" t="str">
        <f>IF(项目基本情况!F5="已注销及未注销","4.抵押担保权已注销时的房地产抵押价值",IF(项目基本情况!F5="已注销","3.抵押担保权已注销时的房地产抵押价值","——"))</f>
        <v>——</v>
      </c>
      <c r="B118" s="3456"/>
      <c r="C118" s="2737" t="str">
        <f>B103</f>
        <v>总价（万元）</v>
      </c>
      <c r="D118" s="2738" t="str">
        <f>IF(A118="——","——",D110-D114-D115)</f>
        <v>——</v>
      </c>
      <c r="E118" s="1389"/>
      <c r="F118" s="3433"/>
      <c r="G118" s="3433"/>
      <c r="H118" s="3474"/>
      <c r="I118" s="3474"/>
      <c r="J118" s="2784"/>
      <c r="O118" s="32"/>
      <c r="P118" s="32"/>
    </row>
    <row r="119" spans="1:27" s="1236" customFormat="1" ht="12.75">
      <c r="A119" s="3455"/>
      <c r="B119" s="3456"/>
      <c r="C119" s="2737" t="s">
        <v>2546</v>
      </c>
      <c r="D119" s="52" t="str">
        <f>IF(A118="——","——",IF(H19="元",ROUND(D118/B125,0),ROUND(D118*10000/B125,0)))</f>
        <v>——</v>
      </c>
      <c r="E119" s="1389"/>
      <c r="F119" s="3558" t="str">
        <f>IF(B33="总价","（以上估价结果中楼面单价为总价除以建筑面积得出）","（以上估价结果中总价为楼面单价乘以建筑面积得出）")</f>
        <v>（以上估价结果中总价为楼面单价乘以建筑面积得出）</v>
      </c>
      <c r="G119" s="3558"/>
      <c r="H119" s="3558"/>
      <c r="I119" s="3558"/>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55" t="str">
        <f>IF(项目基本情况!G5="抵押净值",IF(OR(项目基本情况!F5="已注销",项目基本情况!F5="房地产抵押价值"),"4.抵押净值","5.抵押净值"),"——")</f>
        <v>——</v>
      </c>
      <c r="B120" s="3456"/>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24"/>
      <c r="B121" s="3525"/>
      <c r="C121" s="2742" t="s">
        <v>2546</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75" t="s">
        <v>1672</v>
      </c>
      <c r="B122" s="3476"/>
      <c r="C122" s="3476"/>
      <c r="D122" s="3476"/>
      <c r="E122" s="3476"/>
      <c r="F122" s="3476"/>
      <c r="G122" s="3476"/>
      <c r="H122" s="3476"/>
      <c r="I122" s="3476"/>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8" t="s">
        <v>2550</v>
      </c>
      <c r="B123" s="3446" t="s">
        <v>2551</v>
      </c>
      <c r="C123" s="3446" t="s">
        <v>2557</v>
      </c>
      <c r="D123" s="3453" t="s">
        <v>2552</v>
      </c>
      <c r="E123" s="3454"/>
      <c r="F123" s="3444" t="s">
        <v>2558</v>
      </c>
      <c r="G123" s="3444"/>
      <c r="H123" s="3444" t="s">
        <v>2553</v>
      </c>
      <c r="I123" s="3445"/>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8"/>
      <c r="B124" s="3447"/>
      <c r="C124" s="3447"/>
      <c r="D124" s="2020" t="s">
        <v>2554</v>
      </c>
      <c r="E124" s="2020" t="s">
        <v>2559</v>
      </c>
      <c r="F124" s="2020" t="s">
        <v>2554</v>
      </c>
      <c r="G124" s="2020" t="s">
        <v>2555</v>
      </c>
      <c r="H124" s="2020" t="s">
        <v>2554</v>
      </c>
      <c r="I124" s="52" t="s">
        <v>2555</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8" t="s">
        <v>2556</v>
      </c>
      <c r="B126" s="3444"/>
      <c r="C126" s="3444"/>
      <c r="D126" s="3479" t="str">
        <f>IF(H19="元",NUMBERSTRING(INT(D125),2)&amp;"元整",NUMBERSTRING(INT(D125*10000),2)&amp;"元整")</f>
        <v>零元整</v>
      </c>
      <c r="E126" s="3480"/>
      <c r="F126" s="3479" t="str">
        <f>IF(H19="元",NUMBERSTRING(INT(F125),2)&amp;"元整",NUMBERSTRING(INT(F125*10000),2)&amp;"元整")</f>
        <v>零元整</v>
      </c>
      <c r="G126" s="3480"/>
      <c r="H126" s="3479" t="str">
        <f>IF(H19="元",NUMBERSTRING(INT(H125),2)&amp;"元整",NUMBERSTRING(INT(H125*10000),2)&amp;"元整")</f>
        <v>零元整</v>
      </c>
      <c r="I126" s="3528"/>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8" t="str">
        <f>IF(项目基本情况!D5="房地产市场价值","——",MID(A112,3,LEN(A112)-2))</f>
        <v>估价师所知悉的法定优先受偿款</v>
      </c>
      <c r="B127" s="3481"/>
      <c r="C127" s="3470"/>
      <c r="D127" s="3472">
        <f>I107</f>
        <v>0</v>
      </c>
      <c r="E127" s="3481"/>
      <c r="F127" s="3481"/>
      <c r="G127" s="3481"/>
      <c r="H127" s="3481"/>
      <c r="I127" s="3469"/>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2" t="s">
        <v>2556</v>
      </c>
      <c r="B128" s="3483"/>
      <c r="C128" s="3484"/>
      <c r="D128" s="3520">
        <f>H111</f>
        <v>0</v>
      </c>
      <c r="E128" s="3521"/>
      <c r="F128" s="3521"/>
      <c r="G128" s="3521"/>
      <c r="H128" s="3521"/>
      <c r="I128" s="3522"/>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55" t="str">
        <f>IF(项目基本情况!D5="房地产市场价值","——",MID(A116,3,LEN(A116)-2))</f>
        <v>房地产抵押价值</v>
      </c>
      <c r="B129" s="3456"/>
      <c r="C129" s="3456"/>
      <c r="D129" s="3472">
        <f>I112</f>
        <v>0</v>
      </c>
      <c r="E129" s="3481"/>
      <c r="F129" s="3481"/>
      <c r="G129" s="3481"/>
      <c r="H129" s="3481"/>
      <c r="I129" s="3469"/>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8" t="s">
        <v>2556</v>
      </c>
      <c r="B130" s="3444"/>
      <c r="C130" s="3444"/>
      <c r="D130" s="3520" t="e">
        <f>I113</f>
        <v>#DIV/0!</v>
      </c>
      <c r="E130" s="3521"/>
      <c r="F130" s="3521"/>
      <c r="G130" s="3521"/>
      <c r="H130" s="3521"/>
      <c r="I130" s="3522"/>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55" t="str">
        <f>IF(项目基本情况!D5="房地产市场价值","——",MID(A118,3,LEN(A118)-2))</f>
        <v/>
      </c>
      <c r="B131" s="3456"/>
      <c r="C131" s="3456"/>
      <c r="D131" s="3428" t="str">
        <f>I114</f>
        <v>——</v>
      </c>
      <c r="E131" s="3429"/>
      <c r="F131" s="3429"/>
      <c r="G131" s="3429"/>
      <c r="H131" s="3429"/>
      <c r="I131" s="3430"/>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8" t="s">
        <v>2556</v>
      </c>
      <c r="B132" s="3444"/>
      <c r="C132" s="3495"/>
      <c r="D132" s="3473" t="str">
        <f>I115</f>
        <v>——</v>
      </c>
      <c r="E132" s="3473"/>
      <c r="F132" s="3473"/>
      <c r="G132" s="3473"/>
      <c r="H132" s="3473"/>
      <c r="I132" s="3473"/>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55" t="str">
        <f>IF(项目基本情况!D5="房地产市场价值","——",MID(F116,3,LEN(F116)-2))</f>
        <v/>
      </c>
      <c r="B133" s="3456"/>
      <c r="C133" s="3472"/>
      <c r="D133" s="3523" t="str">
        <f>I116</f>
        <v>——</v>
      </c>
      <c r="E133" s="3523"/>
      <c r="F133" s="3523"/>
      <c r="G133" s="3523"/>
      <c r="H133" s="3523"/>
      <c r="I133" s="3523"/>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11" t="s">
        <v>2556</v>
      </c>
      <c r="B134" s="3512"/>
      <c r="C134" s="3512"/>
      <c r="D134" s="3529">
        <f>H118</f>
        <v>0</v>
      </c>
      <c r="E134" s="3530"/>
      <c r="F134" s="3530"/>
      <c r="G134" s="3530"/>
      <c r="H134" s="3530"/>
      <c r="I134" s="3531"/>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16" t="str">
        <f>IF(B33="总价","（以上估价结果中楼面单价为总价除以建筑面积得出）","（以上估价结果中总价为楼面单价乘以建筑面积得出）")</f>
        <v>（以上估价结果中总价为楼面单价乘以建筑面积得出）</v>
      </c>
      <c r="B136" s="3516"/>
      <c r="C136" s="3516"/>
      <c r="D136" s="3516"/>
      <c r="E136" s="3516"/>
      <c r="F136" s="3516"/>
      <c r="G136" s="3516"/>
      <c r="H136" s="3516"/>
      <c r="I136" s="3516"/>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8" zoomScale="90" zoomScaleNormal="60" zoomScaleSheetLayoutView="90" workbookViewId="0">
      <selection activeCell="C49" sqref="C4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2143</v>
      </c>
      <c r="C1" s="1567" t="s">
        <v>2505</v>
      </c>
      <c r="D1" s="1566"/>
      <c r="E1" s="1569" t="s">
        <v>2503</v>
      </c>
      <c r="F1" s="1570" t="s">
        <v>2003</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510</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27972</v>
      </c>
      <c r="C3" s="1588" t="s">
        <v>2004</v>
      </c>
      <c r="D3" s="1588">
        <f>IF(C1="仅计算典型户型",'数据-取费表'!E5,'数据-取费表'!B5)</f>
        <v>182.31</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2005</v>
      </c>
      <c r="B4" s="1592"/>
      <c r="C4" s="3573" t="s">
        <v>2006</v>
      </c>
      <c r="D4" s="3574"/>
      <c r="E4" s="3575" t="s">
        <v>2007</v>
      </c>
      <c r="F4" s="3576"/>
      <c r="G4" s="3573" t="s">
        <v>2008</v>
      </c>
      <c r="H4" s="3574"/>
      <c r="I4" s="3573" t="s">
        <v>2009</v>
      </c>
      <c r="J4" s="3574"/>
      <c r="K4" s="1894" t="s">
        <v>2010</v>
      </c>
      <c r="L4" s="2915"/>
      <c r="M4" s="2916"/>
      <c r="N4" s="2916"/>
      <c r="O4" s="2916"/>
      <c r="P4" s="3577" t="s">
        <v>2011</v>
      </c>
      <c r="Q4" s="3578"/>
      <c r="R4" s="3583" t="s">
        <v>2007</v>
      </c>
      <c r="S4" s="3584"/>
      <c r="T4" s="3583" t="s">
        <v>2008</v>
      </c>
      <c r="U4" s="3584"/>
      <c r="V4" s="3589" t="s">
        <v>2009</v>
      </c>
      <c r="W4" s="3589"/>
      <c r="X4" s="2003"/>
      <c r="Y4" s="3583" t="s">
        <v>2011</v>
      </c>
      <c r="Z4" s="3584"/>
      <c r="AA4" s="3570" t="s">
        <v>2007</v>
      </c>
      <c r="AB4" s="3570" t="s">
        <v>2008</v>
      </c>
      <c r="AC4" s="3570" t="s">
        <v>2009</v>
      </c>
    </row>
    <row r="5" spans="1:29" ht="15">
      <c r="A5" s="1596"/>
      <c r="B5" s="1597"/>
      <c r="C5" s="3590" t="s">
        <v>2012</v>
      </c>
      <c r="D5" s="3591"/>
      <c r="E5" s="3566" t="s">
        <v>3039</v>
      </c>
      <c r="F5" s="3567"/>
      <c r="G5" s="3566" t="s">
        <v>3039</v>
      </c>
      <c r="H5" s="3567"/>
      <c r="I5" s="3592" t="s">
        <v>3040</v>
      </c>
      <c r="J5" s="3591"/>
      <c r="K5" s="1894"/>
      <c r="L5" s="2915"/>
      <c r="M5" s="2916"/>
      <c r="N5" s="2916"/>
      <c r="O5" s="2916"/>
      <c r="P5" s="3579"/>
      <c r="Q5" s="3580"/>
      <c r="R5" s="3585"/>
      <c r="S5" s="3586"/>
      <c r="T5" s="3585"/>
      <c r="U5" s="3586"/>
      <c r="V5" s="3589"/>
      <c r="W5" s="3589"/>
      <c r="X5" s="2003"/>
      <c r="Y5" s="3585"/>
      <c r="Z5" s="3586"/>
      <c r="AA5" s="3571"/>
      <c r="AB5" s="3571"/>
      <c r="AC5" s="3571"/>
    </row>
    <row r="6" spans="1:29" ht="15.75" thickBot="1">
      <c r="A6" s="1599"/>
      <c r="B6" s="1600"/>
      <c r="C6" s="3563" t="s">
        <v>2016</v>
      </c>
      <c r="D6" s="3564"/>
      <c r="E6" s="3561" t="s">
        <v>2016</v>
      </c>
      <c r="F6" s="3562"/>
      <c r="G6" s="3563" t="s">
        <v>2016</v>
      </c>
      <c r="H6" s="3564"/>
      <c r="I6" s="3563" t="s">
        <v>2016</v>
      </c>
      <c r="J6" s="3564"/>
      <c r="K6" s="1894" t="s">
        <v>2017</v>
      </c>
      <c r="L6" s="2915"/>
      <c r="M6" s="2916"/>
      <c r="N6" s="2916"/>
      <c r="O6" s="2916"/>
      <c r="P6" s="3581"/>
      <c r="Q6" s="3582"/>
      <c r="R6" s="3585"/>
      <c r="S6" s="3586"/>
      <c r="T6" s="3587"/>
      <c r="U6" s="3588"/>
      <c r="V6" s="3589"/>
      <c r="W6" s="3589"/>
      <c r="X6" s="2003"/>
      <c r="Y6" s="3587"/>
      <c r="Z6" s="3588"/>
      <c r="AA6" s="3572"/>
      <c r="AB6" s="3572"/>
      <c r="AC6" s="3572"/>
    </row>
    <row r="7" spans="1:29" s="1613" customFormat="1" ht="15.75" thickBot="1">
      <c r="A7" s="1601" t="s">
        <v>2018</v>
      </c>
      <c r="B7" s="1602"/>
      <c r="C7" s="1603">
        <f>'数据-取费表'!B2</f>
        <v>44763</v>
      </c>
      <c r="D7" s="1604">
        <v>100</v>
      </c>
      <c r="E7" s="1605">
        <f>C7</f>
        <v>44763</v>
      </c>
      <c r="F7" s="1606">
        <f>SUMIF(59:59,YEAR(E7)&amp;"-"&amp;MONTH(E7),60:60)</f>
        <v>100</v>
      </c>
      <c r="G7" s="1895">
        <f>C7</f>
        <v>44763</v>
      </c>
      <c r="H7" s="1604">
        <f>SUMIF(59:59,YEAR(G7)&amp;"-"&amp;MONTH(G7),60:60)</f>
        <v>100</v>
      </c>
      <c r="I7" s="1895">
        <f>C7</f>
        <v>44763</v>
      </c>
      <c r="J7" s="1604">
        <f>SUMIF(59:59,YEAR(I7)&amp;"-"&amp;MONTH(I7),60:60)</f>
        <v>100</v>
      </c>
      <c r="K7" s="1896"/>
      <c r="L7" s="2915"/>
      <c r="M7" s="2888"/>
      <c r="N7" s="2888"/>
      <c r="O7" s="2888"/>
      <c r="P7" s="3568" t="s">
        <v>2019</v>
      </c>
      <c r="Q7" s="3593"/>
      <c r="R7" s="1609" t="s">
        <v>25</v>
      </c>
      <c r="S7" s="1610">
        <f t="shared" ref="S7:S15" si="0">F7</f>
        <v>100</v>
      </c>
      <c r="T7" s="1609" t="s">
        <v>25</v>
      </c>
      <c r="U7" s="1610">
        <f t="shared" ref="U7:U15" si="1">H7</f>
        <v>100</v>
      </c>
      <c r="V7" s="1609" t="s">
        <v>25</v>
      </c>
      <c r="W7" s="1610">
        <f t="shared" ref="W7:W15" si="2">J7</f>
        <v>100</v>
      </c>
      <c r="X7" s="1611"/>
      <c r="Y7" s="3568" t="s">
        <v>2019</v>
      </c>
      <c r="Z7" s="3569"/>
      <c r="AA7" s="1612">
        <f>D7/F7</f>
        <v>1</v>
      </c>
      <c r="AB7" s="1612">
        <f>D7/H7</f>
        <v>1</v>
      </c>
      <c r="AC7" s="1612">
        <f>D7/J7</f>
        <v>1</v>
      </c>
    </row>
    <row r="8" spans="1:29" s="1613" customFormat="1" ht="15.75" thickBot="1">
      <c r="A8" s="1601" t="s">
        <v>2020</v>
      </c>
      <c r="B8" s="1602"/>
      <c r="C8" s="1614" t="s">
        <v>2021</v>
      </c>
      <c r="D8" s="1604">
        <v>100</v>
      </c>
      <c r="E8" s="1614" t="s">
        <v>2634</v>
      </c>
      <c r="F8" s="1606">
        <f>SUMIF(62:62,E8,63:63)-SUMIF(62:62,C8,63:63)+100</f>
        <v>100</v>
      </c>
      <c r="G8" s="1614" t="s">
        <v>2634</v>
      </c>
      <c r="H8" s="1604">
        <f>SUMIF(62:62,G8,63:63)-SUMIF(62:62,C8,63:63)+100</f>
        <v>100</v>
      </c>
      <c r="I8" s="1614" t="s">
        <v>2634</v>
      </c>
      <c r="J8" s="1604">
        <f>SUMIF(62:62,I8,63:63)-SUMIF(62:62,C8,63:63)+100</f>
        <v>100</v>
      </c>
      <c r="K8" s="1896"/>
      <c r="L8" s="2915"/>
      <c r="M8" s="2888"/>
      <c r="N8" s="2888"/>
      <c r="O8" s="2888"/>
      <c r="P8" s="3568" t="s">
        <v>2022</v>
      </c>
      <c r="Q8" s="3569"/>
      <c r="R8" s="1609" t="s">
        <v>25</v>
      </c>
      <c r="S8" s="1610">
        <f t="shared" si="0"/>
        <v>100</v>
      </c>
      <c r="T8" s="1609" t="s">
        <v>25</v>
      </c>
      <c r="U8" s="1610">
        <f t="shared" si="1"/>
        <v>100</v>
      </c>
      <c r="V8" s="1609" t="s">
        <v>25</v>
      </c>
      <c r="W8" s="1610">
        <f t="shared" si="2"/>
        <v>100</v>
      </c>
      <c r="X8" s="1611"/>
      <c r="Y8" s="3568" t="s">
        <v>2022</v>
      </c>
      <c r="Z8" s="3569"/>
      <c r="AA8" s="1612">
        <f t="shared" ref="AA8:AA47" si="3">D8/F8</f>
        <v>1</v>
      </c>
      <c r="AB8" s="1612">
        <f t="shared" ref="AB8:AB47" si="4">D8/H8</f>
        <v>1</v>
      </c>
      <c r="AC8" s="1612">
        <f t="shared" ref="AC8:AC47" si="5">D8/J8</f>
        <v>1</v>
      </c>
    </row>
    <row r="9" spans="1:29" s="1613" customFormat="1" ht="15">
      <c r="A9" s="1995" t="s">
        <v>2023</v>
      </c>
      <c r="B9" s="1616" t="s">
        <v>2024</v>
      </c>
      <c r="C9" s="3327" t="s">
        <v>3042</v>
      </c>
      <c r="D9" s="1618">
        <v>100</v>
      </c>
      <c r="E9" s="1621" t="s">
        <v>3041</v>
      </c>
      <c r="F9" s="1618">
        <f>SUMIF(64:64,E9,65:65)-SUMIF(64:64,C9,65:65)+100</f>
        <v>100</v>
      </c>
      <c r="G9" s="1619" t="s">
        <v>3041</v>
      </c>
      <c r="H9" s="1618">
        <f>SUMIF(64:64,G9,65:65)-SUMIF(64:64,C9,65:65)+100</f>
        <v>100</v>
      </c>
      <c r="I9" s="1619" t="s">
        <v>3030</v>
      </c>
      <c r="J9" s="1618">
        <f>SUMIF(64:64,I9,65:65)-SUMIF(64:64,C9,65:65)+100</f>
        <v>105</v>
      </c>
      <c r="K9" s="1896"/>
      <c r="L9" s="2915"/>
      <c r="M9" s="2888"/>
      <c r="N9" s="2888"/>
      <c r="O9" s="2888"/>
      <c r="P9" s="3565" t="s">
        <v>2025</v>
      </c>
      <c r="Q9" s="2833" t="str">
        <f t="shared" ref="Q9:Q15" si="6">B9</f>
        <v>用途</v>
      </c>
      <c r="R9" s="1609" t="s">
        <v>25</v>
      </c>
      <c r="S9" s="1610">
        <f t="shared" si="0"/>
        <v>100</v>
      </c>
      <c r="T9" s="1609" t="s">
        <v>25</v>
      </c>
      <c r="U9" s="1610">
        <f t="shared" si="1"/>
        <v>100</v>
      </c>
      <c r="V9" s="1609" t="s">
        <v>25</v>
      </c>
      <c r="W9" s="1610">
        <f t="shared" si="2"/>
        <v>105</v>
      </c>
      <c r="X9" s="1611"/>
      <c r="Y9" s="3494" t="s">
        <v>2026</v>
      </c>
      <c r="Z9" s="1622" t="str">
        <f t="shared" ref="Z9:Z15" si="7">Q9</f>
        <v>用途</v>
      </c>
      <c r="AA9" s="1612">
        <f t="shared" si="3"/>
        <v>1</v>
      </c>
      <c r="AB9" s="1612">
        <f t="shared" si="4"/>
        <v>1</v>
      </c>
      <c r="AC9" s="1612">
        <f t="shared" si="5"/>
        <v>0.95238095238095233</v>
      </c>
    </row>
    <row r="10" spans="1:29" s="1630" customFormat="1" ht="27">
      <c r="A10" s="1623"/>
      <c r="B10" s="1624" t="s">
        <v>2027</v>
      </c>
      <c r="C10" s="1625" t="s">
        <v>3071</v>
      </c>
      <c r="D10" s="1626">
        <v>100</v>
      </c>
      <c r="E10" s="1625" t="s">
        <v>3071</v>
      </c>
      <c r="F10" s="1626">
        <f>SUMIF(66:66,E10,67:67)-SUMIF(66:66,C10,67:67)+100</f>
        <v>100</v>
      </c>
      <c r="G10" s="1627" t="s">
        <v>3071</v>
      </c>
      <c r="H10" s="1626">
        <f>SUMIF(66:66,G10,67:67)-SUMIF(66:66,C10,67:67)+100</f>
        <v>100</v>
      </c>
      <c r="I10" s="1625" t="s">
        <v>3071</v>
      </c>
      <c r="J10" s="1626">
        <f>SUMIF(66:66,I10,67:67)-SUMIF(66:66,C10,67:67)+100</f>
        <v>100</v>
      </c>
      <c r="K10" s="1921">
        <v>2</v>
      </c>
      <c r="L10" s="2917"/>
      <c r="M10" s="2918"/>
      <c r="N10" s="2918"/>
      <c r="O10" s="2918"/>
      <c r="P10" s="3565"/>
      <c r="Q10" s="2833" t="str">
        <f t="shared" si="6"/>
        <v>土地使用年限（年）</v>
      </c>
      <c r="R10" s="1609" t="s">
        <v>25</v>
      </c>
      <c r="S10" s="1610">
        <f t="shared" si="0"/>
        <v>100</v>
      </c>
      <c r="T10" s="1609" t="s">
        <v>25</v>
      </c>
      <c r="U10" s="1610">
        <f t="shared" si="1"/>
        <v>100</v>
      </c>
      <c r="V10" s="1609" t="s">
        <v>25</v>
      </c>
      <c r="W10" s="1610">
        <f t="shared" si="2"/>
        <v>100</v>
      </c>
      <c r="X10" s="1611"/>
      <c r="Y10" s="3494"/>
      <c r="Z10" s="1622" t="str">
        <f t="shared" si="7"/>
        <v>土地使用年限（年）</v>
      </c>
      <c r="AA10" s="1612">
        <f t="shared" si="3"/>
        <v>1</v>
      </c>
      <c r="AB10" s="1612">
        <f t="shared" si="4"/>
        <v>1</v>
      </c>
      <c r="AC10" s="1612">
        <f t="shared" si="5"/>
        <v>1</v>
      </c>
    </row>
    <row r="11" spans="1:29" ht="15">
      <c r="A11" s="1631"/>
      <c r="B11" s="1624" t="s">
        <v>2028</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565"/>
      <c r="Q11" s="2833" t="str">
        <f t="shared" si="6"/>
        <v>容积率</v>
      </c>
      <c r="R11" s="1609" t="s">
        <v>25</v>
      </c>
      <c r="S11" s="1610">
        <f t="shared" si="0"/>
        <v>100</v>
      </c>
      <c r="T11" s="1609" t="s">
        <v>25</v>
      </c>
      <c r="U11" s="1610">
        <f t="shared" si="1"/>
        <v>100</v>
      </c>
      <c r="V11" s="1609" t="s">
        <v>25</v>
      </c>
      <c r="W11" s="1610">
        <f t="shared" si="2"/>
        <v>100</v>
      </c>
      <c r="X11" s="1611"/>
      <c r="Y11" s="3494"/>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65"/>
      <c r="Q12" s="2833">
        <f t="shared" si="6"/>
        <v>111</v>
      </c>
      <c r="R12" s="1609" t="s">
        <v>25</v>
      </c>
      <c r="S12" s="1610">
        <f t="shared" si="0"/>
        <v>100</v>
      </c>
      <c r="T12" s="1609" t="s">
        <v>25</v>
      </c>
      <c r="U12" s="1610">
        <f t="shared" si="1"/>
        <v>100</v>
      </c>
      <c r="V12" s="1609" t="s">
        <v>25</v>
      </c>
      <c r="W12" s="1610">
        <f t="shared" si="2"/>
        <v>100</v>
      </c>
      <c r="X12" s="1611"/>
      <c r="Y12" s="3494"/>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65"/>
      <c r="Q13" s="2833">
        <f t="shared" si="6"/>
        <v>111</v>
      </c>
      <c r="R13" s="1609" t="s">
        <v>25</v>
      </c>
      <c r="S13" s="1610">
        <f t="shared" si="0"/>
        <v>100</v>
      </c>
      <c r="T13" s="1609" t="s">
        <v>25</v>
      </c>
      <c r="U13" s="1610">
        <f t="shared" si="1"/>
        <v>100</v>
      </c>
      <c r="V13" s="1609" t="s">
        <v>25</v>
      </c>
      <c r="W13" s="1610">
        <f t="shared" si="2"/>
        <v>100</v>
      </c>
      <c r="X13" s="1611"/>
      <c r="Y13" s="3494"/>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65"/>
      <c r="Q14" s="2833">
        <f t="shared" si="6"/>
        <v>111</v>
      </c>
      <c r="R14" s="1609" t="s">
        <v>25</v>
      </c>
      <c r="S14" s="1610">
        <f t="shared" si="0"/>
        <v>100</v>
      </c>
      <c r="T14" s="1609" t="s">
        <v>25</v>
      </c>
      <c r="U14" s="1610">
        <f t="shared" si="1"/>
        <v>100</v>
      </c>
      <c r="V14" s="1609" t="s">
        <v>25</v>
      </c>
      <c r="W14" s="1610">
        <f t="shared" si="2"/>
        <v>100</v>
      </c>
      <c r="X14" s="1611"/>
      <c r="Y14" s="3494"/>
      <c r="Z14" s="1622">
        <f t="shared" si="7"/>
        <v>111</v>
      </c>
      <c r="AA14" s="1612">
        <f t="shared" si="3"/>
        <v>1</v>
      </c>
      <c r="AB14" s="1612">
        <f t="shared" si="4"/>
        <v>1</v>
      </c>
      <c r="AC14" s="1612">
        <f t="shared" si="5"/>
        <v>1</v>
      </c>
    </row>
    <row r="15" spans="1:29" ht="15">
      <c r="A15" s="1646" t="s">
        <v>2029</v>
      </c>
      <c r="B15" s="2411" t="s">
        <v>2144</v>
      </c>
      <c r="C15" s="1902" t="str">
        <f>估价对象房地状况!C5</f>
        <v>较好</v>
      </c>
      <c r="D15" s="1649">
        <v>100</v>
      </c>
      <c r="E15" s="1652"/>
      <c r="F15" s="1649">
        <f>SUMIF(77:77,E16,78:78)-SUMIF(77:77,C16,78:78)+100</f>
        <v>100</v>
      </c>
      <c r="G15" s="1650"/>
      <c r="H15" s="1649">
        <f>SUMIF(77:77,G16,78:78)-SUMIF(77:77,C16,78:78)+100</f>
        <v>100</v>
      </c>
      <c r="I15" s="1650"/>
      <c r="J15" s="1649">
        <f>SUMIF(77:77,I16,78:78)-SUMIF(77:77,C16,78:78)+100</f>
        <v>100</v>
      </c>
      <c r="K15" s="2391">
        <v>3</v>
      </c>
      <c r="L15" s="2920"/>
      <c r="M15" s="2916"/>
      <c r="N15" s="2916"/>
      <c r="O15" s="2916"/>
      <c r="P15" s="3594" t="s">
        <v>2030</v>
      </c>
      <c r="Q15" s="2834" t="str">
        <f t="shared" si="6"/>
        <v>办公集聚程度</v>
      </c>
      <c r="R15" s="1654" t="s">
        <v>25</v>
      </c>
      <c r="S15" s="1655">
        <f t="shared" si="0"/>
        <v>100</v>
      </c>
      <c r="T15" s="1654" t="s">
        <v>25</v>
      </c>
      <c r="U15" s="1655">
        <f t="shared" si="1"/>
        <v>100</v>
      </c>
      <c r="V15" s="1654" t="s">
        <v>25</v>
      </c>
      <c r="W15" s="1655">
        <f t="shared" si="2"/>
        <v>100</v>
      </c>
      <c r="X15" s="2003"/>
      <c r="Y15" s="3594" t="s">
        <v>2030</v>
      </c>
      <c r="Z15" s="2007" t="str">
        <f t="shared" si="7"/>
        <v>办公集聚程度</v>
      </c>
      <c r="AA15" s="1998">
        <f t="shared" si="3"/>
        <v>1</v>
      </c>
      <c r="AB15" s="1998">
        <f t="shared" si="4"/>
        <v>1</v>
      </c>
      <c r="AC15" s="1998">
        <f t="shared" si="5"/>
        <v>1</v>
      </c>
    </row>
    <row r="16" spans="1:29" ht="15">
      <c r="A16" s="1631"/>
      <c r="B16" s="2412"/>
      <c r="C16" s="1904" t="s">
        <v>30</v>
      </c>
      <c r="D16" s="1660"/>
      <c r="E16" s="1659" t="s">
        <v>30</v>
      </c>
      <c r="F16" s="1660"/>
      <c r="G16" s="1904" t="s">
        <v>30</v>
      </c>
      <c r="H16" s="1664"/>
      <c r="I16" s="1659" t="s">
        <v>30</v>
      </c>
      <c r="J16" s="1660"/>
      <c r="K16" s="2392"/>
      <c r="L16" s="2920"/>
      <c r="M16" s="2916"/>
      <c r="N16" s="2916"/>
      <c r="O16" s="2916"/>
      <c r="P16" s="3595"/>
      <c r="Q16" s="2834"/>
      <c r="R16" s="1654"/>
      <c r="S16" s="1655"/>
      <c r="T16" s="1654"/>
      <c r="U16" s="1655"/>
      <c r="V16" s="1654"/>
      <c r="W16" s="1655"/>
      <c r="X16" s="2003"/>
      <c r="Y16" s="3595"/>
      <c r="Z16" s="2007"/>
      <c r="AA16" s="1998">
        <v>1</v>
      </c>
      <c r="AB16" s="1998">
        <v>1</v>
      </c>
      <c r="AC16" s="1998">
        <v>1</v>
      </c>
    </row>
    <row r="17" spans="1:29" ht="15">
      <c r="A17" s="1631"/>
      <c r="B17" s="2413" t="s">
        <v>1466</v>
      </c>
      <c r="C17" s="1909" t="str">
        <f>估价对象房地状况!C6</f>
        <v>较好</v>
      </c>
      <c r="D17" s="1664">
        <v>100</v>
      </c>
      <c r="E17" s="1670"/>
      <c r="F17" s="1664">
        <f>SUMIF(79:79,E18,80:80)-SUMIF(79:79,C18,80:80)+100</f>
        <v>100</v>
      </c>
      <c r="G17" s="1668"/>
      <c r="H17" s="1671">
        <f>SUMIF(79:79,G18,80:80)-SUMIF(79:79,C18,80:80)+100</f>
        <v>100</v>
      </c>
      <c r="I17" s="1668"/>
      <c r="J17" s="1671">
        <f>SUMIF(79:79,I18,80:80)-SUMIF(79:79,C18,80:80)+100</f>
        <v>98</v>
      </c>
      <c r="K17" s="2391">
        <v>2</v>
      </c>
      <c r="L17" s="2920"/>
      <c r="M17" s="2916"/>
      <c r="N17" s="2916"/>
      <c r="O17" s="2916"/>
      <c r="P17" s="3595"/>
      <c r="Q17" s="2834" t="str">
        <f>B17</f>
        <v>交通便捷度</v>
      </c>
      <c r="R17" s="1654" t="s">
        <v>25</v>
      </c>
      <c r="S17" s="1655">
        <f>F17</f>
        <v>100</v>
      </c>
      <c r="T17" s="1654" t="s">
        <v>25</v>
      </c>
      <c r="U17" s="1655">
        <f>H17</f>
        <v>100</v>
      </c>
      <c r="V17" s="1654" t="s">
        <v>25</v>
      </c>
      <c r="W17" s="1655">
        <f>J17</f>
        <v>98</v>
      </c>
      <c r="X17" s="2003"/>
      <c r="Y17" s="3595"/>
      <c r="Z17" s="2007" t="str">
        <f>Q17</f>
        <v>交通便捷度</v>
      </c>
      <c r="AA17" s="1998">
        <f t="shared" si="3"/>
        <v>1</v>
      </c>
      <c r="AB17" s="1998">
        <f t="shared" si="4"/>
        <v>1</v>
      </c>
      <c r="AC17" s="1998">
        <f t="shared" si="5"/>
        <v>1.0204081632653061</v>
      </c>
    </row>
    <row r="18" spans="1:29" ht="15">
      <c r="A18" s="1631"/>
      <c r="B18" s="2414"/>
      <c r="C18" s="1908" t="s">
        <v>30</v>
      </c>
      <c r="D18" s="1664"/>
      <c r="E18" s="1675" t="s">
        <v>30</v>
      </c>
      <c r="F18" s="1664"/>
      <c r="G18" s="1674" t="s">
        <v>30</v>
      </c>
      <c r="H18" s="1660"/>
      <c r="I18" s="1674" t="s">
        <v>31</v>
      </c>
      <c r="J18" s="1660"/>
      <c r="K18" s="2392"/>
      <c r="L18" s="2920"/>
      <c r="M18" s="2916"/>
      <c r="N18" s="2916"/>
      <c r="O18" s="2916"/>
      <c r="P18" s="3595"/>
      <c r="Q18" s="2834"/>
      <c r="R18" s="1654"/>
      <c r="S18" s="1655"/>
      <c r="T18" s="1654"/>
      <c r="U18" s="1655"/>
      <c r="V18" s="1654"/>
      <c r="W18" s="1655"/>
      <c r="X18" s="2003"/>
      <c r="Y18" s="3595"/>
      <c r="Z18" s="2007"/>
      <c r="AA18" s="1998">
        <v>1</v>
      </c>
      <c r="AB18" s="1998">
        <v>1</v>
      </c>
      <c r="AC18" s="1998">
        <v>1</v>
      </c>
    </row>
    <row r="19" spans="1:29" ht="15">
      <c r="A19" s="1631"/>
      <c r="B19" s="2413" t="s">
        <v>2145</v>
      </c>
      <c r="C19" s="1909" t="str">
        <f>估价对象房地状况!C7</f>
        <v>较好</v>
      </c>
      <c r="D19" s="1671">
        <v>100</v>
      </c>
      <c r="E19" s="1678"/>
      <c r="F19" s="1671">
        <f>SUMIF(81:81,E20,82:82)-SUMIF(81:81,C20,82:82)+100</f>
        <v>100</v>
      </c>
      <c r="G19" s="1676"/>
      <c r="H19" s="1664">
        <f>SUMIF(81:81,G20,82:82)-SUMIF(81:81,C20,82:82)+100</f>
        <v>100</v>
      </c>
      <c r="I19" s="1676"/>
      <c r="J19" s="1664">
        <f>SUMIF(81:81,I20,82:82)-SUMIF(81:81,C20,82:82)+100</f>
        <v>100</v>
      </c>
      <c r="K19" s="2391">
        <v>2</v>
      </c>
      <c r="L19" s="2920"/>
      <c r="M19" s="2916"/>
      <c r="N19" s="2916"/>
      <c r="O19" s="2916"/>
      <c r="P19" s="3595"/>
      <c r="Q19" s="2834" t="str">
        <f>B19</f>
        <v>公共配套设施</v>
      </c>
      <c r="R19" s="1654" t="s">
        <v>25</v>
      </c>
      <c r="S19" s="1655">
        <f>F19</f>
        <v>100</v>
      </c>
      <c r="T19" s="1654" t="s">
        <v>25</v>
      </c>
      <c r="U19" s="1655">
        <f>H19</f>
        <v>100</v>
      </c>
      <c r="V19" s="1654" t="s">
        <v>25</v>
      </c>
      <c r="W19" s="1655">
        <f>J19</f>
        <v>100</v>
      </c>
      <c r="X19" s="2003"/>
      <c r="Y19" s="3595"/>
      <c r="Z19" s="2007" t="str">
        <f>Q19</f>
        <v>公共配套设施</v>
      </c>
      <c r="AA19" s="1998">
        <f t="shared" si="3"/>
        <v>1</v>
      </c>
      <c r="AB19" s="1998">
        <f t="shared" si="4"/>
        <v>1</v>
      </c>
      <c r="AC19" s="1998">
        <f t="shared" si="5"/>
        <v>1</v>
      </c>
    </row>
    <row r="20" spans="1:29" ht="15">
      <c r="A20" s="1631"/>
      <c r="B20" s="2414"/>
      <c r="C20" s="1904" t="s">
        <v>30</v>
      </c>
      <c r="D20" s="1660"/>
      <c r="E20" s="1663" t="s">
        <v>30</v>
      </c>
      <c r="F20" s="1660"/>
      <c r="G20" s="1661" t="s">
        <v>30</v>
      </c>
      <c r="H20" s="1660"/>
      <c r="I20" s="1661" t="s">
        <v>30</v>
      </c>
      <c r="J20" s="1660"/>
      <c r="K20" s="2392"/>
      <c r="L20" s="2920"/>
      <c r="M20" s="2916"/>
      <c r="N20" s="2916"/>
      <c r="O20" s="2916"/>
      <c r="P20" s="3595"/>
      <c r="Q20" s="2834"/>
      <c r="R20" s="1654"/>
      <c r="S20" s="1655"/>
      <c r="T20" s="1654"/>
      <c r="U20" s="1655"/>
      <c r="V20" s="1654"/>
      <c r="W20" s="1655"/>
      <c r="X20" s="2003"/>
      <c r="Y20" s="3595"/>
      <c r="Z20" s="2007"/>
      <c r="AA20" s="1998">
        <v>1</v>
      </c>
      <c r="AB20" s="1998">
        <v>1</v>
      </c>
      <c r="AC20" s="1998">
        <v>1</v>
      </c>
    </row>
    <row r="21" spans="1:29" ht="15">
      <c r="A21" s="1631"/>
      <c r="B21" s="2415" t="s">
        <v>2146</v>
      </c>
      <c r="C21" s="1909" t="str">
        <f>估价对象房地状况!C8</f>
        <v>七通</v>
      </c>
      <c r="D21" s="1671">
        <v>100</v>
      </c>
      <c r="E21" s="1678"/>
      <c r="F21" s="1671">
        <f>SUMIF(83:83,E22,84:84)-SUMIF(83:83,C22,84:84)+100</f>
        <v>100</v>
      </c>
      <c r="G21" s="1676"/>
      <c r="H21" s="1664">
        <f>SUMIF(83:83,G22,84:84)-SUMIF(83:83,C22,84:84)+100</f>
        <v>100</v>
      </c>
      <c r="I21" s="1676"/>
      <c r="J21" s="1664">
        <f>SUMIF(83:83,I22,84:84)-SUMIF(83:83,C22,84:84)+100</f>
        <v>100</v>
      </c>
      <c r="K21" s="2391">
        <v>2</v>
      </c>
      <c r="L21" s="2920"/>
      <c r="M21" s="2916"/>
      <c r="N21" s="2916"/>
      <c r="O21" s="2916"/>
      <c r="P21" s="3595"/>
      <c r="Q21" s="2834" t="str">
        <f>B21</f>
        <v>基础设施水平</v>
      </c>
      <c r="R21" s="1654" t="s">
        <v>25</v>
      </c>
      <c r="S21" s="1655">
        <f>F21</f>
        <v>100</v>
      </c>
      <c r="T21" s="1654" t="s">
        <v>25</v>
      </c>
      <c r="U21" s="1655">
        <f>H21</f>
        <v>100</v>
      </c>
      <c r="V21" s="1654" t="s">
        <v>25</v>
      </c>
      <c r="W21" s="1655">
        <f>J21</f>
        <v>100</v>
      </c>
      <c r="X21" s="2003"/>
      <c r="Y21" s="3595"/>
      <c r="Z21" s="2007" t="str">
        <f>Q21</f>
        <v>基础设施水平</v>
      </c>
      <c r="AA21" s="1998">
        <f t="shared" ref="AA21" si="8">D21/F21</f>
        <v>1</v>
      </c>
      <c r="AB21" s="1998">
        <f t="shared" ref="AB21" si="9">D21/H21</f>
        <v>1</v>
      </c>
      <c r="AC21" s="1998">
        <f t="shared" ref="AC21" si="10">D21/J21</f>
        <v>1</v>
      </c>
    </row>
    <row r="22" spans="1:29" ht="15">
      <c r="A22" s="1631"/>
      <c r="B22" s="2415"/>
      <c r="C22" s="1908" t="s">
        <v>3035</v>
      </c>
      <c r="D22" s="1660"/>
      <c r="E22" s="1908" t="s">
        <v>3035</v>
      </c>
      <c r="F22" s="1660"/>
      <c r="G22" s="1908" t="s">
        <v>3035</v>
      </c>
      <c r="H22" s="1660"/>
      <c r="I22" s="1908" t="s">
        <v>3035</v>
      </c>
      <c r="J22" s="1660"/>
      <c r="K22" s="2393"/>
      <c r="L22" s="2920"/>
      <c r="M22" s="2916"/>
      <c r="N22" s="2916"/>
      <c r="O22" s="2916"/>
      <c r="P22" s="3595"/>
      <c r="Q22" s="2834"/>
      <c r="R22" s="1654"/>
      <c r="S22" s="1655"/>
      <c r="T22" s="1654"/>
      <c r="U22" s="1655"/>
      <c r="V22" s="1654"/>
      <c r="W22" s="1655"/>
      <c r="X22" s="2003"/>
      <c r="Y22" s="3595"/>
      <c r="Z22" s="2007"/>
      <c r="AA22" s="1998">
        <v>1</v>
      </c>
      <c r="AB22" s="1998">
        <v>1</v>
      </c>
      <c r="AC22" s="1998">
        <v>1</v>
      </c>
    </row>
    <row r="23" spans="1:29" ht="15">
      <c r="A23" s="1631"/>
      <c r="B23" s="2413" t="s">
        <v>2147</v>
      </c>
      <c r="C23" s="1909" t="str">
        <f>估价对象房地状况!C9</f>
        <v>较好</v>
      </c>
      <c r="D23" s="1664">
        <v>100</v>
      </c>
      <c r="E23" s="1670"/>
      <c r="F23" s="1664">
        <f>SUMIF(85:85,E24,86:86)-SUMIF(85:85,C24,86:86)+100</f>
        <v>100</v>
      </c>
      <c r="G23" s="1668"/>
      <c r="H23" s="1664">
        <f>SUMIF(85:85,G24,86:86)-SUMIF(85:85,C24,86:86)+100</f>
        <v>100</v>
      </c>
      <c r="I23" s="1668"/>
      <c r="J23" s="1664">
        <f>SUMIF(85:85,I24,86:86)-SUMIF(85:85,C24,86:86)+100</f>
        <v>100</v>
      </c>
      <c r="K23" s="2391">
        <v>2</v>
      </c>
      <c r="L23" s="2920"/>
      <c r="M23" s="2916"/>
      <c r="N23" s="2916"/>
      <c r="O23" s="2916"/>
      <c r="P23" s="3595"/>
      <c r="Q23" s="2834" t="str">
        <f>B23</f>
        <v>环境质量</v>
      </c>
      <c r="R23" s="1654" t="s">
        <v>25</v>
      </c>
      <c r="S23" s="1655">
        <f>F23</f>
        <v>100</v>
      </c>
      <c r="T23" s="1654" t="s">
        <v>25</v>
      </c>
      <c r="U23" s="1655">
        <f>H23</f>
        <v>100</v>
      </c>
      <c r="V23" s="1654" t="s">
        <v>25</v>
      </c>
      <c r="W23" s="1655">
        <f>J23</f>
        <v>100</v>
      </c>
      <c r="X23" s="2003"/>
      <c r="Y23" s="3595"/>
      <c r="Z23" s="2007" t="str">
        <f>Q23</f>
        <v>环境质量</v>
      </c>
      <c r="AA23" s="1998">
        <f t="shared" si="3"/>
        <v>1</v>
      </c>
      <c r="AB23" s="1998">
        <f t="shared" si="4"/>
        <v>1</v>
      </c>
      <c r="AC23" s="1998">
        <f t="shared" si="5"/>
        <v>1</v>
      </c>
    </row>
    <row r="24" spans="1:29" ht="15">
      <c r="A24" s="1631"/>
      <c r="B24" s="2415"/>
      <c r="C24" s="1904" t="s">
        <v>30</v>
      </c>
      <c r="D24" s="1660"/>
      <c r="E24" s="1663" t="s">
        <v>30</v>
      </c>
      <c r="F24" s="1660"/>
      <c r="G24" s="1661" t="s">
        <v>30</v>
      </c>
      <c r="H24" s="1660"/>
      <c r="I24" s="1661" t="s">
        <v>30</v>
      </c>
      <c r="J24" s="1660"/>
      <c r="K24" s="2392"/>
      <c r="L24" s="2920"/>
      <c r="M24" s="2916"/>
      <c r="N24" s="2916"/>
      <c r="O24" s="2916"/>
      <c r="P24" s="3595"/>
      <c r="Q24" s="2834"/>
      <c r="R24" s="1654"/>
      <c r="S24" s="1655"/>
      <c r="T24" s="1654"/>
      <c r="U24" s="1655"/>
      <c r="V24" s="1654"/>
      <c r="W24" s="1655"/>
      <c r="X24" s="2003"/>
      <c r="Y24" s="3595"/>
      <c r="Z24" s="2007"/>
      <c r="AA24" s="1998">
        <v>1</v>
      </c>
      <c r="AB24" s="1998">
        <v>1</v>
      </c>
      <c r="AC24" s="1998">
        <v>1</v>
      </c>
    </row>
    <row r="25" spans="1:29" ht="27">
      <c r="A25" s="1596"/>
      <c r="B25" s="2413" t="s">
        <v>2148</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5"/>
      <c r="Q25" s="2834" t="str">
        <f>B25</f>
        <v>毗邻道路的类型与等级</v>
      </c>
      <c r="R25" s="1654" t="s">
        <v>25</v>
      </c>
      <c r="S25" s="1655">
        <f>F25</f>
        <v>100</v>
      </c>
      <c r="T25" s="1654" t="s">
        <v>25</v>
      </c>
      <c r="U25" s="1655">
        <f>H25</f>
        <v>100</v>
      </c>
      <c r="V25" s="1654" t="s">
        <v>25</v>
      </c>
      <c r="W25" s="1655">
        <f>J25</f>
        <v>100</v>
      </c>
      <c r="X25" s="2003"/>
      <c r="Y25" s="3595"/>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5"/>
      <c r="Q26" s="2834"/>
      <c r="R26" s="1654"/>
      <c r="S26" s="1655"/>
      <c r="T26" s="1654"/>
      <c r="U26" s="1655"/>
      <c r="V26" s="1654"/>
      <c r="W26" s="1655"/>
      <c r="X26" s="2003"/>
      <c r="Y26" s="3595"/>
      <c r="Z26" s="2007"/>
      <c r="AA26" s="1998">
        <v>1</v>
      </c>
      <c r="AB26" s="1998">
        <v>1</v>
      </c>
      <c r="AC26" s="1998">
        <v>1</v>
      </c>
    </row>
    <row r="27" spans="1:29" ht="15">
      <c r="A27" s="1631"/>
      <c r="B27" s="2414" t="s">
        <v>2121</v>
      </c>
      <c r="C27" s="1912" t="s">
        <v>3046</v>
      </c>
      <c r="D27" s="1640">
        <v>100</v>
      </c>
      <c r="E27" s="1920" t="s">
        <v>3048</v>
      </c>
      <c r="F27" s="1640">
        <f>SUMIF(89:89,E27,90:90)-SUMIF(89:89,C27,90:90)+100</f>
        <v>97</v>
      </c>
      <c r="G27" s="1912" t="s">
        <v>3046</v>
      </c>
      <c r="H27" s="1640">
        <f>SUMIF(89:89,G27,90:90)-SUMIF(89:89,C27,90:90)+100</f>
        <v>100</v>
      </c>
      <c r="I27" s="1920" t="s">
        <v>3044</v>
      </c>
      <c r="J27" s="1640">
        <f>SUMIF(89:89,I27,90:90)-SUMIF(89:89,C27,90:90)+100</f>
        <v>103</v>
      </c>
      <c r="K27" s="1921">
        <v>3</v>
      </c>
      <c r="L27" s="2920"/>
      <c r="M27" s="2916"/>
      <c r="N27" s="2916"/>
      <c r="O27" s="2916"/>
      <c r="P27" s="3595"/>
      <c r="Q27" s="2834" t="str">
        <f t="shared" ref="Q27:Q47" si="11">B27</f>
        <v>楼层</v>
      </c>
      <c r="R27" s="1654" t="s">
        <v>25</v>
      </c>
      <c r="S27" s="1655">
        <f>F27</f>
        <v>97</v>
      </c>
      <c r="T27" s="1654" t="s">
        <v>25</v>
      </c>
      <c r="U27" s="1655">
        <f>H27</f>
        <v>100</v>
      </c>
      <c r="V27" s="1654" t="s">
        <v>25</v>
      </c>
      <c r="W27" s="1655">
        <f>J27</f>
        <v>103</v>
      </c>
      <c r="X27" s="2003"/>
      <c r="Y27" s="3595"/>
      <c r="Z27" s="2007" t="str">
        <f>Q27</f>
        <v>楼层</v>
      </c>
      <c r="AA27" s="1998">
        <f t="shared" si="3"/>
        <v>1.0309278350515463</v>
      </c>
      <c r="AB27" s="1998">
        <f t="shared" si="4"/>
        <v>1</v>
      </c>
      <c r="AC27" s="1998">
        <f t="shared" si="5"/>
        <v>0.970873786407767</v>
      </c>
    </row>
    <row r="28" spans="1:29" s="1613" customFormat="1" ht="15">
      <c r="A28" s="1634"/>
      <c r="B28" s="2413" t="s">
        <v>2149</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5"/>
      <c r="Q28" s="2833" t="str">
        <f t="shared" si="11"/>
        <v>朝向</v>
      </c>
      <c r="R28" s="1609" t="s">
        <v>25</v>
      </c>
      <c r="S28" s="1610">
        <f>F28</f>
        <v>100</v>
      </c>
      <c r="T28" s="1609" t="s">
        <v>25</v>
      </c>
      <c r="U28" s="1610">
        <f>H28</f>
        <v>100</v>
      </c>
      <c r="V28" s="1609" t="s">
        <v>25</v>
      </c>
      <c r="W28" s="1610">
        <f>J28</f>
        <v>100</v>
      </c>
      <c r="X28" s="1611"/>
      <c r="Y28" s="3595"/>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5"/>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5"/>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5"/>
      <c r="Q30" s="2834">
        <f t="shared" si="11"/>
        <v>111</v>
      </c>
      <c r="R30" s="1654" t="s">
        <v>25</v>
      </c>
      <c r="S30" s="1655">
        <f t="shared" si="12"/>
        <v>100</v>
      </c>
      <c r="T30" s="1654" t="s">
        <v>25</v>
      </c>
      <c r="U30" s="1655">
        <f t="shared" si="13"/>
        <v>100</v>
      </c>
      <c r="V30" s="1654" t="s">
        <v>25</v>
      </c>
      <c r="W30" s="1655">
        <f t="shared" si="14"/>
        <v>100</v>
      </c>
      <c r="X30" s="2003"/>
      <c r="Y30" s="3595"/>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5"/>
      <c r="Q31" s="2834">
        <f t="shared" si="11"/>
        <v>111</v>
      </c>
      <c r="R31" s="1654" t="s">
        <v>25</v>
      </c>
      <c r="S31" s="1655">
        <f t="shared" si="12"/>
        <v>100</v>
      </c>
      <c r="T31" s="1654" t="s">
        <v>25</v>
      </c>
      <c r="U31" s="1655">
        <f t="shared" si="13"/>
        <v>100</v>
      </c>
      <c r="V31" s="1654" t="s">
        <v>25</v>
      </c>
      <c r="W31" s="1655">
        <f t="shared" si="14"/>
        <v>100</v>
      </c>
      <c r="X31" s="2003"/>
      <c r="Y31" s="3595"/>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5"/>
      <c r="Q32" s="2834">
        <f t="shared" si="11"/>
        <v>111</v>
      </c>
      <c r="R32" s="1654" t="s">
        <v>25</v>
      </c>
      <c r="S32" s="1655">
        <f t="shared" si="12"/>
        <v>100</v>
      </c>
      <c r="T32" s="1654" t="s">
        <v>25</v>
      </c>
      <c r="U32" s="1655">
        <f t="shared" si="13"/>
        <v>100</v>
      </c>
      <c r="V32" s="1654" t="s">
        <v>25</v>
      </c>
      <c r="W32" s="1655">
        <f t="shared" si="14"/>
        <v>100</v>
      </c>
      <c r="X32" s="2003"/>
      <c r="Y32" s="3595"/>
      <c r="Z32" s="2007">
        <f t="shared" si="15"/>
        <v>111</v>
      </c>
      <c r="AA32" s="1998">
        <f t="shared" si="3"/>
        <v>1</v>
      </c>
      <c r="AB32" s="1998">
        <f t="shared" si="4"/>
        <v>1</v>
      </c>
      <c r="AC32" s="1998">
        <f t="shared" si="5"/>
        <v>1</v>
      </c>
    </row>
    <row r="33" spans="1:29" ht="15">
      <c r="A33" s="1646" t="s">
        <v>2034</v>
      </c>
      <c r="B33" s="1616" t="s">
        <v>2150</v>
      </c>
      <c r="C33" s="2421" t="s">
        <v>3050</v>
      </c>
      <c r="D33" s="1691">
        <v>100</v>
      </c>
      <c r="E33" s="2421" t="s">
        <v>3050</v>
      </c>
      <c r="F33" s="1683">
        <f>SUMIF(101:101,E33,102:102)-SUMIF(101:101,C33,102:102)+100</f>
        <v>100</v>
      </c>
      <c r="G33" s="2421" t="s">
        <v>3050</v>
      </c>
      <c r="H33" s="1640">
        <f>SUMIF(101:101,G33,102:102)-SUMIF(101:101,C33,102:102)+100</f>
        <v>100</v>
      </c>
      <c r="I33" s="2421" t="s">
        <v>3050</v>
      </c>
      <c r="J33" s="1691">
        <f>SUMIF(101:101,I33,102:102)-SUMIF(101:101,C33,102:102)+100</f>
        <v>100</v>
      </c>
      <c r="K33" s="1921">
        <v>5</v>
      </c>
      <c r="L33" s="2920"/>
      <c r="M33" s="2916"/>
      <c r="N33" s="2916"/>
      <c r="O33" s="2916"/>
      <c r="P33" s="3596" t="s">
        <v>2036</v>
      </c>
      <c r="Q33" s="2834" t="str">
        <f t="shared" si="11"/>
        <v>建筑类型</v>
      </c>
      <c r="R33" s="1654" t="s">
        <v>25</v>
      </c>
      <c r="S33" s="1655">
        <f t="shared" si="12"/>
        <v>100</v>
      </c>
      <c r="T33" s="1654" t="s">
        <v>25</v>
      </c>
      <c r="U33" s="1655">
        <f t="shared" si="13"/>
        <v>100</v>
      </c>
      <c r="V33" s="1654" t="s">
        <v>25</v>
      </c>
      <c r="W33" s="1655">
        <f t="shared" si="14"/>
        <v>100</v>
      </c>
      <c r="X33" s="2003"/>
      <c r="Y33" s="3597" t="s">
        <v>2036</v>
      </c>
      <c r="Z33" s="2007" t="str">
        <f t="shared" si="15"/>
        <v>建筑类型</v>
      </c>
      <c r="AA33" s="1998">
        <f t="shared" si="3"/>
        <v>1</v>
      </c>
      <c r="AB33" s="1998">
        <f t="shared" si="4"/>
        <v>1</v>
      </c>
      <c r="AC33" s="1998">
        <f t="shared" si="5"/>
        <v>1</v>
      </c>
    </row>
    <row r="34" spans="1:29" s="1700" customFormat="1" ht="15">
      <c r="A34" s="1693"/>
      <c r="B34" s="1624" t="s">
        <v>2037</v>
      </c>
      <c r="C34" s="1694">
        <f>项目基本情况!C12</f>
        <v>182.31</v>
      </c>
      <c r="D34" s="1626">
        <v>100</v>
      </c>
      <c r="E34" s="1633">
        <v>330.55</v>
      </c>
      <c r="F34" s="1628">
        <f>LOOKUP(E34,104:104,105:105)-LOOKUP(C34,104:104,105:105)+100</f>
        <v>98</v>
      </c>
      <c r="G34" s="1632">
        <v>130</v>
      </c>
      <c r="H34" s="1626">
        <f>LOOKUP(G34,104:104,105:105)-LOOKUP(C34,104:104,105:105)+100</f>
        <v>100</v>
      </c>
      <c r="I34" s="1632">
        <v>100</v>
      </c>
      <c r="J34" s="1626">
        <f>LOOKUP(I34,104:104,105:105)-LOOKUP(C34,104:104,105:105)+100</f>
        <v>100</v>
      </c>
      <c r="K34" s="1918"/>
      <c r="L34" s="2919"/>
      <c r="M34" s="1988"/>
      <c r="N34" s="1988"/>
      <c r="O34" s="1988"/>
      <c r="P34" s="3597"/>
      <c r="Q34" s="1695" t="str">
        <f t="shared" si="11"/>
        <v>项目建筑规模</v>
      </c>
      <c r="R34" s="1696" t="s">
        <v>25</v>
      </c>
      <c r="S34" s="1697">
        <f t="shared" si="12"/>
        <v>98</v>
      </c>
      <c r="T34" s="1696" t="s">
        <v>25</v>
      </c>
      <c r="U34" s="1697">
        <f t="shared" si="13"/>
        <v>100</v>
      </c>
      <c r="V34" s="1696" t="s">
        <v>25</v>
      </c>
      <c r="W34" s="1697">
        <f t="shared" si="14"/>
        <v>100</v>
      </c>
      <c r="X34" s="1698"/>
      <c r="Y34" s="3597"/>
      <c r="Z34" s="1699" t="str">
        <f t="shared" si="15"/>
        <v>项目建筑规模</v>
      </c>
      <c r="AA34" s="1998">
        <f t="shared" si="3"/>
        <v>1.0204081632653061</v>
      </c>
      <c r="AB34" s="1998">
        <f t="shared" si="4"/>
        <v>1</v>
      </c>
      <c r="AC34" s="1998">
        <f t="shared" si="5"/>
        <v>1</v>
      </c>
    </row>
    <row r="35" spans="1:29" ht="15">
      <c r="A35" s="1701"/>
      <c r="B35" s="1624" t="s">
        <v>2038</v>
      </c>
      <c r="C35" s="1681" t="s">
        <v>3052</v>
      </c>
      <c r="D35" s="1640">
        <v>100</v>
      </c>
      <c r="E35" s="1681" t="s">
        <v>3052</v>
      </c>
      <c r="F35" s="1683">
        <f>SUMIF(106:106,E35,107:107)-SUMIF(106:106,C35,107:107)+100</f>
        <v>100</v>
      </c>
      <c r="G35" s="1681" t="s">
        <v>3052</v>
      </c>
      <c r="H35" s="1640">
        <f>SUMIF(106:106,G35,107:107)-SUMIF(106:106,C35,107:107)+100</f>
        <v>100</v>
      </c>
      <c r="I35" s="1681" t="s">
        <v>3052</v>
      </c>
      <c r="J35" s="1640">
        <f>SUMIF(106:106,I35,107:107)-SUMIF(106:106,C35,107:107)+100</f>
        <v>100</v>
      </c>
      <c r="K35" s="1921">
        <v>2</v>
      </c>
      <c r="L35" s="2920"/>
      <c r="M35" s="2916"/>
      <c r="N35" s="2916"/>
      <c r="O35" s="2916"/>
      <c r="P35" s="3597"/>
      <c r="Q35" s="2834" t="str">
        <f t="shared" si="11"/>
        <v>建筑结构</v>
      </c>
      <c r="R35" s="1654" t="s">
        <v>25</v>
      </c>
      <c r="S35" s="1655">
        <f t="shared" si="12"/>
        <v>100</v>
      </c>
      <c r="T35" s="1654" t="s">
        <v>25</v>
      </c>
      <c r="U35" s="1655">
        <f t="shared" si="13"/>
        <v>100</v>
      </c>
      <c r="V35" s="1654" t="s">
        <v>25</v>
      </c>
      <c r="W35" s="1655">
        <f t="shared" si="14"/>
        <v>100</v>
      </c>
      <c r="X35" s="2003"/>
      <c r="Y35" s="3597"/>
      <c r="Z35" s="2007" t="str">
        <f t="shared" si="15"/>
        <v>建筑结构</v>
      </c>
      <c r="AA35" s="1998">
        <f t="shared" si="3"/>
        <v>1</v>
      </c>
      <c r="AB35" s="1998">
        <f t="shared" si="4"/>
        <v>1</v>
      </c>
      <c r="AC35" s="1998">
        <f t="shared" si="5"/>
        <v>1</v>
      </c>
    </row>
    <row r="36" spans="1:29" ht="15">
      <c r="A36" s="1701"/>
      <c r="B36" s="1624" t="s">
        <v>2123</v>
      </c>
      <c r="C36" s="1681" t="s">
        <v>3054</v>
      </c>
      <c r="D36" s="1640">
        <v>100</v>
      </c>
      <c r="E36" s="1681" t="s">
        <v>3054</v>
      </c>
      <c r="F36" s="1683">
        <f>SUMIF(108:108,E36,109:109)-SUMIF(108:108,C36,109:109)+100</f>
        <v>100</v>
      </c>
      <c r="G36" s="1681" t="s">
        <v>3054</v>
      </c>
      <c r="H36" s="1640">
        <f>SUMIF(108:108,G36,109:109)-SUMIF(108:108,C36,109:109)+100</f>
        <v>100</v>
      </c>
      <c r="I36" s="1681" t="s">
        <v>3054</v>
      </c>
      <c r="J36" s="1640">
        <f>SUMIF(108:108,I36,109:109)-SUMIF(108:108,C36,109:109)+100</f>
        <v>100</v>
      </c>
      <c r="K36" s="1921">
        <v>2</v>
      </c>
      <c r="L36" s="2920"/>
      <c r="M36" s="2916"/>
      <c r="N36" s="2916"/>
      <c r="O36" s="2916"/>
      <c r="P36" s="3597"/>
      <c r="Q36" s="2834" t="str">
        <f t="shared" si="11"/>
        <v>公共部分装修</v>
      </c>
      <c r="R36" s="1654" t="s">
        <v>25</v>
      </c>
      <c r="S36" s="1655">
        <f t="shared" si="12"/>
        <v>100</v>
      </c>
      <c r="T36" s="1654" t="s">
        <v>25</v>
      </c>
      <c r="U36" s="1655">
        <f t="shared" si="13"/>
        <v>100</v>
      </c>
      <c r="V36" s="1654" t="s">
        <v>25</v>
      </c>
      <c r="W36" s="1655">
        <f t="shared" si="14"/>
        <v>100</v>
      </c>
      <c r="X36" s="2003"/>
      <c r="Y36" s="3597"/>
      <c r="Z36" s="2007" t="str">
        <f t="shared" si="15"/>
        <v>公共部分装修</v>
      </c>
      <c r="AA36" s="1998">
        <f t="shared" si="3"/>
        <v>1</v>
      </c>
      <c r="AB36" s="1998">
        <f t="shared" si="4"/>
        <v>1</v>
      </c>
      <c r="AC36" s="1998">
        <f t="shared" si="5"/>
        <v>1</v>
      </c>
    </row>
    <row r="37" spans="1:29" ht="15">
      <c r="A37" s="1701"/>
      <c r="B37" s="1624" t="s">
        <v>2124</v>
      </c>
      <c r="C37" s="1705">
        <f>'数据-取费表'!E20</f>
        <v>0.78</v>
      </c>
      <c r="D37" s="1640">
        <v>100</v>
      </c>
      <c r="E37" s="1705">
        <f>C37</f>
        <v>0.78</v>
      </c>
      <c r="F37" s="1683">
        <f>LOOKUP(E37,111:111,112:112)-LOOKUP(C37,111:111,112:112)+100</f>
        <v>100</v>
      </c>
      <c r="G37" s="1705">
        <f>C37</f>
        <v>0.78</v>
      </c>
      <c r="H37" s="1683">
        <f>LOOKUP(G37,111:111,112:112)-LOOKUP(C37,111:111,112:112)+100</f>
        <v>100</v>
      </c>
      <c r="I37" s="1705">
        <v>0.72</v>
      </c>
      <c r="J37" s="1640">
        <f>LOOKUP(I37,111:111,112:112)-LOOKUP(C37,111:111,112:112)+100</f>
        <v>100</v>
      </c>
      <c r="K37" s="1921">
        <v>2</v>
      </c>
      <c r="L37" s="2920"/>
      <c r="M37" s="2916"/>
      <c r="N37" s="2916"/>
      <c r="O37" s="2916"/>
      <c r="P37" s="3597"/>
      <c r="Q37" s="2834" t="str">
        <f t="shared" si="11"/>
        <v>成新度</v>
      </c>
      <c r="R37" s="1654" t="s">
        <v>25</v>
      </c>
      <c r="S37" s="1655">
        <f t="shared" si="12"/>
        <v>100</v>
      </c>
      <c r="T37" s="1654" t="s">
        <v>25</v>
      </c>
      <c r="U37" s="1655">
        <f t="shared" si="13"/>
        <v>100</v>
      </c>
      <c r="V37" s="1654" t="s">
        <v>25</v>
      </c>
      <c r="W37" s="1655">
        <f t="shared" si="14"/>
        <v>100</v>
      </c>
      <c r="X37" s="2003"/>
      <c r="Y37" s="3597"/>
      <c r="Z37" s="2007" t="str">
        <f t="shared" si="15"/>
        <v>成新度</v>
      </c>
      <c r="AA37" s="1998">
        <f t="shared" si="3"/>
        <v>1</v>
      </c>
      <c r="AB37" s="1998">
        <f t="shared" si="4"/>
        <v>1</v>
      </c>
      <c r="AC37" s="1998">
        <f t="shared" si="5"/>
        <v>1</v>
      </c>
    </row>
    <row r="38" spans="1:29" s="1613" customFormat="1" ht="15">
      <c r="A38" s="1704"/>
      <c r="B38" s="1624" t="s">
        <v>2151</v>
      </c>
      <c r="C38" s="1681" t="s">
        <v>3062</v>
      </c>
      <c r="D38" s="1626">
        <v>100</v>
      </c>
      <c r="E38" s="1681" t="s">
        <v>3062</v>
      </c>
      <c r="F38" s="1683">
        <f>SUMIF(113:113,E38,114:114)-SUMIF(113:113,C38,114:114)+100</f>
        <v>100</v>
      </c>
      <c r="G38" s="1681" t="s">
        <v>3062</v>
      </c>
      <c r="H38" s="1640">
        <f>SUMIF(113:113,G38,114:114)-SUMIF(113:113,C38,114:114)+100</f>
        <v>100</v>
      </c>
      <c r="I38" s="1681" t="s">
        <v>3062</v>
      </c>
      <c r="J38" s="1640">
        <f>SUMIF(113:113,I38,114:114)-SUMIF(113:113,C38,114:114)+100</f>
        <v>100</v>
      </c>
      <c r="K38" s="1921">
        <v>2</v>
      </c>
      <c r="L38" s="2915"/>
      <c r="M38" s="2888"/>
      <c r="N38" s="2888"/>
      <c r="O38" s="2888"/>
      <c r="P38" s="3597"/>
      <c r="Q38" s="2833" t="str">
        <f t="shared" si="11"/>
        <v>写字楼等级</v>
      </c>
      <c r="R38" s="1609" t="s">
        <v>25</v>
      </c>
      <c r="S38" s="1610">
        <f t="shared" si="12"/>
        <v>100</v>
      </c>
      <c r="T38" s="1609" t="s">
        <v>25</v>
      </c>
      <c r="U38" s="1610">
        <f t="shared" si="13"/>
        <v>100</v>
      </c>
      <c r="V38" s="1609" t="s">
        <v>25</v>
      </c>
      <c r="W38" s="1610">
        <f t="shared" si="14"/>
        <v>100</v>
      </c>
      <c r="X38" s="1611"/>
      <c r="Y38" s="3597"/>
      <c r="Z38" s="1622" t="str">
        <f t="shared" si="15"/>
        <v>写字楼等级</v>
      </c>
      <c r="AA38" s="1612">
        <f t="shared" si="3"/>
        <v>1</v>
      </c>
      <c r="AB38" s="1612">
        <f t="shared" si="4"/>
        <v>1</v>
      </c>
      <c r="AC38" s="1612">
        <f t="shared" si="5"/>
        <v>1</v>
      </c>
    </row>
    <row r="39" spans="1:29" ht="15">
      <c r="A39" s="1701"/>
      <c r="B39" s="1624" t="s">
        <v>2152</v>
      </c>
      <c r="C39" s="1681" t="s">
        <v>3064</v>
      </c>
      <c r="D39" s="1640">
        <v>100</v>
      </c>
      <c r="E39" s="1681" t="s">
        <v>3064</v>
      </c>
      <c r="F39" s="1683">
        <f>SUMIF(115:115,E39,116:116)-SUMIF(115:115,C39,116:116)+100</f>
        <v>100</v>
      </c>
      <c r="G39" s="1681" t="s">
        <v>3064</v>
      </c>
      <c r="H39" s="1640">
        <f>SUMIF(115:115,G39,116:116)-SUMIF(115:115,C39,116:116)+100</f>
        <v>100</v>
      </c>
      <c r="I39" s="1681" t="s">
        <v>3064</v>
      </c>
      <c r="J39" s="1640">
        <f>SUMIF(115:115,I39,116:116)-SUMIF(115:115,C39,116:116)+100</f>
        <v>100</v>
      </c>
      <c r="K39" s="1921">
        <v>2</v>
      </c>
      <c r="L39" s="2920"/>
      <c r="M39" s="2916"/>
      <c r="N39" s="2916"/>
      <c r="O39" s="2916"/>
      <c r="P39" s="3597" t="s">
        <v>2036</v>
      </c>
      <c r="Q39" s="2834" t="str">
        <f t="shared" si="11"/>
        <v>物业管理</v>
      </c>
      <c r="R39" s="1654" t="s">
        <v>25</v>
      </c>
      <c r="S39" s="1655">
        <f t="shared" si="12"/>
        <v>100</v>
      </c>
      <c r="T39" s="1654" t="s">
        <v>25</v>
      </c>
      <c r="U39" s="1655">
        <f t="shared" si="13"/>
        <v>100</v>
      </c>
      <c r="V39" s="1654" t="s">
        <v>25</v>
      </c>
      <c r="W39" s="1655">
        <f t="shared" si="14"/>
        <v>100</v>
      </c>
      <c r="X39" s="2003"/>
      <c r="Y39" s="3597" t="s">
        <v>2036</v>
      </c>
      <c r="Z39" s="2007" t="str">
        <f t="shared" si="15"/>
        <v>物业管理</v>
      </c>
      <c r="AA39" s="1998">
        <f t="shared" si="3"/>
        <v>1</v>
      </c>
      <c r="AB39" s="1998">
        <f t="shared" si="4"/>
        <v>1</v>
      </c>
      <c r="AC39" s="1998">
        <f t="shared" si="5"/>
        <v>1</v>
      </c>
    </row>
    <row r="40" spans="1:29" ht="15">
      <c r="A40" s="1701"/>
      <c r="B40" s="1624" t="s">
        <v>2125</v>
      </c>
      <c r="C40" s="1681" t="s">
        <v>3074</v>
      </c>
      <c r="D40" s="1640">
        <v>100</v>
      </c>
      <c r="E40" s="1681" t="s">
        <v>3074</v>
      </c>
      <c r="F40" s="1683">
        <f>SUMIF(117:117,E40,118:118)-SUMIF(117:117,C40,118:118)+100</f>
        <v>100</v>
      </c>
      <c r="G40" s="1681" t="s">
        <v>3074</v>
      </c>
      <c r="H40" s="1640">
        <f>SUMIF(117:117,G40,118:118)-SUMIF(117:117,C40,118:118)+100</f>
        <v>100</v>
      </c>
      <c r="I40" s="1681" t="s">
        <v>3074</v>
      </c>
      <c r="J40" s="1640">
        <f>SUMIF(117:117,I40,118:118)-SUMIF(117:117,C40,118:118)+100</f>
        <v>100</v>
      </c>
      <c r="K40" s="1921">
        <v>2</v>
      </c>
      <c r="L40" s="2920"/>
      <c r="M40" s="2916"/>
      <c r="N40" s="2916"/>
      <c r="O40" s="2916"/>
      <c r="P40" s="3597"/>
      <c r="Q40" s="2834" t="str">
        <f t="shared" si="11"/>
        <v>市政基础设施</v>
      </c>
      <c r="R40" s="1654" t="s">
        <v>25</v>
      </c>
      <c r="S40" s="1655">
        <f t="shared" si="12"/>
        <v>100</v>
      </c>
      <c r="T40" s="1654" t="s">
        <v>25</v>
      </c>
      <c r="U40" s="1655">
        <f t="shared" si="13"/>
        <v>100</v>
      </c>
      <c r="V40" s="1654" t="s">
        <v>25</v>
      </c>
      <c r="W40" s="1655">
        <f t="shared" si="14"/>
        <v>100</v>
      </c>
      <c r="X40" s="2003"/>
      <c r="Y40" s="3597"/>
      <c r="Z40" s="2007" t="str">
        <f t="shared" si="15"/>
        <v>市政基础设施</v>
      </c>
      <c r="AA40" s="1998">
        <f t="shared" si="3"/>
        <v>1</v>
      </c>
      <c r="AB40" s="1998">
        <f t="shared" si="4"/>
        <v>1</v>
      </c>
      <c r="AC40" s="1998">
        <f t="shared" si="5"/>
        <v>1</v>
      </c>
    </row>
    <row r="41" spans="1:29" ht="15">
      <c r="A41" s="1701"/>
      <c r="B41" s="1624" t="s">
        <v>2127</v>
      </c>
      <c r="C41" s="1920" t="s">
        <v>3069</v>
      </c>
      <c r="D41" s="1640">
        <v>100</v>
      </c>
      <c r="E41" s="1920" t="s">
        <v>3069</v>
      </c>
      <c r="F41" s="1683">
        <f>SUMIF(119:119,E41,120:120)-SUMIF(119:119,C41,120:120)+100</f>
        <v>100</v>
      </c>
      <c r="G41" s="1920" t="s">
        <v>3069</v>
      </c>
      <c r="H41" s="1640">
        <f>SUMIF(119:119,G41,120:120)-SUMIF(119:119,C41,120:120)+100</f>
        <v>100</v>
      </c>
      <c r="I41" s="1920" t="s">
        <v>3069</v>
      </c>
      <c r="J41" s="1640">
        <f>SUMIF(119:119,I41,120:120)-SUMIF(119:119,C41,120:120)+100</f>
        <v>100</v>
      </c>
      <c r="K41" s="1921">
        <v>2</v>
      </c>
      <c r="L41" s="2920"/>
      <c r="M41" s="2916"/>
      <c r="N41" s="2916"/>
      <c r="O41" s="2916"/>
      <c r="P41" s="3597"/>
      <c r="Q41" s="2834" t="str">
        <f t="shared" si="11"/>
        <v>层高</v>
      </c>
      <c r="R41" s="1654" t="s">
        <v>25</v>
      </c>
      <c r="S41" s="1655">
        <f t="shared" si="12"/>
        <v>100</v>
      </c>
      <c r="T41" s="1654" t="s">
        <v>25</v>
      </c>
      <c r="U41" s="1655">
        <f t="shared" si="13"/>
        <v>100</v>
      </c>
      <c r="V41" s="1654" t="s">
        <v>25</v>
      </c>
      <c r="W41" s="1655">
        <f t="shared" si="14"/>
        <v>100</v>
      </c>
      <c r="X41" s="2003"/>
      <c r="Y41" s="3597"/>
      <c r="Z41" s="2007" t="str">
        <f t="shared" si="15"/>
        <v>层高</v>
      </c>
      <c r="AA41" s="1998">
        <f t="shared" si="3"/>
        <v>1</v>
      </c>
      <c r="AB41" s="1998">
        <f t="shared" si="4"/>
        <v>1</v>
      </c>
      <c r="AC41" s="1998">
        <f t="shared" si="5"/>
        <v>1</v>
      </c>
    </row>
    <row r="42" spans="1:29" s="1700" customFormat="1" ht="15">
      <c r="A42" s="1693"/>
      <c r="B42" s="1999" t="s">
        <v>2153</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7"/>
      <c r="Q42" s="1695" t="str">
        <f t="shared" si="11"/>
        <v>单套建筑面积</v>
      </c>
      <c r="R42" s="1696" t="s">
        <v>25</v>
      </c>
      <c r="S42" s="1697">
        <f t="shared" si="12"/>
        <v>100</v>
      </c>
      <c r="T42" s="1696" t="s">
        <v>25</v>
      </c>
      <c r="U42" s="1697">
        <f t="shared" si="13"/>
        <v>100</v>
      </c>
      <c r="V42" s="1696" t="s">
        <v>25</v>
      </c>
      <c r="W42" s="1697">
        <f t="shared" si="14"/>
        <v>100</v>
      </c>
      <c r="X42" s="1698"/>
      <c r="Y42" s="3597"/>
      <c r="Z42" s="1699" t="str">
        <f t="shared" si="15"/>
        <v>单套建筑面积</v>
      </c>
      <c r="AA42" s="1998">
        <f t="shared" si="3"/>
        <v>1</v>
      </c>
      <c r="AB42" s="1998">
        <f t="shared" si="4"/>
        <v>1</v>
      </c>
      <c r="AC42" s="1998">
        <f t="shared" si="5"/>
        <v>1</v>
      </c>
    </row>
    <row r="43" spans="1:29" ht="15">
      <c r="A43" s="1701"/>
      <c r="B43" s="1624" t="s">
        <v>2130</v>
      </c>
      <c r="C43" s="1681" t="s">
        <v>3056</v>
      </c>
      <c r="D43" s="1640">
        <v>100</v>
      </c>
      <c r="E43" s="1681" t="s">
        <v>3056</v>
      </c>
      <c r="F43" s="1683">
        <f>SUMIF(123:123,E43,124:124)-SUMIF(123:123,C43,124:124)+100</f>
        <v>100</v>
      </c>
      <c r="G43" s="1681" t="s">
        <v>3056</v>
      </c>
      <c r="H43" s="1640">
        <f>SUMIF(123:123,G43,124:124)-SUMIF(123:123,C43,124:124)+100</f>
        <v>100</v>
      </c>
      <c r="I43" s="1681" t="s">
        <v>3058</v>
      </c>
      <c r="J43" s="1640">
        <f>SUMIF(123:123,I43,124:124)-SUMIF(123:123,C43,124:124)+100</f>
        <v>98</v>
      </c>
      <c r="K43" s="1921">
        <v>2</v>
      </c>
      <c r="L43" s="2920"/>
      <c r="M43" s="2916"/>
      <c r="N43" s="2916"/>
      <c r="O43" s="2916"/>
      <c r="P43" s="3597"/>
      <c r="Q43" s="2834" t="str">
        <f t="shared" si="11"/>
        <v>内部装修</v>
      </c>
      <c r="R43" s="1654" t="s">
        <v>25</v>
      </c>
      <c r="S43" s="1655">
        <f t="shared" si="12"/>
        <v>100</v>
      </c>
      <c r="T43" s="1654" t="s">
        <v>25</v>
      </c>
      <c r="U43" s="1655">
        <f t="shared" si="13"/>
        <v>100</v>
      </c>
      <c r="V43" s="1654" t="s">
        <v>25</v>
      </c>
      <c r="W43" s="1655">
        <f t="shared" si="14"/>
        <v>98</v>
      </c>
      <c r="X43" s="2003"/>
      <c r="Y43" s="3597"/>
      <c r="Z43" s="2007" t="str">
        <f t="shared" si="15"/>
        <v>内部装修</v>
      </c>
      <c r="AA43" s="1998">
        <f t="shared" si="3"/>
        <v>1</v>
      </c>
      <c r="AB43" s="1998">
        <f t="shared" si="4"/>
        <v>1</v>
      </c>
      <c r="AC43" s="1998">
        <f t="shared" si="5"/>
        <v>1.0204081632653061</v>
      </c>
    </row>
    <row r="44" spans="1:29" ht="15">
      <c r="A44" s="1701"/>
      <c r="B44" s="1624" t="s">
        <v>2047</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v>2</v>
      </c>
      <c r="L44" s="2920"/>
      <c r="M44" s="2916"/>
      <c r="N44" s="2916"/>
      <c r="O44" s="2916"/>
      <c r="P44" s="3597"/>
      <c r="Q44" s="2834" t="str">
        <f t="shared" si="11"/>
        <v>内部装修维护情况</v>
      </c>
      <c r="R44" s="1654" t="s">
        <v>25</v>
      </c>
      <c r="S44" s="1655">
        <f t="shared" si="12"/>
        <v>100</v>
      </c>
      <c r="T44" s="1654" t="s">
        <v>25</v>
      </c>
      <c r="U44" s="1655">
        <f t="shared" si="13"/>
        <v>100</v>
      </c>
      <c r="V44" s="1654" t="s">
        <v>25</v>
      </c>
      <c r="W44" s="1655">
        <f t="shared" si="14"/>
        <v>100</v>
      </c>
      <c r="X44" s="2003"/>
      <c r="Y44" s="359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7"/>
      <c r="Q45" s="2833">
        <f t="shared" si="11"/>
        <v>111</v>
      </c>
      <c r="R45" s="1609" t="s">
        <v>25</v>
      </c>
      <c r="S45" s="1610">
        <f t="shared" si="12"/>
        <v>100</v>
      </c>
      <c r="T45" s="1609" t="s">
        <v>25</v>
      </c>
      <c r="U45" s="1610">
        <f t="shared" si="13"/>
        <v>100</v>
      </c>
      <c r="V45" s="1609" t="s">
        <v>25</v>
      </c>
      <c r="W45" s="1610">
        <f t="shared" si="14"/>
        <v>100</v>
      </c>
      <c r="X45" s="1611"/>
      <c r="Y45" s="359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7"/>
      <c r="Q46" s="2834">
        <f t="shared" si="11"/>
        <v>111</v>
      </c>
      <c r="R46" s="1654" t="s">
        <v>25</v>
      </c>
      <c r="S46" s="1655">
        <f t="shared" si="12"/>
        <v>100</v>
      </c>
      <c r="T46" s="1654" t="s">
        <v>25</v>
      </c>
      <c r="U46" s="1655">
        <f t="shared" si="13"/>
        <v>100</v>
      </c>
      <c r="V46" s="1654" t="s">
        <v>25</v>
      </c>
      <c r="W46" s="1655">
        <f t="shared" si="14"/>
        <v>100</v>
      </c>
      <c r="X46" s="2003"/>
      <c r="Y46" s="3597"/>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8"/>
      <c r="Q47" s="2834">
        <f t="shared" si="11"/>
        <v>111</v>
      </c>
      <c r="R47" s="1654" t="s">
        <v>25</v>
      </c>
      <c r="S47" s="1655">
        <f t="shared" si="12"/>
        <v>100</v>
      </c>
      <c r="T47" s="1654" t="s">
        <v>25</v>
      </c>
      <c r="U47" s="1655">
        <f t="shared" si="13"/>
        <v>100</v>
      </c>
      <c r="V47" s="1654" t="s">
        <v>25</v>
      </c>
      <c r="W47" s="1655">
        <f t="shared" si="14"/>
        <v>100</v>
      </c>
      <c r="X47" s="2003"/>
      <c r="Y47" s="3598"/>
      <c r="Z47" s="2007">
        <f t="shared" si="15"/>
        <v>111</v>
      </c>
      <c r="AA47" s="1998">
        <f t="shared" si="3"/>
        <v>1</v>
      </c>
      <c r="AB47" s="1998">
        <f t="shared" si="4"/>
        <v>1</v>
      </c>
      <c r="AC47" s="1998">
        <f t="shared" si="5"/>
        <v>1</v>
      </c>
    </row>
    <row r="48" spans="1:29" ht="15">
      <c r="A48" s="1710" t="s">
        <v>2048</v>
      </c>
      <c r="B48" s="1711"/>
      <c r="C48" s="1712" t="s">
        <v>1</v>
      </c>
      <c r="D48" s="1713"/>
      <c r="E48" s="1714">
        <v>27600</v>
      </c>
      <c r="F48" s="1715"/>
      <c r="G48" s="1716">
        <v>26000</v>
      </c>
      <c r="H48" s="1717"/>
      <c r="I48" s="1714">
        <v>30000</v>
      </c>
      <c r="J48" s="1717"/>
      <c r="K48" s="1942"/>
      <c r="L48" s="2921"/>
      <c r="M48" s="2916"/>
      <c r="N48" s="2916"/>
      <c r="O48" s="2916"/>
      <c r="P48" s="3565" t="str">
        <f>A48</f>
        <v>成交单价（元/平方米）</v>
      </c>
      <c r="Q48" s="3565"/>
      <c r="R48" s="3599">
        <f>E48</f>
        <v>27600</v>
      </c>
      <c r="S48" s="3599"/>
      <c r="T48" s="3599">
        <f>G48</f>
        <v>26000</v>
      </c>
      <c r="U48" s="3599"/>
      <c r="V48" s="3599">
        <f>I48</f>
        <v>30000</v>
      </c>
      <c r="W48" s="3599"/>
      <c r="X48" s="1720"/>
      <c r="Y48" s="2002"/>
      <c r="Z48" s="1720"/>
      <c r="AA48" s="1720"/>
      <c r="AB48" s="1720"/>
      <c r="AC48" s="1720"/>
    </row>
    <row r="49" spans="1:29" ht="15.75" thickBot="1">
      <c r="A49" s="1722" t="s">
        <v>2131</v>
      </c>
      <c r="B49" s="1723"/>
      <c r="C49" s="1724">
        <f>R50</f>
        <v>27972</v>
      </c>
      <c r="D49" s="1725" t="s">
        <v>2502</v>
      </c>
      <c r="E49" s="1726">
        <f>R49</f>
        <v>29034</v>
      </c>
      <c r="F49" s="1727"/>
      <c r="G49" s="1724">
        <f>T49</f>
        <v>26000</v>
      </c>
      <c r="H49" s="1727"/>
      <c r="I49" s="1726">
        <f>V49</f>
        <v>28883</v>
      </c>
      <c r="J49" s="1727"/>
      <c r="K49" s="2429">
        <f>F49+H49+J49</f>
        <v>0</v>
      </c>
      <c r="L49" s="2921"/>
      <c r="M49" s="2916"/>
      <c r="N49" s="2916"/>
      <c r="O49" s="2916"/>
      <c r="P49" s="3565" t="str">
        <f>A49</f>
        <v>比较价值（元/平方米）</v>
      </c>
      <c r="Q49" s="3565"/>
      <c r="R49" s="3599">
        <f>IF(E1="售价",ROUND(PRODUCT(R48,AA7:AA47),0),ROUND(PRODUCT(R48,AA7:AA47),1))</f>
        <v>29034</v>
      </c>
      <c r="S49" s="3599"/>
      <c r="T49" s="3599">
        <f>IF(E1="售价",ROUND(PRODUCT(T48,AB7:AB47),0),ROUND(PRODUCT(T48,AB7:AB47),1))</f>
        <v>26000</v>
      </c>
      <c r="U49" s="3599"/>
      <c r="V49" s="3599">
        <f>IF(E1="售价",ROUND(PRODUCT(V48,AC7:AC47),0),ROUND(PRODUCT(V48,AC7:AC47),1))</f>
        <v>28883</v>
      </c>
      <c r="W49" s="3599"/>
      <c r="X49" s="1720"/>
      <c r="Y49" s="1720"/>
      <c r="Z49" s="1720"/>
      <c r="AA49" s="1720"/>
      <c r="AB49" s="1720"/>
      <c r="AC49" s="1720"/>
    </row>
    <row r="50" spans="1:29" ht="15.75" thickBot="1">
      <c r="A50" s="1728" t="s">
        <v>2154</v>
      </c>
      <c r="B50" s="1729"/>
      <c r="C50" s="1731">
        <f>R50</f>
        <v>27972</v>
      </c>
      <c r="D50" s="1731"/>
      <c r="E50" s="1731"/>
      <c r="F50" s="1731"/>
      <c r="G50" s="1731"/>
      <c r="H50" s="1731"/>
      <c r="I50" s="1731"/>
      <c r="J50" s="1731"/>
      <c r="K50" s="1947"/>
      <c r="L50" s="2921"/>
      <c r="M50" s="2916"/>
      <c r="N50" s="2916"/>
      <c r="O50" s="2916"/>
      <c r="P50" s="3600" t="str">
        <f>A50</f>
        <v>估价对象XX用房的比较价值（楼面单价，元/平方米）</v>
      </c>
      <c r="Q50" s="3601"/>
      <c r="R50" s="3602">
        <f>IF(E1="售价",ROUND(IF(D49="简单平均",AVERAGE(R49:V49),R49*F49+T49*H49+V49*J49),0),ROUND(IF(D49="简单平均",AVERAGE(R49:V49),R49*F49+T49*H49+V49*J49),1))</f>
        <v>27972</v>
      </c>
      <c r="S50" s="3602"/>
      <c r="T50" s="3602"/>
      <c r="U50" s="3602"/>
      <c r="V50" s="3602"/>
      <c r="W50" s="3602"/>
      <c r="X50" s="1720"/>
      <c r="Y50" s="1720"/>
      <c r="Z50" s="1720"/>
      <c r="AA50" s="1720"/>
      <c r="AB50" s="1720"/>
      <c r="AC50" s="1720"/>
    </row>
    <row r="51" spans="1:29">
      <c r="E51" s="1595">
        <v>2009</v>
      </c>
      <c r="G51" s="3331">
        <v>20.09</v>
      </c>
      <c r="I51" s="1595">
        <v>2005</v>
      </c>
      <c r="J51" s="1595">
        <f>43/60</f>
        <v>0.71666666666666667</v>
      </c>
    </row>
    <row r="53" spans="1:29" ht="13.5" customHeight="1">
      <c r="C53" s="383" t="s">
        <v>2133</v>
      </c>
      <c r="D53" s="1736"/>
      <c r="E53" s="1737">
        <f>IF(E48&lt;E49,E49/E48-1,E48/E49-1)</f>
        <v>5.1956521739130457E-2</v>
      </c>
      <c r="F53" s="1738" t="str">
        <f>IF(OR(E53&gt;=0.3,E53&lt;=-0.3),"超过30%","")</f>
        <v/>
      </c>
      <c r="G53" s="1737">
        <f>IF(G48&lt;G49,G49/G48-1,G48/G49-1)</f>
        <v>0</v>
      </c>
      <c r="H53" s="1738" t="str">
        <f>IF(OR(G53&gt;=0.3,G53&lt;=-0.3),"超过30%","")</f>
        <v/>
      </c>
      <c r="I53" s="1737">
        <f>IF(I48&lt;I49,I49/I48-1,I48/I49-1)</f>
        <v>3.8673268012325623E-2</v>
      </c>
      <c r="J53" s="1738" t="str">
        <f>IF(OR(I53&gt;=0.3,I53&lt;=-0.3),"超过30%","")</f>
        <v/>
      </c>
    </row>
    <row r="54" spans="1:29" ht="13.5" customHeight="1">
      <c r="C54" s="383" t="s">
        <v>2134</v>
      </c>
      <c r="D54" s="1739"/>
      <c r="E54" s="1737">
        <f>IF(E49&lt;G49,G49/E49-1,E49/G49-1)</f>
        <v>0.11669230769230765</v>
      </c>
      <c r="F54" s="1738" t="str">
        <f>IF(OR(E54&gt;=0.2,E54&lt;=-0.2),"超过20%","")</f>
        <v/>
      </c>
      <c r="G54" s="1737">
        <f>IF(G49&lt;I49,I49/G49-1,G49/I49-1)</f>
        <v>0.11088461538461547</v>
      </c>
      <c r="H54" s="1738" t="str">
        <f>IF(OR(G54&gt;=0.2,G54&lt;=-0.2),"超过20%","")</f>
        <v/>
      </c>
      <c r="I54" s="1737">
        <f>IF(I49&lt;E49,E49/I49-1,I49/E49-1)</f>
        <v>5.2279887823287741E-3</v>
      </c>
      <c r="J54" s="1738" t="str">
        <f>IF(OR(I54&gt;=0.2,I54&lt;=-0.2),"超过20%","")</f>
        <v/>
      </c>
    </row>
    <row r="55" spans="1:29" s="1742" customFormat="1" ht="13.5" customHeight="1">
      <c r="C55" s="383" t="s">
        <v>2135</v>
      </c>
      <c r="D55" s="1739"/>
      <c r="E55" s="1737">
        <f>IF(E48&lt;G48,G48/E48-1,E48/G48-1)</f>
        <v>6.1538461538461542E-2</v>
      </c>
      <c r="F55" s="1738" t="str">
        <f>IF(OR(E55&gt;=0.3,E55&lt;=-0.3),"超过30%","")</f>
        <v/>
      </c>
      <c r="G55" s="1737">
        <f>IF(G48&lt;I48,I48/G48-1,G48/I48-1)</f>
        <v>0.15384615384615374</v>
      </c>
      <c r="H55" s="1738" t="str">
        <f>IF(OR(G55&gt;=0.3,G55&lt;=-0.3),"超过30%","")</f>
        <v/>
      </c>
      <c r="I55" s="1737">
        <f>IF(I48&lt;E48,E48/I48-1,I48/E48-1)</f>
        <v>8.6956521739130377E-2</v>
      </c>
      <c r="J55" s="1738" t="str">
        <f>IF(OR(I55&gt;=0.3,I55&lt;=-0.3),"超过30%","")</f>
        <v/>
      </c>
      <c r="K55" s="2928"/>
      <c r="L55" s="2922"/>
    </row>
    <row r="56" spans="1:29" s="1742" customFormat="1">
      <c r="B56" s="2926"/>
      <c r="C56" s="2927"/>
      <c r="K56" s="2928"/>
      <c r="L56" s="2922"/>
    </row>
    <row r="57" spans="1:29">
      <c r="B57" s="2926"/>
      <c r="C57" s="2927"/>
    </row>
    <row r="58" spans="1:29" ht="21.75" thickBot="1">
      <c r="A58" s="1745" t="s">
        <v>2136</v>
      </c>
      <c r="B58" s="1720"/>
      <c r="C58" s="1746"/>
      <c r="D58" s="1746"/>
      <c r="E58" s="1746"/>
      <c r="F58" s="1746"/>
      <c r="G58" s="1746"/>
      <c r="H58" s="1746"/>
      <c r="I58" s="1746"/>
      <c r="J58" s="1746"/>
      <c r="K58" s="1747"/>
      <c r="L58" s="1748"/>
      <c r="M58" s="1746"/>
      <c r="N58" s="2924"/>
      <c r="O58" s="2924"/>
      <c r="P58" s="1974"/>
      <c r="Q58" s="1750"/>
    </row>
    <row r="59" spans="1:29" s="1756" customFormat="1" ht="15">
      <c r="A59" s="1751" t="s">
        <v>2018</v>
      </c>
      <c r="B59" s="1752"/>
      <c r="C59" s="1753" t="str">
        <f>YEAR(C7)&amp;"-"&amp;MONTH(C7)</f>
        <v>2022-7</v>
      </c>
      <c r="D59" s="1754">
        <f>EDATE(C59,-1)</f>
        <v>44713</v>
      </c>
      <c r="E59" s="1754">
        <f t="shared" ref="E59:O59" si="16">EDATE(D59,-1)</f>
        <v>44682</v>
      </c>
      <c r="F59" s="1754">
        <f t="shared" si="16"/>
        <v>44652</v>
      </c>
      <c r="G59" s="1754">
        <f t="shared" si="16"/>
        <v>44621</v>
      </c>
      <c r="H59" s="1754">
        <f t="shared" si="16"/>
        <v>44593</v>
      </c>
      <c r="I59" s="1754">
        <f t="shared" si="16"/>
        <v>44562</v>
      </c>
      <c r="J59" s="1754">
        <f t="shared" si="16"/>
        <v>44531</v>
      </c>
      <c r="K59" s="1754">
        <f t="shared" si="16"/>
        <v>44501</v>
      </c>
      <c r="L59" s="1754">
        <f t="shared" si="16"/>
        <v>44470</v>
      </c>
      <c r="M59" s="1754">
        <f t="shared" si="16"/>
        <v>44440</v>
      </c>
      <c r="N59" s="1754">
        <f t="shared" si="16"/>
        <v>44409</v>
      </c>
      <c r="O59" s="1754">
        <f t="shared" si="16"/>
        <v>44378</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2056</v>
      </c>
      <c r="B61" s="1764"/>
      <c r="C61" s="1765"/>
      <c r="D61" s="1766"/>
      <c r="E61" s="1766"/>
      <c r="F61" s="1766"/>
      <c r="G61" s="1766"/>
      <c r="H61" s="1766"/>
      <c r="I61" s="1766"/>
      <c r="J61" s="1766"/>
      <c r="K61" s="1766"/>
      <c r="L61" s="1766"/>
      <c r="M61" s="1767"/>
      <c r="N61" s="1766"/>
      <c r="O61" s="2423"/>
      <c r="P61" s="1750"/>
      <c r="Q61" s="1750"/>
    </row>
    <row r="62" spans="1:29" s="1613" customFormat="1" ht="15">
      <c r="A62" s="1768" t="s">
        <v>2020</v>
      </c>
      <c r="B62" s="1758"/>
      <c r="C62" s="1769" t="s">
        <v>2021</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2059</v>
      </c>
      <c r="B64" s="1776" t="s">
        <v>2024</v>
      </c>
      <c r="C64" s="1777" t="str">
        <f>C9</f>
        <v>科研办公</v>
      </c>
      <c r="D64" s="3328" t="s">
        <v>3043</v>
      </c>
      <c r="E64" s="1778"/>
      <c r="F64" s="1778"/>
      <c r="G64" s="1778"/>
      <c r="H64" s="1778"/>
      <c r="I64" s="1778"/>
      <c r="J64" s="1778"/>
      <c r="K64" s="417"/>
      <c r="L64" s="417"/>
      <c r="M64" s="1779"/>
      <c r="N64" s="2934"/>
      <c r="O64" s="2934"/>
      <c r="P64" s="1986"/>
      <c r="Q64" s="1750"/>
    </row>
    <row r="65" spans="1:17" ht="15.75" thickBot="1">
      <c r="A65" s="1782"/>
      <c r="B65" s="1783"/>
      <c r="C65" s="1784">
        <v>100</v>
      </c>
      <c r="D65" s="1784">
        <v>105</v>
      </c>
      <c r="E65" s="1784"/>
      <c r="F65" s="1784"/>
      <c r="G65" s="1784"/>
      <c r="H65" s="1784"/>
      <c r="I65" s="1784"/>
      <c r="J65" s="1784"/>
      <c r="K65" s="1784"/>
      <c r="L65" s="1784"/>
      <c r="M65" s="1785"/>
      <c r="N65" s="2935"/>
      <c r="O65" s="2935"/>
      <c r="P65" s="1986"/>
      <c r="Q65" s="1750"/>
    </row>
    <row r="66" spans="1:17" ht="27.75" thickTop="1">
      <c r="A66" s="1782"/>
      <c r="B66" s="1787" t="s">
        <v>2027</v>
      </c>
      <c r="C66" s="1788" t="s">
        <v>2060</v>
      </c>
      <c r="D66" s="1788" t="s">
        <v>2061</v>
      </c>
      <c r="E66" s="1788" t="s">
        <v>2062</v>
      </c>
      <c r="F66" s="1788" t="s">
        <v>2063</v>
      </c>
      <c r="G66" s="1788" t="s">
        <v>2064</v>
      </c>
      <c r="H66" s="1788" t="s">
        <v>2065</v>
      </c>
      <c r="I66" s="1788" t="s">
        <v>2066</v>
      </c>
      <c r="J66" s="1788"/>
      <c r="K66" s="428"/>
      <c r="L66" s="428"/>
      <c r="M66" s="1789"/>
      <c r="N66" s="2934"/>
      <c r="O66" s="2934"/>
      <c r="P66" s="1986"/>
      <c r="Q66" s="1750"/>
    </row>
    <row r="67" spans="1:17" ht="15.75" thickBot="1">
      <c r="A67" s="1782"/>
      <c r="B67" s="1790"/>
      <c r="C67" s="1791" t="s">
        <v>36</v>
      </c>
      <c r="D67" s="1791" t="s">
        <v>37</v>
      </c>
      <c r="E67" s="1791">
        <v>100</v>
      </c>
      <c r="F67" s="1791">
        <f>E67-$K10</f>
        <v>98</v>
      </c>
      <c r="G67" s="1791">
        <f>F67-$K10</f>
        <v>96</v>
      </c>
      <c r="H67" s="1791">
        <f>G67-$K10</f>
        <v>94</v>
      </c>
      <c r="I67" s="1791">
        <f>H67-$K10</f>
        <v>92</v>
      </c>
      <c r="J67" s="1791"/>
      <c r="K67" s="1791"/>
      <c r="L67" s="1791"/>
      <c r="M67" s="1792"/>
      <c r="N67" s="2935"/>
      <c r="O67" s="2935"/>
      <c r="P67" s="1986"/>
      <c r="Q67" s="1750"/>
    </row>
    <row r="68" spans="1:17" ht="15.75" thickTop="1">
      <c r="A68" s="1782"/>
      <c r="B68" s="1793" t="s">
        <v>2028</v>
      </c>
      <c r="C68" s="1794" t="str">
        <f>C69&amp;"（含）"&amp;"-"&amp;D69</f>
        <v>0（含）-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v>0</v>
      </c>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2029</v>
      </c>
      <c r="B77" s="1776" t="s">
        <v>2155</v>
      </c>
      <c r="C77" s="1814" t="s">
        <v>2068</v>
      </c>
      <c r="D77" s="1814" t="s">
        <v>2069</v>
      </c>
      <c r="E77" s="1814" t="s">
        <v>2070</v>
      </c>
      <c r="F77" s="1814" t="s">
        <v>2071</v>
      </c>
      <c r="G77" s="1814" t="s">
        <v>2072</v>
      </c>
      <c r="H77" s="1777"/>
      <c r="I77" s="1777"/>
      <c r="J77" s="1777"/>
      <c r="K77" s="463"/>
      <c r="L77" s="463"/>
      <c r="M77" s="1815"/>
      <c r="N77" s="2934"/>
      <c r="O77" s="2934"/>
      <c r="P77" s="1986"/>
      <c r="Q77" s="1750"/>
    </row>
    <row r="78" spans="1:17" ht="15.75" thickBot="1">
      <c r="A78" s="1782"/>
      <c r="B78" s="1790"/>
      <c r="C78" s="1791">
        <v>100</v>
      </c>
      <c r="D78" s="1791">
        <f>C78-$K15</f>
        <v>97</v>
      </c>
      <c r="E78" s="1791">
        <f>D78-$K15</f>
        <v>94</v>
      </c>
      <c r="F78" s="1791">
        <f>E78-$K15</f>
        <v>91</v>
      </c>
      <c r="G78" s="1791">
        <f>F78-$K15</f>
        <v>88</v>
      </c>
      <c r="H78" s="1791"/>
      <c r="I78" s="1791"/>
      <c r="J78" s="1791"/>
      <c r="K78" s="1791"/>
      <c r="L78" s="1791"/>
      <c r="M78" s="1792"/>
      <c r="N78" s="2935"/>
      <c r="O78" s="2935"/>
      <c r="P78" s="1986"/>
      <c r="Q78" s="1750"/>
    </row>
    <row r="79" spans="1:17" ht="15.75" thickTop="1">
      <c r="A79" s="1782"/>
      <c r="B79" s="1787" t="s">
        <v>2073</v>
      </c>
      <c r="C79" s="579" t="s">
        <v>2068</v>
      </c>
      <c r="D79" s="579" t="s">
        <v>2069</v>
      </c>
      <c r="E79" s="579" t="s">
        <v>2070</v>
      </c>
      <c r="F79" s="579" t="s">
        <v>2071</v>
      </c>
      <c r="G79" s="579" t="s">
        <v>2072</v>
      </c>
      <c r="H79" s="1788"/>
      <c r="I79" s="1788"/>
      <c r="J79" s="1788"/>
      <c r="K79" s="428"/>
      <c r="L79" s="428"/>
      <c r="M79" s="1789"/>
      <c r="N79" s="2934"/>
      <c r="O79" s="2934"/>
      <c r="P79" s="1986"/>
      <c r="Q79" s="1750"/>
    </row>
    <row r="80" spans="1:17" ht="15.75" thickBot="1">
      <c r="A80" s="1782"/>
      <c r="B80" s="1790"/>
      <c r="C80" s="1791">
        <v>100</v>
      </c>
      <c r="D80" s="1791">
        <f>C80-$K17</f>
        <v>98</v>
      </c>
      <c r="E80" s="1791">
        <f>D80-$K17</f>
        <v>96</v>
      </c>
      <c r="F80" s="1791">
        <f>E80-$K17</f>
        <v>94</v>
      </c>
      <c r="G80" s="1791">
        <f>F80-$K17</f>
        <v>92</v>
      </c>
      <c r="H80" s="1791"/>
      <c r="I80" s="1791"/>
      <c r="J80" s="1791"/>
      <c r="K80" s="1791"/>
      <c r="L80" s="1791"/>
      <c r="M80" s="1792"/>
      <c r="N80" s="2935"/>
      <c r="O80" s="2935"/>
      <c r="P80" s="1986"/>
      <c r="Q80" s="1750"/>
    </row>
    <row r="81" spans="1:17" ht="15.75" thickTop="1">
      <c r="A81" s="1782"/>
      <c r="B81" s="1787" t="s">
        <v>2074</v>
      </c>
      <c r="C81" s="579" t="s">
        <v>2068</v>
      </c>
      <c r="D81" s="579" t="s">
        <v>2069</v>
      </c>
      <c r="E81" s="579" t="s">
        <v>2070</v>
      </c>
      <c r="F81" s="579" t="s">
        <v>2071</v>
      </c>
      <c r="G81" s="579" t="s">
        <v>2072</v>
      </c>
      <c r="H81" s="1788"/>
      <c r="I81" s="1788"/>
      <c r="J81" s="1788"/>
      <c r="K81" s="428"/>
      <c r="L81" s="428"/>
      <c r="M81" s="1789"/>
      <c r="N81" s="2934"/>
      <c r="O81" s="2934"/>
      <c r="P81" s="1986"/>
      <c r="Q81" s="1750"/>
    </row>
    <row r="82" spans="1:17" ht="15.75" thickBot="1">
      <c r="A82" s="1782"/>
      <c r="B82" s="1790"/>
      <c r="C82" s="1791">
        <v>100</v>
      </c>
      <c r="D82" s="1791">
        <f>C82-$K19</f>
        <v>98</v>
      </c>
      <c r="E82" s="1791">
        <f>D82-$K19</f>
        <v>96</v>
      </c>
      <c r="F82" s="1791">
        <f>E82-$K19</f>
        <v>94</v>
      </c>
      <c r="G82" s="1791">
        <f>F82-$K19</f>
        <v>92</v>
      </c>
      <c r="H82" s="1791"/>
      <c r="I82" s="1791"/>
      <c r="J82" s="1791"/>
      <c r="K82" s="1791"/>
      <c r="L82" s="1791"/>
      <c r="M82" s="1792"/>
      <c r="N82" s="2935"/>
      <c r="O82" s="2935"/>
      <c r="P82" s="1986"/>
      <c r="Q82" s="1750"/>
    </row>
    <row r="83" spans="1:17" ht="15.75" thickTop="1">
      <c r="A83" s="1782"/>
      <c r="B83" s="1793" t="s">
        <v>2117</v>
      </c>
      <c r="C83" s="1788" t="s">
        <v>2075</v>
      </c>
      <c r="D83" s="1788" t="s">
        <v>2076</v>
      </c>
      <c r="E83" s="1788" t="s">
        <v>2077</v>
      </c>
      <c r="F83" s="1788" t="s">
        <v>2078</v>
      </c>
      <c r="G83" s="1788" t="s">
        <v>2079</v>
      </c>
      <c r="H83" s="1788"/>
      <c r="I83" s="1788"/>
      <c r="J83" s="1788"/>
      <c r="K83" s="1788"/>
      <c r="L83" s="1788"/>
      <c r="M83" s="1816"/>
      <c r="N83" s="2935"/>
      <c r="O83" s="2935"/>
      <c r="P83" s="1986"/>
      <c r="Q83" s="1750"/>
    </row>
    <row r="84" spans="1:17" ht="15.75" thickBot="1">
      <c r="A84" s="1782"/>
      <c r="B84" s="1793"/>
      <c r="C84" s="1791">
        <v>100</v>
      </c>
      <c r="D84" s="1791">
        <f>C84-$K21</f>
        <v>98</v>
      </c>
      <c r="E84" s="1791">
        <f>D84-$K21</f>
        <v>96</v>
      </c>
      <c r="F84" s="1791">
        <f>E84-$K21</f>
        <v>94</v>
      </c>
      <c r="G84" s="1791">
        <f>F84-$K21</f>
        <v>92</v>
      </c>
      <c r="H84" s="1817"/>
      <c r="I84" s="1817"/>
      <c r="J84" s="1817"/>
      <c r="K84" s="1817"/>
      <c r="L84" s="1817"/>
      <c r="M84" s="1664"/>
      <c r="N84" s="2935"/>
      <c r="O84" s="2935"/>
      <c r="P84" s="1986"/>
      <c r="Q84" s="1750"/>
    </row>
    <row r="85" spans="1:17" ht="15.75" thickTop="1">
      <c r="A85" s="1782"/>
      <c r="B85" s="1787" t="s">
        <v>2156</v>
      </c>
      <c r="C85" s="579" t="s">
        <v>2068</v>
      </c>
      <c r="D85" s="579" t="s">
        <v>2069</v>
      </c>
      <c r="E85" s="579" t="s">
        <v>2070</v>
      </c>
      <c r="F85" s="579" t="s">
        <v>2071</v>
      </c>
      <c r="G85" s="579" t="s">
        <v>2072</v>
      </c>
      <c r="H85" s="1788"/>
      <c r="I85" s="1788"/>
      <c r="J85" s="1788"/>
      <c r="K85" s="428"/>
      <c r="L85" s="428"/>
      <c r="M85" s="1789"/>
      <c r="N85" s="2934"/>
      <c r="O85" s="2934"/>
      <c r="P85" s="1986"/>
      <c r="Q85" s="1750"/>
    </row>
    <row r="86" spans="1:17" ht="15.75" thickBot="1">
      <c r="A86" s="1782"/>
      <c r="B86" s="1790"/>
      <c r="C86" s="1791">
        <v>100</v>
      </c>
      <c r="D86" s="1791">
        <f>C86-$K23</f>
        <v>98</v>
      </c>
      <c r="E86" s="1791">
        <f>D86-$K23</f>
        <v>96</v>
      </c>
      <c r="F86" s="1791">
        <f>E86-$K23</f>
        <v>94</v>
      </c>
      <c r="G86" s="1791">
        <f>F86-$K23</f>
        <v>92</v>
      </c>
      <c r="H86" s="1791"/>
      <c r="I86" s="1791"/>
      <c r="J86" s="1791"/>
      <c r="K86" s="1791"/>
      <c r="L86" s="1791"/>
      <c r="M86" s="1792"/>
      <c r="N86" s="2935"/>
      <c r="O86" s="2935"/>
      <c r="P86" s="1986"/>
      <c r="Q86" s="1750"/>
    </row>
    <row r="87" spans="1:17" s="1613" customFormat="1" ht="27.75" thickTop="1">
      <c r="A87" s="1818"/>
      <c r="B87" s="1787" t="s">
        <v>2157</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3329" t="s">
        <v>3045</v>
      </c>
      <c r="D89" s="3329" t="s">
        <v>3047</v>
      </c>
      <c r="E89" s="3329" t="s">
        <v>3049</v>
      </c>
      <c r="F89" s="1821"/>
      <c r="G89" s="468"/>
      <c r="H89" s="468"/>
      <c r="I89" s="468"/>
      <c r="J89" s="468"/>
      <c r="K89" s="468"/>
      <c r="L89" s="468"/>
      <c r="M89" s="1819"/>
      <c r="N89" s="2933"/>
      <c r="O89" s="2933"/>
      <c r="P89" s="1986"/>
      <c r="Q89" s="1750"/>
    </row>
    <row r="90" spans="1:17" s="1613" customFormat="1" ht="15.75" thickBot="1">
      <c r="A90" s="1818"/>
      <c r="B90" s="1790"/>
      <c r="C90" s="1820">
        <v>100</v>
      </c>
      <c r="D90" s="1791">
        <f>C90-$K27</f>
        <v>97</v>
      </c>
      <c r="E90" s="1791">
        <f t="shared" ref="E90:M90" si="20">D90-$K27</f>
        <v>94</v>
      </c>
      <c r="F90" s="1791">
        <f t="shared" si="20"/>
        <v>91</v>
      </c>
      <c r="G90" s="1791">
        <f t="shared" si="20"/>
        <v>88</v>
      </c>
      <c r="H90" s="1791">
        <f t="shared" si="20"/>
        <v>85</v>
      </c>
      <c r="I90" s="1791">
        <f t="shared" si="20"/>
        <v>82</v>
      </c>
      <c r="J90" s="1791">
        <f t="shared" si="20"/>
        <v>79</v>
      </c>
      <c r="K90" s="1791">
        <f t="shared" si="20"/>
        <v>76</v>
      </c>
      <c r="L90" s="1791">
        <f t="shared" si="20"/>
        <v>73</v>
      </c>
      <c r="M90" s="1791">
        <f t="shared" si="20"/>
        <v>70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2034</v>
      </c>
      <c r="B101" s="1776" t="s">
        <v>2083</v>
      </c>
      <c r="C101" s="3328" t="s">
        <v>3051</v>
      </c>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95</v>
      </c>
      <c r="E102" s="1791">
        <f t="shared" si="22"/>
        <v>90</v>
      </c>
      <c r="F102" s="1791">
        <f t="shared" si="22"/>
        <v>85</v>
      </c>
      <c r="G102" s="1791">
        <f t="shared" si="22"/>
        <v>80</v>
      </c>
      <c r="H102" s="1791">
        <f t="shared" si="22"/>
        <v>75</v>
      </c>
      <c r="I102" s="1791">
        <f t="shared" si="22"/>
        <v>70</v>
      </c>
      <c r="J102" s="1791">
        <f t="shared" si="22"/>
        <v>65</v>
      </c>
      <c r="K102" s="1791">
        <f t="shared" si="22"/>
        <v>60</v>
      </c>
      <c r="L102" s="1791">
        <f t="shared" si="22"/>
        <v>55</v>
      </c>
      <c r="M102" s="1792">
        <f t="shared" si="22"/>
        <v>50</v>
      </c>
      <c r="N102" s="2935"/>
      <c r="O102" s="2935"/>
      <c r="P102" s="1986"/>
      <c r="Q102" s="1750"/>
    </row>
    <row r="103" spans="1:17" ht="15.75" thickTop="1">
      <c r="A103" s="1782"/>
      <c r="B103" s="1787" t="s">
        <v>2084</v>
      </c>
      <c r="C103" s="579" t="str">
        <f>C104&amp;"(含)"&amp;"-"&amp;D104</f>
        <v>0(含)-100</v>
      </c>
      <c r="D103" s="579" t="str">
        <f t="shared" ref="D103:L103" si="23">D104&amp;"(含)"&amp;"-"&amp;E104</f>
        <v>100(含)-300</v>
      </c>
      <c r="E103" s="579" t="str">
        <f t="shared" si="23"/>
        <v>300(含)-500</v>
      </c>
      <c r="F103" s="579" t="str">
        <f t="shared" si="23"/>
        <v>500(含)-800</v>
      </c>
      <c r="G103" s="579" t="str">
        <f t="shared" si="23"/>
        <v>800(含)-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100</v>
      </c>
      <c r="E104" s="1830">
        <v>300</v>
      </c>
      <c r="F104" s="1830">
        <v>500</v>
      </c>
      <c r="G104" s="1830">
        <v>800</v>
      </c>
      <c r="H104" s="1830"/>
      <c r="I104" s="1830"/>
      <c r="J104" s="485"/>
      <c r="K104" s="485"/>
      <c r="L104" s="485"/>
      <c r="M104" s="1831"/>
      <c r="N104" s="2936"/>
      <c r="O104" s="2936"/>
      <c r="P104" s="1987"/>
      <c r="Q104" s="1802"/>
    </row>
    <row r="105" spans="1:17" s="1700" customFormat="1" ht="15.75" thickBot="1">
      <c r="A105" s="1798"/>
      <c r="B105" s="1790"/>
      <c r="C105" s="1803">
        <v>98</v>
      </c>
      <c r="D105" s="1784">
        <v>100</v>
      </c>
      <c r="E105" s="1784">
        <v>98</v>
      </c>
      <c r="F105" s="1784">
        <v>96</v>
      </c>
      <c r="G105" s="1784">
        <v>94</v>
      </c>
      <c r="H105" s="1784"/>
      <c r="I105" s="1784"/>
      <c r="J105" s="1784"/>
      <c r="K105" s="1784"/>
      <c r="L105" s="1784"/>
      <c r="M105" s="1785"/>
      <c r="N105" s="2935"/>
      <c r="O105" s="2935"/>
      <c r="P105" s="1987"/>
      <c r="Q105" s="1802"/>
    </row>
    <row r="106" spans="1:17" ht="15" thickTop="1">
      <c r="A106" s="1832"/>
      <c r="B106" s="1787" t="s">
        <v>2085</v>
      </c>
      <c r="C106" s="3329" t="s">
        <v>3053</v>
      </c>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98</v>
      </c>
      <c r="E107" s="1791">
        <f t="shared" si="24"/>
        <v>96</v>
      </c>
      <c r="F107" s="1791">
        <f t="shared" si="24"/>
        <v>94</v>
      </c>
      <c r="G107" s="1791">
        <f t="shared" si="24"/>
        <v>92</v>
      </c>
      <c r="H107" s="1791">
        <f t="shared" si="24"/>
        <v>90</v>
      </c>
      <c r="I107" s="1791">
        <f t="shared" si="24"/>
        <v>88</v>
      </c>
      <c r="J107" s="1791">
        <f t="shared" si="24"/>
        <v>86</v>
      </c>
      <c r="K107" s="1791">
        <f t="shared" si="24"/>
        <v>84</v>
      </c>
      <c r="L107" s="1791">
        <f t="shared" si="24"/>
        <v>82</v>
      </c>
      <c r="M107" s="1792">
        <f t="shared" si="24"/>
        <v>80</v>
      </c>
      <c r="N107" s="2935"/>
      <c r="O107" s="2935"/>
      <c r="P107" s="1986"/>
      <c r="Q107" s="1750"/>
    </row>
    <row r="108" spans="1:17" ht="15" thickTop="1">
      <c r="A108" s="1832"/>
      <c r="B108" s="1787" t="s">
        <v>2087</v>
      </c>
      <c r="C108" s="3329" t="s">
        <v>3055</v>
      </c>
      <c r="D108" s="3329" t="s">
        <v>3057</v>
      </c>
      <c r="E108" s="3329" t="s">
        <v>3059</v>
      </c>
      <c r="F108" s="3330" t="s">
        <v>3061</v>
      </c>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98</v>
      </c>
      <c r="E109" s="1791">
        <f t="shared" si="25"/>
        <v>96</v>
      </c>
      <c r="F109" s="1791">
        <f t="shared" si="25"/>
        <v>94</v>
      </c>
      <c r="G109" s="1791">
        <f t="shared" si="25"/>
        <v>92</v>
      </c>
      <c r="H109" s="1791">
        <f t="shared" si="25"/>
        <v>90</v>
      </c>
      <c r="I109" s="1791">
        <f t="shared" si="25"/>
        <v>88</v>
      </c>
      <c r="J109" s="1791">
        <f t="shared" si="25"/>
        <v>86</v>
      </c>
      <c r="K109" s="1791">
        <f t="shared" si="25"/>
        <v>84</v>
      </c>
      <c r="L109" s="1791">
        <f t="shared" si="25"/>
        <v>82</v>
      </c>
      <c r="M109" s="1792">
        <f t="shared" si="25"/>
        <v>80</v>
      </c>
      <c r="N109" s="2935"/>
      <c r="O109" s="2935"/>
      <c r="P109" s="1986"/>
      <c r="Q109" s="1750"/>
    </row>
    <row r="110" spans="1:17" ht="15" thickTop="1">
      <c r="A110" s="1832"/>
      <c r="B110" s="1787" t="s">
        <v>2088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102</v>
      </c>
      <c r="E112" s="1791">
        <f t="shared" ref="E112:M112" si="26">D112+$K37</f>
        <v>104</v>
      </c>
      <c r="F112" s="1791">
        <f t="shared" si="26"/>
        <v>106</v>
      </c>
      <c r="G112" s="1791">
        <f t="shared" si="26"/>
        <v>108</v>
      </c>
      <c r="H112" s="1791">
        <f t="shared" si="26"/>
        <v>110</v>
      </c>
      <c r="I112" s="1791">
        <f t="shared" si="26"/>
        <v>112</v>
      </c>
      <c r="J112" s="1791">
        <f t="shared" si="26"/>
        <v>114</v>
      </c>
      <c r="K112" s="1791">
        <f t="shared" si="26"/>
        <v>116</v>
      </c>
      <c r="L112" s="1791">
        <f t="shared" si="26"/>
        <v>118</v>
      </c>
      <c r="M112" s="1791">
        <f t="shared" si="26"/>
        <v>120</v>
      </c>
      <c r="N112" s="2935"/>
      <c r="O112" s="2935"/>
      <c r="P112" s="1986"/>
      <c r="Q112" s="1750"/>
    </row>
    <row r="113" spans="1:17" s="1700" customFormat="1" ht="15" thickTop="1">
      <c r="A113" s="1828"/>
      <c r="B113" s="1787" t="s">
        <v>2158</v>
      </c>
      <c r="C113" s="3329" t="s">
        <v>3063</v>
      </c>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98</v>
      </c>
      <c r="E114" s="1791">
        <f t="shared" ref="E114:M114" si="27">D114-$K38</f>
        <v>96</v>
      </c>
      <c r="F114" s="1791">
        <f t="shared" si="27"/>
        <v>94</v>
      </c>
      <c r="G114" s="1791">
        <f t="shared" si="27"/>
        <v>92</v>
      </c>
      <c r="H114" s="1791">
        <f t="shared" si="27"/>
        <v>90</v>
      </c>
      <c r="I114" s="1791">
        <f t="shared" si="27"/>
        <v>88</v>
      </c>
      <c r="J114" s="1791">
        <f t="shared" si="27"/>
        <v>86</v>
      </c>
      <c r="K114" s="1791">
        <f t="shared" si="27"/>
        <v>84</v>
      </c>
      <c r="L114" s="1791">
        <f t="shared" si="27"/>
        <v>82</v>
      </c>
      <c r="M114" s="1791">
        <f t="shared" si="27"/>
        <v>80</v>
      </c>
      <c r="N114" s="2936"/>
      <c r="O114" s="2936"/>
      <c r="P114" s="1987"/>
      <c r="Q114" s="1802"/>
    </row>
    <row r="115" spans="1:17" ht="15" thickTop="1">
      <c r="A115" s="1832"/>
      <c r="B115" s="1787" t="s">
        <v>2089</v>
      </c>
      <c r="C115" s="3329" t="s">
        <v>3065</v>
      </c>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98</v>
      </c>
      <c r="E116" s="1791">
        <f t="shared" si="28"/>
        <v>96</v>
      </c>
      <c r="F116" s="1791">
        <f t="shared" si="28"/>
        <v>94</v>
      </c>
      <c r="G116" s="1791">
        <f t="shared" si="28"/>
        <v>92</v>
      </c>
      <c r="H116" s="1791">
        <f t="shared" si="28"/>
        <v>90</v>
      </c>
      <c r="I116" s="1791">
        <f t="shared" si="28"/>
        <v>88</v>
      </c>
      <c r="J116" s="1791">
        <f t="shared" si="28"/>
        <v>86</v>
      </c>
      <c r="K116" s="1791">
        <f t="shared" si="28"/>
        <v>84</v>
      </c>
      <c r="L116" s="1791">
        <f t="shared" si="28"/>
        <v>82</v>
      </c>
      <c r="M116" s="1792">
        <f t="shared" si="28"/>
        <v>80</v>
      </c>
      <c r="N116" s="2935"/>
      <c r="O116" s="2935"/>
      <c r="P116" s="1986"/>
      <c r="Q116" s="1750"/>
    </row>
    <row r="117" spans="1:17" ht="15" thickTop="1">
      <c r="A117" s="1832"/>
      <c r="B117" s="1787" t="s">
        <v>2090</v>
      </c>
      <c r="C117" s="3329" t="s">
        <v>3066</v>
      </c>
      <c r="D117" s="3329" t="s">
        <v>3067</v>
      </c>
      <c r="E117" s="3329" t="s">
        <v>3068</v>
      </c>
      <c r="F117" s="468"/>
      <c r="G117" s="468"/>
      <c r="H117" s="1506"/>
      <c r="I117" s="1506"/>
      <c r="J117" s="1506"/>
      <c r="K117" s="473"/>
      <c r="L117" s="473"/>
      <c r="M117" s="1822"/>
      <c r="N117" s="2934"/>
      <c r="O117" s="2934"/>
      <c r="P117" s="1986"/>
      <c r="Q117" s="1750"/>
    </row>
    <row r="118" spans="1:17" ht="15.75" thickBot="1">
      <c r="A118" s="1782"/>
      <c r="B118" s="1790"/>
      <c r="C118" s="1791">
        <v>100</v>
      </c>
      <c r="D118" s="1791">
        <f>C118-$K40</f>
        <v>98</v>
      </c>
      <c r="E118" s="1791">
        <f>D118-$K40</f>
        <v>96</v>
      </c>
      <c r="F118" s="1791">
        <f>E118-$K40</f>
        <v>94</v>
      </c>
      <c r="G118" s="1791">
        <f>F118-$K40</f>
        <v>92</v>
      </c>
      <c r="H118" s="1791"/>
      <c r="I118" s="1791"/>
      <c r="J118" s="1791"/>
      <c r="K118" s="1791"/>
      <c r="L118" s="1791"/>
      <c r="M118" s="1792"/>
      <c r="N118" s="2935"/>
      <c r="O118" s="2935"/>
      <c r="P118" s="1986"/>
      <c r="Q118" s="1750"/>
    </row>
    <row r="119" spans="1:17" ht="15" thickTop="1">
      <c r="A119" s="1832"/>
      <c r="B119" s="2424" t="s">
        <v>2159</v>
      </c>
      <c r="C119" s="3330" t="s">
        <v>3070</v>
      </c>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98</v>
      </c>
      <c r="E120" s="1791">
        <f t="shared" ref="E120:M120" si="29">D120-$K41</f>
        <v>96</v>
      </c>
      <c r="F120" s="1791">
        <f t="shared" si="29"/>
        <v>94</v>
      </c>
      <c r="G120" s="1791">
        <f t="shared" si="29"/>
        <v>92</v>
      </c>
      <c r="H120" s="1791">
        <f t="shared" si="29"/>
        <v>90</v>
      </c>
      <c r="I120" s="1791">
        <f t="shared" si="29"/>
        <v>88</v>
      </c>
      <c r="J120" s="1791">
        <f t="shared" si="29"/>
        <v>86</v>
      </c>
      <c r="K120" s="1791">
        <f t="shared" si="29"/>
        <v>84</v>
      </c>
      <c r="L120" s="1791">
        <f t="shared" si="29"/>
        <v>82</v>
      </c>
      <c r="M120" s="1791">
        <f t="shared" si="29"/>
        <v>80</v>
      </c>
      <c r="N120" s="2935"/>
      <c r="O120" s="2935"/>
      <c r="P120" s="1986"/>
      <c r="Q120" s="1750"/>
    </row>
    <row r="121" spans="1:17" s="1700" customFormat="1" ht="15" thickTop="1">
      <c r="A121" s="1828"/>
      <c r="B121" s="1787" t="s">
        <v>2141</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2092</v>
      </c>
      <c r="C123" s="468" t="s">
        <v>3054</v>
      </c>
      <c r="D123" s="468" t="s">
        <v>3056</v>
      </c>
      <c r="E123" s="468" t="s">
        <v>3058</v>
      </c>
      <c r="F123" s="1506" t="s">
        <v>3060</v>
      </c>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98</v>
      </c>
      <c r="E124" s="1791">
        <f t="shared" si="30"/>
        <v>96</v>
      </c>
      <c r="F124" s="1791">
        <f t="shared" si="30"/>
        <v>94</v>
      </c>
      <c r="G124" s="1791">
        <f t="shared" si="30"/>
        <v>92</v>
      </c>
      <c r="H124" s="1791">
        <f t="shared" si="30"/>
        <v>90</v>
      </c>
      <c r="I124" s="1791">
        <f t="shared" si="30"/>
        <v>88</v>
      </c>
      <c r="J124" s="1791">
        <f t="shared" si="30"/>
        <v>86</v>
      </c>
      <c r="K124" s="1791">
        <f t="shared" si="30"/>
        <v>84</v>
      </c>
      <c r="L124" s="1791">
        <f t="shared" si="30"/>
        <v>82</v>
      </c>
      <c r="M124" s="1792">
        <f t="shared" si="30"/>
        <v>80</v>
      </c>
      <c r="N124" s="2935"/>
      <c r="O124" s="2935"/>
      <c r="P124" s="1986"/>
      <c r="Q124" s="1750"/>
    </row>
    <row r="125" spans="1:17" ht="15" thickTop="1">
      <c r="A125" s="1832"/>
      <c r="B125" s="1787" t="s">
        <v>2093</v>
      </c>
      <c r="C125" s="579" t="s">
        <v>2068</v>
      </c>
      <c r="D125" s="579" t="s">
        <v>2069</v>
      </c>
      <c r="E125" s="579" t="s">
        <v>2070</v>
      </c>
      <c r="F125" s="579" t="s">
        <v>2071</v>
      </c>
      <c r="G125" s="579" t="s">
        <v>2072</v>
      </c>
      <c r="H125" s="1788"/>
      <c r="I125" s="1788"/>
      <c r="J125" s="1788"/>
      <c r="K125" s="428"/>
      <c r="L125" s="428"/>
      <c r="M125" s="1789"/>
      <c r="N125" s="2934"/>
      <c r="O125" s="2934"/>
      <c r="P125" s="1987"/>
      <c r="Q125" s="1750"/>
    </row>
    <row r="126" spans="1:17" ht="15.75" thickBot="1">
      <c r="A126" s="1782"/>
      <c r="B126" s="1790"/>
      <c r="C126" s="1791">
        <v>100</v>
      </c>
      <c r="D126" s="1791">
        <f>C126-$K44</f>
        <v>98</v>
      </c>
      <c r="E126" s="1791">
        <f>D126-$K44</f>
        <v>96</v>
      </c>
      <c r="F126" s="1791">
        <f>E126-$K44</f>
        <v>94</v>
      </c>
      <c r="G126" s="1791">
        <f>F126-$K44</f>
        <v>92</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9" workbookViewId="0">
      <selection activeCell="P35" sqref="P35"/>
    </sheetView>
  </sheetViews>
  <sheetFormatPr defaultRowHeight="13.5"/>
  <sheetData/>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abSelected="1" view="pageBreakPreview" zoomScale="80" zoomScaleNormal="60" zoomScaleSheetLayoutView="80" workbookViewId="0">
      <selection activeCell="E11" sqref="E1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2505</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475</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26059</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239854</v>
      </c>
      <c r="D5" s="1561" t="s">
        <v>2484</v>
      </c>
      <c r="E5" s="885"/>
      <c r="F5" s="1014"/>
      <c r="G5" s="909"/>
      <c r="H5" s="232">
        <v>1</v>
      </c>
      <c r="I5" s="233" t="s">
        <v>1772</v>
      </c>
      <c r="J5" s="234">
        <f ca="1">J6+J10+J12</f>
        <v>0</v>
      </c>
      <c r="K5" s="1448" t="s">
        <v>1773</v>
      </c>
      <c r="L5" s="885"/>
      <c r="M5" s="1014"/>
    </row>
    <row r="6" spans="1:37" ht="18" customHeight="1">
      <c r="A6" s="1015" t="s">
        <v>1774</v>
      </c>
      <c r="B6" s="1370" t="s">
        <v>1775</v>
      </c>
      <c r="C6" s="234">
        <f>ROUND(F6*F8*F7*(1-F9),0)</f>
        <v>239555</v>
      </c>
      <c r="D6" s="36" t="s">
        <v>2460</v>
      </c>
      <c r="E6" s="235" t="s">
        <v>1776</v>
      </c>
      <c r="F6" s="236">
        <f>'数据-取费表'!B30</f>
        <v>4</v>
      </c>
      <c r="G6" s="909"/>
      <c r="H6" s="1015" t="s">
        <v>1774</v>
      </c>
      <c r="I6" s="1370" t="s">
        <v>1775</v>
      </c>
      <c r="J6" s="234">
        <f>ROUND(M6*M8*M7*(1-M9),0)</f>
        <v>0</v>
      </c>
      <c r="K6" s="36" t="s">
        <v>2460</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182.31</v>
      </c>
      <c r="G7" s="909"/>
      <c r="H7" s="237"/>
      <c r="I7" s="238"/>
      <c r="J7" s="239"/>
      <c r="K7" s="240"/>
      <c r="L7" s="235" t="s">
        <v>1777</v>
      </c>
      <c r="M7" s="236">
        <f>IF('数据-取费表'!B42="",IF(D1="仅计算典型户型",'数据-取费表'!E5,'数据-取费表'!B5),'数据-取费表'!B42)</f>
        <v>182.31</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299</v>
      </c>
      <c r="D10" s="1450" t="s">
        <v>2465</v>
      </c>
      <c r="E10" s="246" t="s">
        <v>1783</v>
      </c>
      <c r="F10" s="1451" t="s">
        <v>3075</v>
      </c>
      <c r="G10" s="909"/>
      <c r="H10" s="1015" t="s">
        <v>1781</v>
      </c>
      <c r="I10" s="1449" t="s">
        <v>1782</v>
      </c>
      <c r="J10" s="1016">
        <f ca="1">ROUND(IF(M10="押一",J6/12*M11,IF(M10="押二",J6/12*2*M11,IF(M10="押三",J6/12*3*M11,J11*M11))),0)</f>
        <v>0</v>
      </c>
      <c r="K10" s="36" t="s">
        <v>2465</v>
      </c>
      <c r="L10" s="246" t="s">
        <v>1783</v>
      </c>
      <c r="M10" s="1451"/>
    </row>
    <row r="11" spans="1:37" s="257" customFormat="1" ht="18" customHeight="1">
      <c r="A11" s="263"/>
      <c r="B11" s="1452" t="s">
        <v>1784</v>
      </c>
      <c r="C11" s="1020"/>
      <c r="D11" s="240"/>
      <c r="E11" s="246" t="s">
        <v>1785</v>
      </c>
      <c r="F11" s="247">
        <f ca="1">'数据-取费表'!B31</f>
        <v>1.4999999999999999E-2</v>
      </c>
      <c r="G11" s="910"/>
      <c r="H11" s="241"/>
      <c r="I11" s="1452" t="s">
        <v>1786</v>
      </c>
      <c r="J11" s="1020"/>
      <c r="K11" s="240"/>
      <c r="L11" s="246" t="s">
        <v>1785</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1787</v>
      </c>
      <c r="B12" s="1453" t="s">
        <v>1788</v>
      </c>
      <c r="C12" s="1026"/>
      <c r="D12" s="1454"/>
      <c r="E12" s="1032"/>
      <c r="F12" s="1027"/>
      <c r="G12" s="909"/>
      <c r="H12" s="1025" t="s">
        <v>1787</v>
      </c>
      <c r="I12" s="1453" t="s">
        <v>1788</v>
      </c>
      <c r="J12" s="1026"/>
      <c r="K12" s="1042"/>
      <c r="L12" s="1032"/>
      <c r="M12" s="1043"/>
    </row>
    <row r="13" spans="1:37" s="257" customFormat="1" ht="18" customHeight="1" thickTop="1">
      <c r="A13" s="1021">
        <v>2</v>
      </c>
      <c r="B13" s="1022" t="s">
        <v>1789</v>
      </c>
      <c r="C13" s="243">
        <f ca="1">ROUND(C29*F13,0)</f>
        <v>722658</v>
      </c>
      <c r="D13" s="1023" t="s">
        <v>1790</v>
      </c>
      <c r="E13" s="1023" t="s">
        <v>1791</v>
      </c>
      <c r="F13" s="1024">
        <f>'数据-取费表'!E20</f>
        <v>0.78</v>
      </c>
      <c r="G13" s="910"/>
      <c r="H13" s="1021">
        <v>2</v>
      </c>
      <c r="I13" s="1022" t="s">
        <v>1789</v>
      </c>
      <c r="J13" s="1017">
        <f ca="1">ROUND(J14*J15,0)</f>
        <v>0</v>
      </c>
      <c r="K13" s="1028" t="s">
        <v>1790</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1792</v>
      </c>
      <c r="B14" s="235" t="s">
        <v>1793</v>
      </c>
      <c r="C14" s="254">
        <f>IF(D1="仅计算典型户型",'数据-取费表'!F18,'数据-取费表'!E18)</f>
        <v>638085</v>
      </c>
      <c r="D14" s="1256" t="s">
        <v>1794</v>
      </c>
      <c r="E14" s="1257"/>
      <c r="F14" s="757"/>
      <c r="G14" s="910"/>
      <c r="H14" s="253" t="s">
        <v>1774</v>
      </c>
      <c r="I14" s="235" t="s">
        <v>1795</v>
      </c>
      <c r="J14" s="13">
        <f ca="1">C29</f>
        <v>926485</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1796</v>
      </c>
      <c r="B15" s="235" t="s">
        <v>1797</v>
      </c>
      <c r="C15" s="13">
        <f>ROUND(C14*F15,0)</f>
        <v>19143</v>
      </c>
      <c r="D15" s="255" t="s">
        <v>1798</v>
      </c>
      <c r="E15" s="255" t="s">
        <v>1799</v>
      </c>
      <c r="F15" s="256">
        <f>'数据-取费表'!E21</f>
        <v>0.03</v>
      </c>
      <c r="G15" s="909"/>
      <c r="H15" s="1031" t="s">
        <v>1800</v>
      </c>
      <c r="I15" s="1032" t="s">
        <v>1801</v>
      </c>
      <c r="J15" s="1044">
        <f>'数据-取费表'!B40</f>
        <v>0</v>
      </c>
      <c r="K15" s="1045"/>
      <c r="L15" s="1046"/>
      <c r="M15" s="1047"/>
    </row>
    <row r="16" spans="1:37" s="257" customFormat="1" ht="18" customHeight="1" thickTop="1">
      <c r="A16" s="253" t="s">
        <v>1802</v>
      </c>
      <c r="B16" s="235" t="s">
        <v>1803</v>
      </c>
      <c r="C16" s="13">
        <f>ROUND(C14*F16,0)</f>
        <v>0</v>
      </c>
      <c r="D16" s="235" t="s">
        <v>1798</v>
      </c>
      <c r="E16" s="235" t="s">
        <v>1799</v>
      </c>
      <c r="F16" s="258">
        <f>IF('数据-取费表'!B10="住宅",'数据-取费表'!E22,0)</f>
        <v>0</v>
      </c>
      <c r="G16" s="910"/>
      <c r="H16" s="1021" t="s">
        <v>14</v>
      </c>
      <c r="I16" s="1022" t="s">
        <v>1804</v>
      </c>
      <c r="J16" s="243">
        <f ca="1">ROUND(J17+J22+J23+J24,0)</f>
        <v>9265</v>
      </c>
      <c r="K16" s="1028" t="s">
        <v>1805</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1806</v>
      </c>
      <c r="B17" s="235" t="s">
        <v>1807</v>
      </c>
      <c r="C17" s="13">
        <f>ROUND(F17*IF(D1="仅计算典型户型",'数据-取费表'!E5,'数据-取费表'!B5),0)</f>
        <v>36462</v>
      </c>
      <c r="D17" s="235" t="s">
        <v>1808</v>
      </c>
      <c r="E17" s="235" t="s">
        <v>1809</v>
      </c>
      <c r="F17" s="15">
        <f>'数据-取费表'!E23</f>
        <v>200</v>
      </c>
      <c r="G17" s="910"/>
      <c r="H17" s="253" t="s">
        <v>1810</v>
      </c>
      <c r="I17" s="235" t="s">
        <v>1811</v>
      </c>
      <c r="J17" s="2745">
        <f>ROUND(IF(AND(项目基本情况!B7="自然人",项目基本情况!B6="北京市"),J6*M17/(1+'数据-取费表'!F30),J18+J19+J20),0)</f>
        <v>0</v>
      </c>
      <c r="K17" s="1256" t="s">
        <v>1812</v>
      </c>
      <c r="L17" s="1259" t="s">
        <v>1813</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1814</v>
      </c>
      <c r="B18" s="235" t="s">
        <v>1815</v>
      </c>
      <c r="C18" s="13">
        <f>ROUND(C14*F18,0)</f>
        <v>9571</v>
      </c>
      <c r="D18" s="235" t="s">
        <v>1798</v>
      </c>
      <c r="E18" s="235" t="s">
        <v>1799</v>
      </c>
      <c r="F18" s="258">
        <f>'数据-取费表'!E24</f>
        <v>1.4999999999999999E-2</v>
      </c>
      <c r="G18" s="909"/>
      <c r="H18" s="253" t="s">
        <v>1816</v>
      </c>
      <c r="I18" s="235" t="s">
        <v>1817</v>
      </c>
      <c r="J18" s="13" t="str">
        <f>IF(项目基本情况!B7="自然人","——",ROUND(J6*M18/(1+'数据-取费表'!F30),0))</f>
        <v>——</v>
      </c>
      <c r="K18" s="1259" t="s">
        <v>2486</v>
      </c>
      <c r="L18" s="235" t="s">
        <v>1799</v>
      </c>
      <c r="M18" s="258">
        <f>'数据-取费表'!E29</f>
        <v>5.6000000000000001E-2</v>
      </c>
    </row>
    <row r="19" spans="1:37" s="257" customFormat="1" ht="18" customHeight="1">
      <c r="A19" s="253" t="s">
        <v>1810</v>
      </c>
      <c r="B19" s="235" t="s">
        <v>1818</v>
      </c>
      <c r="C19" s="13">
        <f>SUM(C14:C18)</f>
        <v>703261</v>
      </c>
      <c r="D19" s="33" t="s">
        <v>1819</v>
      </c>
      <c r="E19" s="1261"/>
      <c r="F19" s="15"/>
      <c r="G19" s="910"/>
      <c r="H19" s="253" t="s">
        <v>1796</v>
      </c>
      <c r="I19" s="235" t="s">
        <v>1820</v>
      </c>
      <c r="J19" s="13" t="str">
        <f>IF(项目基本情况!B7="自然人","——",IF(K19="按租金收入计税",ROUND(J6*M19/(1+'数据-取费表'!F30),0),ROUND(C29*M19*0.7,0)))</f>
        <v>——</v>
      </c>
      <c r="K19" s="1364"/>
      <c r="L19" s="235" t="s">
        <v>1799</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1822</v>
      </c>
      <c r="C20" s="13">
        <f>ROUND(C19*F20,0)</f>
        <v>14065</v>
      </c>
      <c r="D20" s="259" t="s">
        <v>1823</v>
      </c>
      <c r="E20" s="235" t="s">
        <v>1824</v>
      </c>
      <c r="F20" s="258">
        <f>'数据-取费表'!E25</f>
        <v>0.02</v>
      </c>
      <c r="G20" s="910"/>
      <c r="H20" s="253" t="s">
        <v>1802</v>
      </c>
      <c r="I20" s="36" t="s">
        <v>1825</v>
      </c>
      <c r="J20" s="14" t="str">
        <f>IF(项目基本情况!B7="自然人","——",ROUND(M20*M21,0))</f>
        <v>——</v>
      </c>
      <c r="K20" s="261" t="s">
        <v>1826</v>
      </c>
      <c r="L20" s="235" t="s">
        <v>1827</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1828</v>
      </c>
      <c r="B21" s="235" t="s">
        <v>1829</v>
      </c>
      <c r="C21" s="597">
        <f>F21</f>
        <v>0.02</v>
      </c>
      <c r="D21" s="259" t="s">
        <v>1830</v>
      </c>
      <c r="E21" s="235" t="s">
        <v>1831</v>
      </c>
      <c r="F21" s="258">
        <f>'数据-取费表'!E26</f>
        <v>0.02</v>
      </c>
      <c r="G21" s="909"/>
      <c r="H21" s="263"/>
      <c r="I21" s="244"/>
      <c r="J21" s="17"/>
      <c r="K21" s="264"/>
      <c r="L21" s="235" t="s">
        <v>1832</v>
      </c>
      <c r="M21" s="236">
        <f>IF(D1="仅计算典型户型",'数据-取费表'!E6,'数据-取费表'!B6)</f>
        <v>0</v>
      </c>
    </row>
    <row r="22" spans="1:37" ht="18" customHeight="1">
      <c r="A22" s="253" t="s">
        <v>1833</v>
      </c>
      <c r="B22" s="235" t="s">
        <v>1834</v>
      </c>
      <c r="C22" s="13"/>
      <c r="D22" s="33" t="str">
        <f>IF(F23&lt;=1,"单利计息。","复利计息。")&amp;"建造成本、管理费用、销售费用产生的利息。"</f>
        <v>复利计息。建造成本、管理费用、销售费用产生的利息。</v>
      </c>
      <c r="E22" s="1261"/>
      <c r="F22" s="15"/>
      <c r="G22" s="909"/>
      <c r="H22" s="253" t="s">
        <v>1800</v>
      </c>
      <c r="I22" s="235" t="s">
        <v>1835</v>
      </c>
      <c r="J22" s="13">
        <f ca="1">ROUND(J14*M22,0)</f>
        <v>9265</v>
      </c>
      <c r="K22" s="1259" t="s">
        <v>1836</v>
      </c>
      <c r="L22" s="235" t="s">
        <v>1799</v>
      </c>
      <c r="M22" s="265">
        <f>'数据-取费表'!B45</f>
        <v>0.01</v>
      </c>
    </row>
    <row r="23" spans="1:37" ht="18" customHeight="1">
      <c r="A23" s="253" t="s">
        <v>1816</v>
      </c>
      <c r="B23" s="235" t="s">
        <v>1837</v>
      </c>
      <c r="C23" s="13">
        <f ca="1">IF('数据-取费表'!B24&lt;=1,ROUND(C19*F24*F23/2,0)+ROUND(C20*F24*F23/2,0),ROUND(C19*(POWER((1+F24),F23/2)-1),0)+ROUND(C20*(POWER((1+F24),F23/2)-1),0))</f>
        <v>30128</v>
      </c>
      <c r="D23" s="1360" t="str">
        <f>IF(F23&lt;=1,"(建造成本+管理费用)×利率×(建设周期÷2)","(建造成本+管理费用)×((1+利率)^(建设周期÷2)-1)")</f>
        <v>(建造成本+管理费用)×((1+利率)^(建设周期÷2)-1)</v>
      </c>
      <c r="E23" s="235" t="s">
        <v>1838</v>
      </c>
      <c r="F23" s="262">
        <f>'数据-取费表'!B22</f>
        <v>2</v>
      </c>
      <c r="G23" s="909"/>
      <c r="H23" s="253" t="s">
        <v>1828</v>
      </c>
      <c r="I23" s="235" t="s">
        <v>1839</v>
      </c>
      <c r="J23" s="13">
        <f ca="1">ROUND(J13*M23,0)</f>
        <v>0</v>
      </c>
      <c r="K23" s="1259" t="s">
        <v>1840</v>
      </c>
      <c r="L23" s="235" t="s">
        <v>1841</v>
      </c>
      <c r="M23" s="266">
        <f>'数据-取费表'!B46</f>
        <v>1E-3</v>
      </c>
    </row>
    <row r="24" spans="1:37" s="257" customFormat="1" ht="18" customHeight="1" thickBot="1">
      <c r="A24" s="253" t="s">
        <v>1842</v>
      </c>
      <c r="B24" s="235" t="s">
        <v>1843</v>
      </c>
      <c r="C24" s="13">
        <f ca="1">ROUND(IF('数据-取费表'!B24&lt;=1,F21*F24*F23/2,F21*(POWER((1+F24),F23/2)-1)),4)</f>
        <v>8.0000000000000004E-4</v>
      </c>
      <c r="D24" s="1360" t="str">
        <f>IF(F23&lt;=1,"销售费用×利率×(建设周期÷2)","销售费用×((1+利率)^(建设周期÷2)-1)")</f>
        <v>销售费用×((1+利率)^(建设周期÷2)-1)</v>
      </c>
      <c r="E24" s="235" t="s">
        <v>1844</v>
      </c>
      <c r="F24" s="267">
        <f ca="1">'数据-取费表'!E27</f>
        <v>4.2000000000000003E-2</v>
      </c>
      <c r="G24" s="910"/>
      <c r="H24" s="1031" t="s">
        <v>1833</v>
      </c>
      <c r="I24" s="1032" t="s">
        <v>1822</v>
      </c>
      <c r="J24" s="1033">
        <f ca="1">ROUND(J5*M24,0)</f>
        <v>0</v>
      </c>
      <c r="K24" s="1034" t="s">
        <v>1845</v>
      </c>
      <c r="L24" s="1032" t="s">
        <v>1841</v>
      </c>
      <c r="M24" s="1027">
        <f>'数据-取费表'!B47</f>
        <v>0.02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1846</v>
      </c>
      <c r="B25" s="235" t="s">
        <v>1847</v>
      </c>
      <c r="C25" s="13"/>
      <c r="D25" s="33" t="s">
        <v>1848</v>
      </c>
      <c r="E25" s="1261"/>
      <c r="F25" s="15"/>
      <c r="G25" s="910"/>
      <c r="H25" s="1021" t="s">
        <v>22</v>
      </c>
      <c r="I25" s="1036" t="s">
        <v>1849</v>
      </c>
      <c r="J25" s="243">
        <f ca="1">J5-J16</f>
        <v>-9265</v>
      </c>
      <c r="K25" s="1037" t="s">
        <v>1850</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1792</v>
      </c>
      <c r="B26" s="235" t="s">
        <v>1851</v>
      </c>
      <c r="C26" s="13">
        <f>ROUND((C19+C20)*F26,0)</f>
        <v>107599</v>
      </c>
      <c r="D26" s="259" t="s">
        <v>1852</v>
      </c>
      <c r="E26" s="246" t="s">
        <v>1853</v>
      </c>
      <c r="F26" s="245">
        <f>'数据-取费表'!E28</f>
        <v>0.15</v>
      </c>
      <c r="G26" s="652"/>
      <c r="H26" s="232" t="s">
        <v>23</v>
      </c>
      <c r="I26" s="233" t="s">
        <v>1854</v>
      </c>
      <c r="J26" s="234">
        <f ca="1">IF(J5&lt;&gt;0,ROUND(J25*(1-((1+M28)/(1+M26))^M27)/(M26-M28),0),0)</f>
        <v>0</v>
      </c>
      <c r="K26" s="261" t="s">
        <v>1855</v>
      </c>
      <c r="L26" s="235" t="s">
        <v>1856</v>
      </c>
      <c r="M26" s="245">
        <f>'数据-取费表'!B16</f>
        <v>5.5E-2</v>
      </c>
    </row>
    <row r="27" spans="1:37" ht="18" customHeight="1">
      <c r="A27" s="253" t="s">
        <v>1857</v>
      </c>
      <c r="B27" s="235" t="s">
        <v>1858</v>
      </c>
      <c r="C27" s="13">
        <f>ROUND(F21*F26,4)</f>
        <v>3.0000000000000001E-3</v>
      </c>
      <c r="D27" s="259" t="s">
        <v>1859</v>
      </c>
      <c r="E27" s="255"/>
      <c r="F27" s="256"/>
      <c r="G27" s="652"/>
      <c r="H27" s="237"/>
      <c r="I27" s="238"/>
      <c r="J27" s="239"/>
      <c r="K27" s="269" t="s">
        <v>1860</v>
      </c>
      <c r="L27" s="235" t="s">
        <v>1861</v>
      </c>
      <c r="M27" s="270" t="str">
        <f>'数据-取费表'!B41</f>
        <v>——</v>
      </c>
    </row>
    <row r="28" spans="1:37" ht="18" customHeight="1">
      <c r="A28" s="253" t="s">
        <v>1862</v>
      </c>
      <c r="B28" s="235" t="s">
        <v>1863</v>
      </c>
      <c r="C28" s="13">
        <f>ROUND(F28/(1+'数据-取费表'!F30),4)</f>
        <v>5.33E-2</v>
      </c>
      <c r="D28" s="259" t="s">
        <v>1864</v>
      </c>
      <c r="E28" s="235" t="s">
        <v>1824</v>
      </c>
      <c r="F28" s="258">
        <f>'数据-取费表'!E29</f>
        <v>5.6000000000000001E-2</v>
      </c>
      <c r="G28" s="652"/>
      <c r="H28" s="241"/>
      <c r="I28" s="242"/>
      <c r="J28" s="243"/>
      <c r="K28" s="264"/>
      <c r="L28" s="235" t="s">
        <v>1865</v>
      </c>
      <c r="M28" s="245">
        <f>'数据-取费表'!B38</f>
        <v>0</v>
      </c>
    </row>
    <row r="29" spans="1:37" ht="18" customHeight="1" thickBot="1">
      <c r="A29" s="1031" t="s">
        <v>1866</v>
      </c>
      <c r="B29" s="1032" t="s">
        <v>1867</v>
      </c>
      <c r="C29" s="1033">
        <f ca="1">ROUND((C19+C20+C23+C26)/(1-F21-C24-C27-C28),0)</f>
        <v>926485</v>
      </c>
      <c r="D29" s="1034"/>
      <c r="E29" s="1032"/>
      <c r="F29" s="1035"/>
      <c r="G29" s="652"/>
      <c r="H29" s="271" t="s">
        <v>24</v>
      </c>
      <c r="I29" s="272" t="s">
        <v>1868</v>
      </c>
      <c r="J29" s="273">
        <f ca="1">ROUND(J26/(1+F40)^F41,0)</f>
        <v>0</v>
      </c>
      <c r="K29" s="274" t="s">
        <v>1869</v>
      </c>
      <c r="L29" s="275"/>
      <c r="M29" s="276">
        <f>IF(D1="仅计算典型户型",'数据-取费表'!E5,'数据-取费表'!B5)</f>
        <v>182.31</v>
      </c>
    </row>
    <row r="30" spans="1:37" ht="18" customHeight="1" thickTop="1">
      <c r="A30" s="1021" t="s">
        <v>14</v>
      </c>
      <c r="B30" s="1022" t="s">
        <v>1870</v>
      </c>
      <c r="C30" s="243">
        <f ca="1">ROUND(C31+C36+C37+C38,0)</f>
        <v>30755</v>
      </c>
      <c r="D30" s="1028" t="s">
        <v>1871</v>
      </c>
      <c r="E30" s="1029"/>
      <c r="F30" s="1030"/>
      <c r="G30" s="652"/>
      <c r="H30" s="889"/>
      <c r="I30" s="890"/>
      <c r="J30" s="891"/>
      <c r="K30" s="892"/>
      <c r="L30" s="893"/>
      <c r="M30" s="894"/>
    </row>
    <row r="31" spans="1:37" ht="18" customHeight="1">
      <c r="A31" s="253" t="s">
        <v>1774</v>
      </c>
      <c r="B31" s="235" t="s">
        <v>1811</v>
      </c>
      <c r="C31" s="2745">
        <f>ROUND(IF(AND(项目基本情况!B7="自然人",项目基本情况!B6="北京市"),C6*F31/(1+'数据-取费表'!F30),C32+C33+C34),0)</f>
        <v>15970</v>
      </c>
      <c r="D31" s="1256" t="s">
        <v>1872</v>
      </c>
      <c r="E31" s="1259" t="s">
        <v>1873</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1792</v>
      </c>
      <c r="B32" s="235" t="s">
        <v>1874</v>
      </c>
      <c r="C32" s="13" t="str">
        <f>IF(项目基本情况!B7="自然人","——",ROUND(C6*F32/(1+'数据-取费表'!F30),0))</f>
        <v>——</v>
      </c>
      <c r="D32" s="1259" t="s">
        <v>2485</v>
      </c>
      <c r="E32" s="235" t="s">
        <v>1824</v>
      </c>
      <c r="F32" s="267">
        <f>'数据-取费表'!E29</f>
        <v>5.6000000000000001E-2</v>
      </c>
      <c r="G32" s="652"/>
      <c r="H32" s="895"/>
      <c r="I32" s="896"/>
      <c r="J32" s="897"/>
      <c r="K32" s="898"/>
      <c r="L32" s="899"/>
      <c r="M32" s="900"/>
    </row>
    <row r="33" spans="1:18" ht="18" customHeight="1">
      <c r="A33" s="253" t="s">
        <v>1796</v>
      </c>
      <c r="B33" s="235" t="s">
        <v>1820</v>
      </c>
      <c r="C33" s="13" t="str">
        <f>IF(项目基本情况!B7="自然人","——",IF(D33="按租金收入计税",ROUND(C6*F33/(1+'数据-取费表'!F30),0),IF(D33="按房产原值计税",ROUND(C29*F33*0.7,0),'数据-取费表'!B44)))</f>
        <v>——</v>
      </c>
      <c r="D33" s="1364" t="s">
        <v>2639</v>
      </c>
      <c r="E33" s="235" t="s">
        <v>1799</v>
      </c>
      <c r="F33" s="258">
        <f>IF(D33="按票据","——",IF(D33="按租金收入计税",'数据-取费表'!E39,'数据-取费表'!E38))</f>
        <v>0.12</v>
      </c>
      <c r="G33" s="652"/>
      <c r="H33" s="901"/>
      <c r="I33" s="278" t="s">
        <v>1876</v>
      </c>
      <c r="J33" s="279"/>
      <c r="K33" s="902"/>
      <c r="L33" s="901"/>
      <c r="M33" s="901"/>
    </row>
    <row r="34" spans="1:18" ht="18" customHeight="1">
      <c r="A34" s="1015" t="s">
        <v>1802</v>
      </c>
      <c r="B34" s="36" t="s">
        <v>1825</v>
      </c>
      <c r="C34" s="14" t="str">
        <f>IF(项目基本情况!B7="自然人","——",ROUND(F34*F35,0))</f>
        <v>——</v>
      </c>
      <c r="D34" s="261" t="s">
        <v>1826</v>
      </c>
      <c r="E34" s="235" t="s">
        <v>1827</v>
      </c>
      <c r="F34" s="262">
        <f>'数据-取费表'!E40</f>
        <v>0</v>
      </c>
      <c r="G34" s="652"/>
      <c r="H34" s="889"/>
      <c r="I34" s="280" t="s">
        <v>1877</v>
      </c>
      <c r="J34" s="281">
        <f ca="1">ROUND(C13*J35,0)</f>
        <v>0</v>
      </c>
      <c r="K34" s="903"/>
      <c r="L34" s="904"/>
      <c r="M34" s="904"/>
    </row>
    <row r="35" spans="1:18" ht="24.6" customHeight="1">
      <c r="A35" s="1019"/>
      <c r="B35" s="244"/>
      <c r="C35" s="17"/>
      <c r="D35" s="264"/>
      <c r="E35" s="235" t="s">
        <v>1832</v>
      </c>
      <c r="F35" s="236">
        <f>IF(D1="仅计算典型户型",'数据-取费表'!E6,'数据-取费表'!B6)</f>
        <v>0</v>
      </c>
      <c r="G35" s="652" t="s">
        <v>2573</v>
      </c>
      <c r="H35" s="889"/>
      <c r="I35" s="282" t="s">
        <v>1878</v>
      </c>
      <c r="J35" s="283">
        <f>'数据-取费表'!B18</f>
        <v>0</v>
      </c>
      <c r="K35" s="902"/>
      <c r="L35" s="901"/>
      <c r="M35" s="901"/>
    </row>
    <row r="36" spans="1:18" ht="18" customHeight="1">
      <c r="A36" s="1018" t="s">
        <v>1781</v>
      </c>
      <c r="B36" s="235" t="s">
        <v>1879</v>
      </c>
      <c r="C36" s="13">
        <f ca="1">ROUND(C29*F36,0)</f>
        <v>9265</v>
      </c>
      <c r="D36" s="1259" t="s">
        <v>1880</v>
      </c>
      <c r="E36" s="235" t="s">
        <v>1824</v>
      </c>
      <c r="F36" s="265">
        <f>'数据-取费表'!B45</f>
        <v>0.01</v>
      </c>
      <c r="G36" s="652"/>
      <c r="H36" s="901"/>
      <c r="I36" s="284" t="s">
        <v>1881</v>
      </c>
      <c r="J36" s="285"/>
      <c r="K36" s="905"/>
      <c r="L36" s="901"/>
      <c r="M36" s="901"/>
    </row>
    <row r="37" spans="1:18" ht="18" customHeight="1">
      <c r="A37" s="253" t="s">
        <v>1828</v>
      </c>
      <c r="B37" s="235" t="s">
        <v>1839</v>
      </c>
      <c r="C37" s="13">
        <f ca="1">ROUND(C13*F37,0)</f>
        <v>723</v>
      </c>
      <c r="D37" s="1259" t="s">
        <v>1840</v>
      </c>
      <c r="E37" s="235" t="s">
        <v>1841</v>
      </c>
      <c r="F37" s="266">
        <f>'数据-取费表'!B46</f>
        <v>1E-3</v>
      </c>
      <c r="G37" s="652"/>
      <c r="H37" s="901"/>
      <c r="I37" s="132" t="s">
        <v>1882</v>
      </c>
      <c r="J37" s="286"/>
      <c r="K37" s="905"/>
      <c r="L37" s="901"/>
      <c r="M37" s="901"/>
    </row>
    <row r="38" spans="1:18" ht="18" customHeight="1" thickBot="1">
      <c r="A38" s="1031" t="s">
        <v>1833</v>
      </c>
      <c r="B38" s="1032" t="s">
        <v>1822</v>
      </c>
      <c r="C38" s="1033">
        <f ca="1">ROUND(C5*F38,0)</f>
        <v>4797</v>
      </c>
      <c r="D38" s="1034" t="s">
        <v>1845</v>
      </c>
      <c r="E38" s="1032" t="s">
        <v>1841</v>
      </c>
      <c r="F38" s="1027">
        <f>'数据-取费表'!B47</f>
        <v>0.02</v>
      </c>
      <c r="G38" s="652"/>
      <c r="H38" s="901"/>
      <c r="I38" s="280" t="s">
        <v>1883</v>
      </c>
      <c r="J38" s="136">
        <f ca="1">ROUND(J34/C39,3)</f>
        <v>0</v>
      </c>
      <c r="K38" s="906"/>
      <c r="L38" s="901"/>
      <c r="M38" s="901"/>
    </row>
    <row r="39" spans="1:18" ht="18" customHeight="1" thickTop="1">
      <c r="A39" s="1021" t="s">
        <v>22</v>
      </c>
      <c r="B39" s="1036" t="s">
        <v>1884</v>
      </c>
      <c r="C39" s="243">
        <f ca="1">C5-C30</f>
        <v>209099</v>
      </c>
      <c r="D39" s="1037" t="s">
        <v>1885</v>
      </c>
      <c r="E39" s="1038"/>
      <c r="F39" s="1039"/>
      <c r="G39" s="652"/>
      <c r="H39" s="901"/>
      <c r="I39" s="280" t="s">
        <v>1886</v>
      </c>
      <c r="J39" s="136">
        <f ca="1">1-J38</f>
        <v>1</v>
      </c>
      <c r="K39" s="906"/>
      <c r="L39" s="901"/>
      <c r="M39" s="901"/>
    </row>
    <row r="40" spans="1:18" s="652" customFormat="1" ht="18" customHeight="1">
      <c r="A40" s="232" t="s">
        <v>23</v>
      </c>
      <c r="B40" s="233" t="s">
        <v>1887</v>
      </c>
      <c r="C40" s="234">
        <f ca="1">ROUND(C39*(1-((1+F42)/(1+F40))^F41)/(F40-F42),0)</f>
        <v>4750870</v>
      </c>
      <c r="D40" s="261" t="s">
        <v>1855</v>
      </c>
      <c r="E40" s="235" t="s">
        <v>1856</v>
      </c>
      <c r="F40" s="245">
        <f>'数据-取费表'!B16</f>
        <v>5.5E-2</v>
      </c>
      <c r="H40" s="907"/>
      <c r="I40" s="132" t="s">
        <v>1888</v>
      </c>
      <c r="J40" s="133"/>
      <c r="K40" s="906"/>
      <c r="L40" s="907"/>
      <c r="M40" s="907"/>
      <c r="Q40" s="656"/>
    </row>
    <row r="41" spans="1:18" s="652" customFormat="1" ht="18" customHeight="1">
      <c r="A41" s="237"/>
      <c r="B41" s="238"/>
      <c r="C41" s="239"/>
      <c r="D41" s="269" t="s">
        <v>1889</v>
      </c>
      <c r="E41" s="1232" t="s">
        <v>2468</v>
      </c>
      <c r="F41" s="270">
        <f>IF('数据-取费表'!B29="租赁期内按合同租金",'数据-取费表'!B35,IF(E41="收益年期(n)",'数据-取费表'!B34,'数据-取费表'!B13))</f>
        <v>35</v>
      </c>
      <c r="H41" s="908"/>
      <c r="I41" s="135" t="s">
        <v>1762</v>
      </c>
      <c r="J41" s="136">
        <f ca="1">ROUND(C13/C40,3)</f>
        <v>0.152</v>
      </c>
      <c r="K41" s="905"/>
      <c r="L41" s="908"/>
      <c r="M41" s="908"/>
      <c r="Q41" s="656"/>
    </row>
    <row r="42" spans="1:18" s="652" customFormat="1" ht="18" customHeight="1">
      <c r="A42" s="241"/>
      <c r="B42" s="242"/>
      <c r="C42" s="243"/>
      <c r="D42" s="264"/>
      <c r="E42" s="235" t="s">
        <v>1865</v>
      </c>
      <c r="F42" s="245">
        <f>'数据-取费表'!B32</f>
        <v>0.03</v>
      </c>
      <c r="H42" s="908"/>
      <c r="I42" s="135" t="s">
        <v>1763</v>
      </c>
      <c r="J42" s="137">
        <f ca="1">1-J41</f>
        <v>0.84799999999999998</v>
      </c>
      <c r="K42" s="905"/>
      <c r="L42" s="908"/>
      <c r="M42" s="908"/>
      <c r="Q42" s="656"/>
    </row>
    <row r="43" spans="1:18" s="652" customFormat="1" ht="18" customHeight="1" thickBot="1">
      <c r="A43" s="271" t="s">
        <v>24</v>
      </c>
      <c r="B43" s="272" t="s">
        <v>1890</v>
      </c>
      <c r="C43" s="273">
        <f ca="1">ROUND(C40/F43,0)</f>
        <v>26059</v>
      </c>
      <c r="D43" s="274" t="s">
        <v>1891</v>
      </c>
      <c r="E43" s="275" t="s">
        <v>1892</v>
      </c>
      <c r="F43" s="276">
        <f>IF(D1="仅计算典型户型",'数据-取费表'!E5,'数据-取费表'!B5)</f>
        <v>182.31</v>
      </c>
      <c r="G43" s="654"/>
      <c r="H43" s="908"/>
      <c r="I43" s="908"/>
      <c r="J43" s="908"/>
      <c r="K43" s="905"/>
      <c r="L43" s="908"/>
      <c r="M43" s="908"/>
      <c r="O43" s="999" t="s">
        <v>1893</v>
      </c>
      <c r="P43" s="1000"/>
      <c r="Q43" s="996"/>
      <c r="R43" s="1000"/>
    </row>
    <row r="44" spans="1:18" s="652" customFormat="1" ht="18" customHeight="1" thickBot="1">
      <c r="A44" s="649"/>
      <c r="B44" s="649"/>
      <c r="C44" s="651"/>
      <c r="D44" s="649"/>
      <c r="E44" s="649"/>
      <c r="F44" s="649"/>
      <c r="G44" s="654"/>
      <c r="K44" s="653"/>
      <c r="O44" s="1001" t="s">
        <v>1894</v>
      </c>
      <c r="P44" s="1002" t="s">
        <v>1895</v>
      </c>
      <c r="Q44" s="1003" t="s">
        <v>1896</v>
      </c>
      <c r="R44" s="1004" t="s">
        <v>1897</v>
      </c>
    </row>
    <row r="45" spans="1:18" s="652" customFormat="1" ht="18" customHeight="1" thickBot="1">
      <c r="A45" s="649"/>
      <c r="B45" s="649"/>
      <c r="C45" s="651"/>
      <c r="D45" s="649"/>
      <c r="E45" s="649"/>
      <c r="F45" s="649"/>
      <c r="G45" s="655"/>
      <c r="K45" s="653"/>
      <c r="O45" s="1005" t="s">
        <v>767</v>
      </c>
      <c r="P45" s="1006" t="s">
        <v>1898</v>
      </c>
      <c r="Q45" s="1007">
        <f ca="1">C40+J29</f>
        <v>4750870</v>
      </c>
      <c r="R45" s="1008" t="s">
        <v>1899</v>
      </c>
    </row>
    <row r="46" spans="1:18" s="652" customFormat="1" ht="18" customHeight="1" thickBot="1">
      <c r="A46" s="649"/>
      <c r="D46" s="649"/>
      <c r="E46" s="649"/>
      <c r="F46" s="649"/>
      <c r="K46" s="653"/>
      <c r="O46" s="1005" t="s">
        <v>768</v>
      </c>
      <c r="P46" s="1006" t="s">
        <v>1900</v>
      </c>
      <c r="Q46" s="1007" t="str">
        <f>J61</f>
        <v>0</v>
      </c>
      <c r="R46" s="1008" t="s">
        <v>1901</v>
      </c>
    </row>
    <row r="47" spans="1:18" s="652" customFormat="1" ht="21.75" thickBot="1">
      <c r="A47" s="1455" t="s">
        <v>1902</v>
      </c>
      <c r="C47" s="950">
        <f ca="1">IF(C2="元",C69-C40,ROUND((C69-C40)/10000,0))</f>
        <v>-490</v>
      </c>
      <c r="D47" s="1456" t="str">
        <f>C2</f>
        <v>万元</v>
      </c>
      <c r="E47" s="649"/>
      <c r="F47" s="649"/>
      <c r="I47" s="1457" t="s">
        <v>1903</v>
      </c>
      <c r="J47" s="981"/>
      <c r="K47" s="982"/>
      <c r="L47" s="995" t="str">
        <f>IF(M48="住宅",0,IF(L49&gt;J52,L61,J61))</f>
        <v>0</v>
      </c>
      <c r="O47" s="1009" t="s">
        <v>769</v>
      </c>
      <c r="P47" s="1006" t="s">
        <v>1904</v>
      </c>
      <c r="Q47" s="1007">
        <f ca="1">C29</f>
        <v>926485</v>
      </c>
      <c r="R47" s="1008" t="s">
        <v>1899</v>
      </c>
    </row>
    <row r="48" spans="1:18" s="652" customFormat="1" ht="15.75" thickBot="1">
      <c r="A48" s="228" t="s">
        <v>1905</v>
      </c>
      <c r="B48" s="229" t="s">
        <v>1906</v>
      </c>
      <c r="C48" s="229" t="s">
        <v>1907</v>
      </c>
      <c r="D48" s="229" t="s">
        <v>1908</v>
      </c>
      <c r="E48" s="944" t="s">
        <v>1909</v>
      </c>
      <c r="F48" s="945"/>
      <c r="I48" s="1458" t="s">
        <v>1910</v>
      </c>
      <c r="J48" s="1459" t="s">
        <v>3052</v>
      </c>
      <c r="K48" s="1460" t="s">
        <v>1911</v>
      </c>
      <c r="L48" s="983">
        <f>'数据-取费表'!B11</f>
        <v>50</v>
      </c>
      <c r="M48" s="996" t="str">
        <f>IF('数据-取费表'!B10="住宅","住宅","非住宅")</f>
        <v>非住宅</v>
      </c>
      <c r="O48" s="1009" t="s">
        <v>770</v>
      </c>
      <c r="P48" s="1006" t="s">
        <v>1912</v>
      </c>
      <c r="Q48" s="1010" t="e">
        <f>J59</f>
        <v>#VALUE!</v>
      </c>
      <c r="R48" s="1008"/>
    </row>
    <row r="49" spans="1:18" s="652" customFormat="1" ht="15.75" thickBot="1">
      <c r="A49" s="1056" t="s">
        <v>781</v>
      </c>
      <c r="B49" s="233" t="s">
        <v>1913</v>
      </c>
      <c r="C49" s="1057">
        <f ca="1">C50+C54+C56</f>
        <v>0</v>
      </c>
      <c r="D49" s="1058"/>
      <c r="E49" s="44"/>
      <c r="F49" s="15"/>
      <c r="I49" s="1461" t="s">
        <v>1914</v>
      </c>
      <c r="J49" s="1462" t="s">
        <v>3072</v>
      </c>
      <c r="K49" s="1463" t="s">
        <v>1915</v>
      </c>
      <c r="L49" s="821">
        <f>'数据-取费表'!B13</f>
        <v>35</v>
      </c>
      <c r="O49" s="1009" t="s">
        <v>771</v>
      </c>
      <c r="P49" s="1006" t="s">
        <v>1916</v>
      </c>
      <c r="Q49" s="1010">
        <f>J53</f>
        <v>7.4999999999999997E-2</v>
      </c>
      <c r="R49" s="1008"/>
    </row>
    <row r="50" spans="1:18" s="652" customFormat="1" ht="15.75" thickBot="1">
      <c r="A50" s="260" t="s">
        <v>1774</v>
      </c>
      <c r="B50" s="1370" t="s">
        <v>1917</v>
      </c>
      <c r="C50" s="234">
        <f>ROUND(F50*F52*F51*(1-F53),0)</f>
        <v>0</v>
      </c>
      <c r="D50" s="42" t="s">
        <v>2461</v>
      </c>
      <c r="E50" s="1464" t="s">
        <v>1918</v>
      </c>
      <c r="F50" s="946"/>
      <c r="I50" s="1461" t="s">
        <v>1919</v>
      </c>
      <c r="J50" s="821">
        <f>'数据-取费表'!B27</f>
        <v>2009</v>
      </c>
      <c r="K50" s="1465" t="s">
        <v>1920</v>
      </c>
      <c r="L50" s="984"/>
      <c r="O50" s="1009" t="s">
        <v>772</v>
      </c>
      <c r="P50" s="1006" t="s">
        <v>1921</v>
      </c>
      <c r="Q50" s="1007">
        <f>J54</f>
        <v>35</v>
      </c>
      <c r="R50" s="1008" t="s">
        <v>1922</v>
      </c>
    </row>
    <row r="51" spans="1:18" s="652" customFormat="1" ht="15.75" thickBot="1">
      <c r="A51" s="237"/>
      <c r="B51" s="238"/>
      <c r="C51" s="239"/>
      <c r="D51" s="240"/>
      <c r="E51" s="255" t="s">
        <v>1777</v>
      </c>
      <c r="F51" s="943">
        <f>F7</f>
        <v>182.31</v>
      </c>
      <c r="I51" s="1461" t="s">
        <v>1923</v>
      </c>
      <c r="J51" s="985">
        <f>SUMPRODUCT((I64:I66=J48)*(J63:L63=J49)*(J64:L66))</f>
        <v>60</v>
      </c>
      <c r="K51" s="1465" t="s">
        <v>1924</v>
      </c>
      <c r="L51" s="984"/>
      <c r="O51" s="1005" t="s">
        <v>773</v>
      </c>
      <c r="P51" s="1006" t="str">
        <f>IF(C2="元","收益价值(元)","收益价值(万元)")</f>
        <v>收益价值(万元)</v>
      </c>
      <c r="Q51" s="1007">
        <f ca="1">ROUND(IF(C2="元",Q45+Q46,(Q45+Q46)/10000),0)</f>
        <v>475</v>
      </c>
      <c r="R51" s="1008" t="s">
        <v>774</v>
      </c>
    </row>
    <row r="52" spans="1:18" s="652" customFormat="1" ht="16.5" thickBot="1">
      <c r="A52" s="237"/>
      <c r="B52" s="238"/>
      <c r="C52" s="239"/>
      <c r="D52" s="240"/>
      <c r="E52" s="235" t="s">
        <v>1779</v>
      </c>
      <c r="F52" s="236">
        <f>F8</f>
        <v>365</v>
      </c>
      <c r="I52" s="1466" t="s">
        <v>1925</v>
      </c>
      <c r="J52" s="986">
        <f>IF(J50="",J51,J50+J51-YEAR('数据-取费表'!B2))</f>
        <v>47</v>
      </c>
      <c r="K52" s="1467" t="s">
        <v>1926</v>
      </c>
      <c r="L52" s="987">
        <f ca="1">ROUND(-PV('数据-取费表'!B15,J52,(C40-C13*J35)),0)</f>
        <v>85425468</v>
      </c>
      <c r="O52" s="999" t="s">
        <v>1927</v>
      </c>
      <c r="P52" s="1000"/>
      <c r="Q52" s="996"/>
      <c r="R52" s="1000"/>
    </row>
    <row r="53" spans="1:18" s="652" customFormat="1" ht="15.75" thickBot="1">
      <c r="A53" s="241"/>
      <c r="B53" s="242"/>
      <c r="C53" s="243"/>
      <c r="D53" s="244"/>
      <c r="E53" s="235" t="s">
        <v>1780</v>
      </c>
      <c r="F53" s="994"/>
      <c r="I53" s="1468" t="s">
        <v>1928</v>
      </c>
      <c r="J53" s="988">
        <v>7.4999999999999997E-2</v>
      </c>
      <c r="K53" s="1468" t="s">
        <v>1929</v>
      </c>
      <c r="L53" s="988"/>
      <c r="O53" s="1001" t="s">
        <v>1894</v>
      </c>
      <c r="P53" s="1002" t="s">
        <v>1895</v>
      </c>
      <c r="Q53" s="1003" t="s">
        <v>1896</v>
      </c>
      <c r="R53" s="1004" t="s">
        <v>1897</v>
      </c>
    </row>
    <row r="54" spans="1:18" s="652" customFormat="1" ht="29.25" customHeight="1" thickBot="1">
      <c r="A54" s="1015" t="s">
        <v>1781</v>
      </c>
      <c r="B54" s="1449" t="s">
        <v>1782</v>
      </c>
      <c r="C54" s="1016">
        <f ca="1">ROUND(IF(F54="押一",C50/12*F11,IF(F54="押二",C50/12*2*F11,IF(F54="押三",C50/12*3*F11,C55*F11))),0)</f>
        <v>0</v>
      </c>
      <c r="D54" s="1450" t="s">
        <v>2466</v>
      </c>
      <c r="E54" s="246" t="s">
        <v>1783</v>
      </c>
      <c r="F54" s="1451"/>
      <c r="I54" s="1557" t="s">
        <v>2469</v>
      </c>
      <c r="J54" s="989">
        <f>IF(M48="住宅",IF(E1="——",MAX(J52,L49),MAX(J52,L49-'数据-取费表'!B26)),IF(E1="——",MIN(J52,L49),MIN(J52,L49-'数据-取费表'!B26)))</f>
        <v>35</v>
      </c>
      <c r="K54" s="3603" t="s">
        <v>2459</v>
      </c>
      <c r="L54" s="3604"/>
      <c r="O54" s="1005" t="s">
        <v>767</v>
      </c>
      <c r="P54" s="1006" t="s">
        <v>1898</v>
      </c>
      <c r="Q54" s="1007">
        <f ca="1">C40+J29</f>
        <v>4750870</v>
      </c>
      <c r="R54" s="1008" t="s">
        <v>1899</v>
      </c>
    </row>
    <row r="55" spans="1:18" s="652" customFormat="1" ht="20.25" thickBot="1">
      <c r="A55" s="1015"/>
      <c r="B55" s="1469" t="s">
        <v>1786</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1930</v>
      </c>
      <c r="Q55" s="1007">
        <f>L61</f>
        <v>0</v>
      </c>
      <c r="R55" s="1008" t="s">
        <v>1931</v>
      </c>
    </row>
    <row r="56" spans="1:18" s="652" customFormat="1" ht="20.25" thickBot="1">
      <c r="A56" s="1025" t="s">
        <v>1787</v>
      </c>
      <c r="B56" s="1453" t="s">
        <v>1788</v>
      </c>
      <c r="C56" s="1026"/>
      <c r="D56" s="1042"/>
      <c r="E56" s="1472"/>
      <c r="F56" s="1081"/>
      <c r="I56" s="1473" t="s">
        <v>1932</v>
      </c>
      <c r="J56" s="1248" t="e">
        <f>ROUND(IF(J48="钢混",J58/J51,1-(1-2%)*(J51-J58)/J51),3)</f>
        <v>#VALUE!</v>
      </c>
      <c r="K56" s="1474" t="s">
        <v>1933</v>
      </c>
      <c r="L56" s="990"/>
      <c r="O56" s="1009" t="s">
        <v>769</v>
      </c>
      <c r="P56" s="1006" t="s">
        <v>1934</v>
      </c>
      <c r="Q56" s="1007">
        <f>IF(L56="比较法",L50,IF(L56="基准地价",L51,0))</f>
        <v>0</v>
      </c>
      <c r="R56" s="1008" t="s">
        <v>1899</v>
      </c>
    </row>
    <row r="57" spans="1:18" s="652" customFormat="1" ht="44.25" thickTop="1" thickBot="1">
      <c r="A57" s="1021">
        <v>2</v>
      </c>
      <c r="B57" s="1022" t="s">
        <v>1789</v>
      </c>
      <c r="C57" s="1080">
        <f ca="1">C13</f>
        <v>722658</v>
      </c>
      <c r="D57" s="941"/>
      <c r="E57" s="942"/>
      <c r="F57" s="949"/>
      <c r="I57" s="1475" t="s">
        <v>1935</v>
      </c>
      <c r="J57" s="993" t="s">
        <v>3073</v>
      </c>
      <c r="K57" s="1461" t="s">
        <v>1936</v>
      </c>
      <c r="L57" s="821" t="str">
        <f>IF(L49&lt;J52,"——",L49-J52)</f>
        <v>——</v>
      </c>
      <c r="O57" s="1009" t="s">
        <v>770</v>
      </c>
      <c r="P57" s="1006" t="s">
        <v>1937</v>
      </c>
      <c r="Q57" s="1010">
        <f>L53</f>
        <v>0</v>
      </c>
      <c r="R57" s="1008"/>
    </row>
    <row r="58" spans="1:18" s="652" customFormat="1" ht="29.25" thickBot="1">
      <c r="A58" s="948"/>
      <c r="B58" s="235" t="s">
        <v>1867</v>
      </c>
      <c r="C58" s="104">
        <f ca="1">C29</f>
        <v>926485</v>
      </c>
      <c r="D58" s="941"/>
      <c r="E58" s="942"/>
      <c r="F58" s="949"/>
      <c r="I58" s="1476" t="s">
        <v>1938</v>
      </c>
      <c r="J58" s="992" t="str">
        <f>IF(OR(M48="住宅",J52&lt;L49,J57="是"),"——",J52-L49)</f>
        <v>——</v>
      </c>
      <c r="K58" s="1461" t="s">
        <v>1939</v>
      </c>
      <c r="L58" s="821" t="str">
        <f>IF(L49&lt;J52,"——",IF(L56="比较法",L50,IF(L56="基准地价",L51,L52)))</f>
        <v>——</v>
      </c>
      <c r="O58" s="1009" t="s">
        <v>771</v>
      </c>
      <c r="P58" s="1006" t="s">
        <v>1940</v>
      </c>
      <c r="Q58" s="1007" t="e">
        <f>L59</f>
        <v>#DIV/0!</v>
      </c>
      <c r="R58" s="1008" t="s">
        <v>1941</v>
      </c>
    </row>
    <row r="59" spans="1:18" s="652" customFormat="1" ht="29.25" thickBot="1">
      <c r="A59" s="248" t="s">
        <v>14</v>
      </c>
      <c r="B59" s="249" t="s">
        <v>1870</v>
      </c>
      <c r="C59" s="250">
        <f ca="1">ROUND(C60+C65+C66+C67,0)</f>
        <v>9988</v>
      </c>
      <c r="D59" s="12" t="s">
        <v>1871</v>
      </c>
      <c r="E59" s="1261"/>
      <c r="F59" s="15"/>
      <c r="I59" s="1476" t="s">
        <v>1942</v>
      </c>
      <c r="J59" s="1247" t="e">
        <f>IF(J56&lt;0.4,0.4,J56)</f>
        <v>#VALUE!</v>
      </c>
      <c r="K59" s="1467" t="s">
        <v>1943</v>
      </c>
      <c r="L59" s="821" t="e">
        <f>ROUND(POWER(1+L53,L48-L49)*(POWER(1+L53,L49)-1)/(POWER(1+L53,L48)-1),4)</f>
        <v>#DIV/0!</v>
      </c>
      <c r="O59" s="1009" t="s">
        <v>772</v>
      </c>
      <c r="P59" s="1006" t="str">
        <f>K60</f>
        <v>建筑物剩余耐用年限下的土地年期修正系数Kn</v>
      </c>
      <c r="Q59" s="1007" t="e">
        <f>L60</f>
        <v>#DIV/0!</v>
      </c>
      <c r="R59" s="1008" t="s">
        <v>1944</v>
      </c>
    </row>
    <row r="60" spans="1:18" s="652" customFormat="1" ht="29.25" thickBot="1">
      <c r="A60" s="253" t="s">
        <v>15</v>
      </c>
      <c r="B60" s="235" t="s">
        <v>1811</v>
      </c>
      <c r="C60" s="2745">
        <f>ROUND(IF(AND(项目基本情况!B7="自然人",项目基本情况!B6="北京市"),C50*F60/(1+'数据-取费表'!F30),C61+C62+C63),0)</f>
        <v>0</v>
      </c>
      <c r="D60" s="1256" t="s">
        <v>1872</v>
      </c>
      <c r="E60" s="1259" t="s">
        <v>1873</v>
      </c>
      <c r="F60" s="2744">
        <f>IF(项目基本情况!B7="企业","——",IF('数据-取费表'!B10="住宅",IF(F50*F51*F52/12/(1+'数据-取费表'!F30)&gt;100000,4%,2.5%),IF(F50*F51*F52/12/(1+'数据-取费表'!F30)&gt;100000,12%,7%)))</f>
        <v>7.0000000000000007E-2</v>
      </c>
      <c r="I60" s="1476" t="s">
        <v>1945</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475</v>
      </c>
      <c r="R60" s="1008" t="s">
        <v>774</v>
      </c>
    </row>
    <row r="61" spans="1:18" s="652" customFormat="1" ht="16.5" thickBot="1">
      <c r="A61" s="253" t="s">
        <v>16</v>
      </c>
      <c r="B61" s="235" t="s">
        <v>1874</v>
      </c>
      <c r="C61" s="13" t="str">
        <f>IF(项目基本情况!B7="自然人","——",ROUND(C49*F61/(1+'数据-取费表'!F30),0))</f>
        <v>——</v>
      </c>
      <c r="D61" s="1259" t="s">
        <v>1875</v>
      </c>
      <c r="E61" s="235" t="s">
        <v>1824</v>
      </c>
      <c r="F61" s="267">
        <f t="shared" ref="F61:F67" si="0">F32</f>
        <v>5.6000000000000001E-2</v>
      </c>
      <c r="I61" s="1477" t="s">
        <v>1946</v>
      </c>
      <c r="J61" s="991" t="str">
        <f>IF(OR(M48="住宅",J52&lt;L49,J57="是"),"0",ROUND(J60/(1+J53)^J54,0))</f>
        <v>0</v>
      </c>
      <c r="K61" s="1478" t="s">
        <v>1947</v>
      </c>
      <c r="L61" s="991">
        <f>IF(OR(M48="住宅",L49&lt;J52),0,ROUND(L58*(L59/L60-1),0))</f>
        <v>0</v>
      </c>
      <c r="O61" s="999" t="s">
        <v>1948</v>
      </c>
      <c r="P61" s="1000"/>
      <c r="Q61" s="996"/>
      <c r="R61" s="1000"/>
    </row>
    <row r="62" spans="1:18" s="652" customFormat="1" ht="15.75" thickBot="1">
      <c r="A62" s="253" t="s">
        <v>17</v>
      </c>
      <c r="B62" s="235" t="s">
        <v>1949</v>
      </c>
      <c r="C62" s="13" t="str">
        <f>IF(项目基本情况!B7="自然人","——",IF(D62="按租金收入计税",ROUND(C50*F62/(1+'数据-取费表'!F30),0),IF(D62="按房产原值计税",ROUND(C58*F62*0.7,0),'数据-取费表'!B44)))</f>
        <v>——</v>
      </c>
      <c r="D62" s="1364" t="s">
        <v>1821</v>
      </c>
      <c r="E62" s="235" t="s">
        <v>1824</v>
      </c>
      <c r="F62" s="258">
        <f t="shared" si="0"/>
        <v>0.12</v>
      </c>
      <c r="O62" s="1001" t="s">
        <v>1894</v>
      </c>
      <c r="P62" s="1002" t="s">
        <v>1895</v>
      </c>
      <c r="Q62" s="1003" t="s">
        <v>1896</v>
      </c>
      <c r="R62" s="1004" t="s">
        <v>1897</v>
      </c>
    </row>
    <row r="63" spans="1:18" s="652" customFormat="1" ht="15.75" thickBot="1">
      <c r="A63" s="260" t="s">
        <v>18</v>
      </c>
      <c r="B63" s="36" t="s">
        <v>1950</v>
      </c>
      <c r="C63" s="14" t="str">
        <f>IF(项目基本情况!B7="自然人","——",ROUND(F63*F64,0))</f>
        <v>——</v>
      </c>
      <c r="D63" s="261" t="s">
        <v>1951</v>
      </c>
      <c r="E63" s="235" t="s">
        <v>1952</v>
      </c>
      <c r="F63" s="262">
        <f t="shared" si="0"/>
        <v>0</v>
      </c>
      <c r="I63" s="1479" t="s">
        <v>1953</v>
      </c>
      <c r="J63" s="1251" t="s">
        <v>1954</v>
      </c>
      <c r="K63" s="1251" t="s">
        <v>1955</v>
      </c>
      <c r="L63" s="1251" t="s">
        <v>1956</v>
      </c>
      <c r="M63" s="1250" t="s">
        <v>1957</v>
      </c>
      <c r="O63" s="1005" t="s">
        <v>767</v>
      </c>
      <c r="P63" s="1006" t="s">
        <v>1898</v>
      </c>
      <c r="Q63" s="1007">
        <f ca="1">C40+J29</f>
        <v>4750870</v>
      </c>
      <c r="R63" s="1008" t="s">
        <v>1899</v>
      </c>
    </row>
    <row r="64" spans="1:18" s="652" customFormat="1" ht="20.25" thickBot="1">
      <c r="A64" s="263"/>
      <c r="B64" s="244"/>
      <c r="C64" s="17"/>
      <c r="D64" s="264"/>
      <c r="E64" s="235" t="s">
        <v>1958</v>
      </c>
      <c r="F64" s="236">
        <f t="shared" si="0"/>
        <v>0</v>
      </c>
      <c r="I64" s="1479" t="s">
        <v>1959</v>
      </c>
      <c r="J64" s="1251">
        <v>70</v>
      </c>
      <c r="K64" s="1251">
        <v>50</v>
      </c>
      <c r="L64" s="1251">
        <v>80</v>
      </c>
      <c r="M64" s="1249">
        <v>0.02</v>
      </c>
      <c r="O64" s="1005" t="s">
        <v>768</v>
      </c>
      <c r="P64" s="1006" t="s">
        <v>1930</v>
      </c>
      <c r="Q64" s="1007">
        <f>L61</f>
        <v>0</v>
      </c>
      <c r="R64" s="1008" t="s">
        <v>1931</v>
      </c>
    </row>
    <row r="65" spans="1:18" s="652" customFormat="1" ht="23.25" thickBot="1">
      <c r="A65" s="253" t="s">
        <v>19</v>
      </c>
      <c r="B65" s="235" t="s">
        <v>1879</v>
      </c>
      <c r="C65" s="13">
        <f ca="1">ROUND(C58*F65,0)</f>
        <v>9265</v>
      </c>
      <c r="D65" s="1259" t="s">
        <v>1880</v>
      </c>
      <c r="E65" s="235" t="s">
        <v>1824</v>
      </c>
      <c r="F65" s="265">
        <f t="shared" si="0"/>
        <v>0.01</v>
      </c>
      <c r="I65" s="1479" t="s">
        <v>1960</v>
      </c>
      <c r="J65" s="1251">
        <v>50</v>
      </c>
      <c r="K65" s="1251">
        <v>35</v>
      </c>
      <c r="L65" s="1251">
        <v>60</v>
      </c>
      <c r="M65" s="1250">
        <v>0</v>
      </c>
      <c r="O65" s="1009" t="s">
        <v>769</v>
      </c>
      <c r="P65" s="1006" t="s">
        <v>1934</v>
      </c>
      <c r="Q65" s="1011">
        <f ca="1">L52</f>
        <v>85425468</v>
      </c>
      <c r="R65" s="1012" t="s">
        <v>1961</v>
      </c>
    </row>
    <row r="66" spans="1:18" s="652" customFormat="1" ht="20.25" thickBot="1">
      <c r="A66" s="253" t="s">
        <v>20</v>
      </c>
      <c r="B66" s="235" t="s">
        <v>1839</v>
      </c>
      <c r="C66" s="13">
        <f ca="1">ROUND(C57*F66,0)</f>
        <v>723</v>
      </c>
      <c r="D66" s="1259" t="s">
        <v>1840</v>
      </c>
      <c r="E66" s="235" t="s">
        <v>1841</v>
      </c>
      <c r="F66" s="266">
        <f t="shared" si="0"/>
        <v>1E-3</v>
      </c>
      <c r="I66" s="1479" t="s">
        <v>1962</v>
      </c>
      <c r="J66" s="1251">
        <v>40</v>
      </c>
      <c r="K66" s="1251">
        <v>30</v>
      </c>
      <c r="L66" s="1251">
        <v>50</v>
      </c>
      <c r="M66" s="1249">
        <v>0.02</v>
      </c>
      <c r="O66" s="1009" t="s">
        <v>770</v>
      </c>
      <c r="P66" s="1013" t="s">
        <v>1963</v>
      </c>
      <c r="Q66" s="1007">
        <f ca="1">ROUND(Q67-Q68*Q69,0)</f>
        <v>209099</v>
      </c>
      <c r="R66" s="1008"/>
    </row>
    <row r="67" spans="1:18" s="652" customFormat="1" ht="15.75" thickBot="1">
      <c r="A67" s="253" t="s">
        <v>21</v>
      </c>
      <c r="B67" s="235" t="s">
        <v>1822</v>
      </c>
      <c r="C67" s="13">
        <f ca="1">ROUND(C49*F67,0)</f>
        <v>0</v>
      </c>
      <c r="D67" s="1259" t="s">
        <v>1845</v>
      </c>
      <c r="E67" s="235" t="s">
        <v>1841</v>
      </c>
      <c r="F67" s="245">
        <f t="shared" si="0"/>
        <v>0.02</v>
      </c>
      <c r="O67" s="1009" t="s">
        <v>775</v>
      </c>
      <c r="P67" s="1013" t="s">
        <v>1964</v>
      </c>
      <c r="Q67" s="1007">
        <f ca="1">C39</f>
        <v>209099</v>
      </c>
      <c r="R67" s="1008" t="s">
        <v>1899</v>
      </c>
    </row>
    <row r="68" spans="1:18" ht="15.75" thickBot="1">
      <c r="A68" s="248" t="s">
        <v>22</v>
      </c>
      <c r="B68" s="41" t="s">
        <v>1849</v>
      </c>
      <c r="C68" s="250">
        <f ca="1">C49-C59</f>
        <v>-9988</v>
      </c>
      <c r="D68" s="1256" t="s">
        <v>1850</v>
      </c>
      <c r="E68" s="1258"/>
      <c r="F68" s="268"/>
      <c r="H68" s="652"/>
      <c r="I68" s="652"/>
      <c r="J68" s="652"/>
      <c r="K68" s="652"/>
      <c r="L68" s="652"/>
      <c r="M68" s="652"/>
      <c r="O68" s="1009" t="s">
        <v>776</v>
      </c>
      <c r="P68" s="1013" t="s">
        <v>1965</v>
      </c>
      <c r="Q68" s="1007">
        <f ca="1">C13</f>
        <v>722658</v>
      </c>
      <c r="R68" s="1008" t="s">
        <v>1899</v>
      </c>
    </row>
    <row r="69" spans="1:18" ht="15.75" thickBot="1">
      <c r="A69" s="232" t="s">
        <v>23</v>
      </c>
      <c r="B69" s="233" t="s">
        <v>1887</v>
      </c>
      <c r="C69" s="234">
        <f ca="1">ROUND(C68*(1-((1+F71)/(1+F69))^F70)/(F69-F71),0)</f>
        <v>-153721</v>
      </c>
      <c r="D69" s="261" t="s">
        <v>1855</v>
      </c>
      <c r="E69" s="235" t="s">
        <v>1856</v>
      </c>
      <c r="F69" s="245">
        <f>F40</f>
        <v>5.5E-2</v>
      </c>
      <c r="H69" s="652"/>
      <c r="I69" s="652"/>
      <c r="J69" s="652"/>
      <c r="K69" s="652"/>
      <c r="L69" s="652"/>
      <c r="M69" s="652"/>
      <c r="O69" s="1009" t="s">
        <v>777</v>
      </c>
      <c r="P69" s="1013" t="s">
        <v>1966</v>
      </c>
      <c r="Q69" s="1010">
        <f>J35</f>
        <v>0</v>
      </c>
      <c r="R69" s="1008"/>
    </row>
    <row r="70" spans="1:18" ht="15.75" thickBot="1">
      <c r="A70" s="237"/>
      <c r="B70" s="238"/>
      <c r="C70" s="239"/>
      <c r="D70" s="269" t="s">
        <v>1889</v>
      </c>
      <c r="E70" s="235" t="s">
        <v>1861</v>
      </c>
      <c r="F70" s="270">
        <f>F41</f>
        <v>35</v>
      </c>
      <c r="H70" s="652"/>
      <c r="I70" s="652"/>
      <c r="J70" s="652"/>
      <c r="K70" s="652"/>
      <c r="L70" s="652"/>
      <c r="M70" s="652"/>
      <c r="O70" s="1009" t="s">
        <v>771</v>
      </c>
      <c r="P70" s="1006" t="s">
        <v>1937</v>
      </c>
      <c r="Q70" s="1010">
        <f>L53</f>
        <v>0</v>
      </c>
      <c r="R70" s="1008"/>
    </row>
    <row r="71" spans="1:18" ht="20.25" thickBot="1">
      <c r="A71" s="241"/>
      <c r="B71" s="242"/>
      <c r="C71" s="243"/>
      <c r="D71" s="264"/>
      <c r="E71" s="235" t="s">
        <v>1865</v>
      </c>
      <c r="F71" s="994"/>
      <c r="H71" s="652"/>
      <c r="M71" s="652"/>
      <c r="O71" s="1009" t="s">
        <v>772</v>
      </c>
      <c r="P71" s="1006" t="s">
        <v>1940</v>
      </c>
      <c r="Q71" s="1007" t="e">
        <f>L59</f>
        <v>#DIV/0!</v>
      </c>
      <c r="R71" s="1008" t="s">
        <v>1941</v>
      </c>
    </row>
    <row r="72" spans="1:18" ht="15.75" thickBot="1">
      <c r="A72" s="271" t="s">
        <v>24</v>
      </c>
      <c r="B72" s="272" t="s">
        <v>1890</v>
      </c>
      <c r="C72" s="273">
        <f ca="1">ROUND(C69/F72,0)</f>
        <v>-843</v>
      </c>
      <c r="D72" s="274" t="s">
        <v>1891</v>
      </c>
      <c r="E72" s="275" t="s">
        <v>1892</v>
      </c>
      <c r="F72" s="276">
        <f>F43</f>
        <v>182.31</v>
      </c>
      <c r="O72" s="1009" t="s">
        <v>778</v>
      </c>
      <c r="P72" s="1006" t="str">
        <f>K60</f>
        <v>建筑物剩余耐用年限下的土地年期修正系数Kn</v>
      </c>
      <c r="Q72" s="1007" t="e">
        <f>L60</f>
        <v>#DIV/0!</v>
      </c>
      <c r="R72" s="1008" t="s">
        <v>1944</v>
      </c>
    </row>
    <row r="73" spans="1:18" ht="15.75" thickBot="1">
      <c r="A73" s="652"/>
      <c r="B73" s="656"/>
      <c r="C73" s="656"/>
      <c r="D73" s="652"/>
      <c r="E73" s="652"/>
      <c r="F73" s="652"/>
      <c r="O73" s="1005" t="s">
        <v>773</v>
      </c>
      <c r="P73" s="1006" t="str">
        <f>IF(C2="元","收益价值(元)","收益价值(万元)")</f>
        <v>收益价值(万元)</v>
      </c>
      <c r="Q73" s="1007">
        <f ca="1">ROUND(IF(C2="元",Q63+Q64,(Q63+Q64)/10000),0)</f>
        <v>475</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218</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11952</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182.31</v>
      </c>
      <c r="E10" s="1100">
        <f>'数据-取费表'!E12</f>
        <v>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36462</v>
      </c>
      <c r="D19" s="1104">
        <f>IF(B1="仅计算典型户型",'数据-取费表'!E5,'数据-取费表'!B5)</f>
        <v>182.31</v>
      </c>
      <c r="E19" s="111">
        <f>'数据-取费表'!E15</f>
        <v>200</v>
      </c>
      <c r="F19" s="112"/>
      <c r="G19" s="1446"/>
    </row>
    <row r="20" spans="1:123" s="91" customFormat="1" ht="13.5" customHeight="1">
      <c r="A20" s="120" t="s">
        <v>1702</v>
      </c>
      <c r="B20" s="89" t="s">
        <v>1703</v>
      </c>
      <c r="C20" s="99">
        <f>ROUND((C5+C19)*F20,0)</f>
        <v>21339</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92403</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88380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3127</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896</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163245</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163245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1456224</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703261</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638085</v>
      </c>
      <c r="D34" s="1096"/>
      <c r="E34" s="115"/>
      <c r="F34" s="1107" t="str">
        <f>IF('数据-取费表'!B26=0,"",'数据-取费表'!E20)</f>
        <v/>
      </c>
      <c r="G34" s="95"/>
    </row>
    <row r="35" spans="1:123" ht="13.5" customHeight="1">
      <c r="A35" s="92" t="s">
        <v>1685</v>
      </c>
      <c r="B35" s="93" t="s">
        <v>1734</v>
      </c>
      <c r="C35" s="115">
        <f>ROUND(C34*F35,0)</f>
        <v>19143</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36462</v>
      </c>
      <c r="D37" s="1096">
        <f>IF(B1="仅计算典型户型",'数据-取费表'!E5,'数据-取费表'!B5)</f>
        <v>182.31</v>
      </c>
      <c r="E37" s="115">
        <f>'数据-取费表'!E23</f>
        <v>200</v>
      </c>
      <c r="F37" s="1108"/>
      <c r="G37" s="124" t="s">
        <v>1739</v>
      </c>
    </row>
    <row r="38" spans="1:123" ht="13.5" customHeight="1">
      <c r="A38" s="92" t="s">
        <v>1740</v>
      </c>
      <c r="B38" s="93" t="s">
        <v>1741</v>
      </c>
      <c r="C38" s="115">
        <f>ROUND(C34*F38,0)</f>
        <v>9571</v>
      </c>
      <c r="D38" s="115"/>
      <c r="E38" s="115"/>
      <c r="F38" s="1108">
        <f>'数据-取费表'!E24</f>
        <v>1.4999999999999999E-2</v>
      </c>
      <c r="G38" s="95" t="s">
        <v>1735</v>
      </c>
    </row>
    <row r="39" spans="1:123" s="91" customFormat="1" ht="13.5" customHeight="1">
      <c r="A39" s="120" t="s">
        <v>1700</v>
      </c>
      <c r="B39" s="89" t="s">
        <v>1703</v>
      </c>
      <c r="C39" s="99">
        <f>ROUND(C33*F20,0)</f>
        <v>14065</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30128</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29537</v>
      </c>
      <c r="D42" s="104"/>
      <c r="E42" s="104"/>
      <c r="F42" s="105"/>
      <c r="G42" s="3605" t="s">
        <v>1745</v>
      </c>
    </row>
    <row r="43" spans="1:123" ht="13.5" customHeight="1">
      <c r="A43" s="92" t="s">
        <v>1685</v>
      </c>
      <c r="B43" s="93" t="s">
        <v>1714</v>
      </c>
      <c r="C43" s="104">
        <f ca="1">ROUND(IF('数据-取费表'!B24&lt;=1,C39*F22*'数据-取费表'!B23/2,C39*(POWER((1+F22),'数据-取费表'!B23/2)-1)),0)</f>
        <v>591</v>
      </c>
      <c r="D43" s="104"/>
      <c r="E43" s="104"/>
      <c r="F43" s="105"/>
      <c r="G43" s="3606"/>
    </row>
    <row r="44" spans="1:123" ht="13.5" customHeight="1">
      <c r="A44" s="92" t="s">
        <v>1687</v>
      </c>
      <c r="B44" s="93" t="s">
        <v>1716</v>
      </c>
      <c r="C44" s="104">
        <f ca="1">ROUND(IF('数据-取费表'!B24&lt;=1,C40*F22*'数据-取费表'!B23/2,C40*(POWER((1+F22),'数据-取费表'!B23/2)-1)),4)</f>
        <v>8.0000000000000004E-4</v>
      </c>
      <c r="D44" s="104"/>
      <c r="E44" s="104"/>
      <c r="F44" s="105"/>
      <c r="G44" s="3607"/>
    </row>
    <row r="45" spans="1:123" s="91" customFormat="1" ht="13.5" customHeight="1">
      <c r="A45" s="120" t="s">
        <v>1709</v>
      </c>
      <c r="B45" s="110" t="s">
        <v>1721</v>
      </c>
      <c r="C45" s="111">
        <f>C46</f>
        <v>107599</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107599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926485</v>
      </c>
      <c r="D49" s="99"/>
      <c r="E49" s="99"/>
      <c r="F49" s="126"/>
      <c r="G49" s="100" t="s">
        <v>1753</v>
      </c>
    </row>
    <row r="50" spans="1:123" s="122" customFormat="1" ht="24">
      <c r="A50" s="952" t="s">
        <v>1754</v>
      </c>
      <c r="B50" s="89" t="s">
        <v>1755</v>
      </c>
      <c r="C50" s="99"/>
      <c r="D50" s="99"/>
      <c r="E50" s="99"/>
      <c r="F50" s="126">
        <f>IF('数据-取费表'!B26=0,'数据-取费表'!E20,1)</f>
        <v>0.78</v>
      </c>
      <c r="G50" s="113" t="s">
        <v>1756</v>
      </c>
    </row>
    <row r="51" spans="1:123" ht="16.5" customHeight="1">
      <c r="A51" s="952" t="s">
        <v>1757</v>
      </c>
      <c r="B51" s="89" t="s">
        <v>1758</v>
      </c>
      <c r="C51" s="99">
        <f ca="1">ROUND(C49*F50,0)</f>
        <v>722658</v>
      </c>
      <c r="D51" s="99"/>
      <c r="E51" s="99"/>
      <c r="F51" s="126"/>
      <c r="G51" s="100" t="s">
        <v>1759</v>
      </c>
    </row>
    <row r="52" spans="1:123" s="88" customFormat="1" ht="16.5" thickBot="1">
      <c r="A52" s="127" t="s">
        <v>1760</v>
      </c>
      <c r="B52" s="128"/>
      <c r="C52" s="129">
        <f ca="1">C31+C51</f>
        <v>2178882</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0.33200000000000002</v>
      </c>
    </row>
    <row r="57" spans="1:123">
      <c r="B57" s="135" t="s">
        <v>1763</v>
      </c>
      <c r="C57" s="137">
        <f ca="1">1-C56</f>
        <v>0.66799999999999993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0.21999999999999997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2789</v>
      </c>
      <c r="B1" s="3082"/>
      <c r="C1" s="3088"/>
      <c r="D1" s="3088"/>
      <c r="E1" s="3083"/>
      <c r="F1" s="3084"/>
      <c r="G1" s="3177"/>
      <c r="J1" s="3180" t="s">
        <v>2645</v>
      </c>
      <c r="K1" s="3181"/>
      <c r="L1" s="3181"/>
      <c r="M1" s="3181"/>
      <c r="N1" s="3181"/>
      <c r="O1" s="3181"/>
      <c r="P1" s="3181"/>
      <c r="Q1" s="3181"/>
      <c r="R1" s="3182"/>
      <c r="S1" s="3183"/>
      <c r="T1" s="3183"/>
      <c r="U1" s="3183"/>
    </row>
    <row r="2" spans="1:23" s="3091" customFormat="1" ht="13.15" customHeight="1">
      <c r="A2" s="3086" t="s">
        <v>2646</v>
      </c>
      <c r="B2" s="3087" t="e">
        <f>C40</f>
        <v>#DIV/0!</v>
      </c>
      <c r="C2" s="3088" t="s">
        <v>2647</v>
      </c>
      <c r="D2" s="3088"/>
      <c r="E2" s="3089"/>
      <c r="F2" s="3090"/>
      <c r="G2" s="3184"/>
      <c r="H2" s="3185"/>
      <c r="I2" s="3186"/>
      <c r="J2" s="3614" t="s">
        <v>2648</v>
      </c>
      <c r="K2" s="3615"/>
      <c r="L2" s="3187" t="s">
        <v>2649</v>
      </c>
      <c r="M2" s="3187" t="s">
        <v>2650</v>
      </c>
      <c r="N2" s="3187" t="s">
        <v>2651</v>
      </c>
      <c r="O2" s="3187" t="s">
        <v>2652</v>
      </c>
      <c r="P2" s="3187" t="s">
        <v>2653</v>
      </c>
      <c r="Q2" s="3188" t="s">
        <v>2654</v>
      </c>
      <c r="R2" s="3189" t="s">
        <v>2655</v>
      </c>
      <c r="S2" s="3183"/>
      <c r="T2" s="3183"/>
      <c r="U2" s="3183"/>
      <c r="V2" s="3186"/>
      <c r="W2" s="3185"/>
    </row>
    <row r="3" spans="1:23" s="3091" customFormat="1" ht="13.15" customHeight="1">
      <c r="A3" s="3093" t="s">
        <v>2656</v>
      </c>
      <c r="B3" s="3094" t="e">
        <f>ROUND(B2*10000/B4,0)</f>
        <v>#DIV/0!</v>
      </c>
      <c r="C3" s="3088" t="s">
        <v>2657</v>
      </c>
      <c r="D3" s="3088"/>
      <c r="E3" s="3089"/>
      <c r="F3" s="3090"/>
      <c r="G3" s="3184"/>
      <c r="H3" s="3185"/>
      <c r="I3" s="3186"/>
      <c r="J3" s="3616" t="s">
        <v>2658</v>
      </c>
      <c r="K3" s="3617"/>
      <c r="L3" s="3190"/>
      <c r="M3" s="3190"/>
      <c r="N3" s="3190"/>
      <c r="O3" s="3190"/>
      <c r="P3" s="3190"/>
      <c r="Q3" s="3191"/>
      <c r="R3" s="3192">
        <f>SUM(L3:Q3)</f>
        <v>0</v>
      </c>
      <c r="S3" s="3183"/>
      <c r="T3" s="3183"/>
      <c r="U3" s="3183"/>
      <c r="V3" s="3186"/>
      <c r="W3" s="3185"/>
    </row>
    <row r="4" spans="1:23" s="3091" customFormat="1" ht="13.15" customHeight="1">
      <c r="A4" s="3095" t="s">
        <v>2659</v>
      </c>
      <c r="B4" s="3152"/>
      <c r="C4" s="3088"/>
      <c r="D4" s="3088"/>
      <c r="E4" s="3089"/>
      <c r="F4" s="3090"/>
      <c r="G4" s="3184"/>
      <c r="H4" s="3185"/>
      <c r="I4" s="3186"/>
      <c r="J4" s="3616" t="s">
        <v>2660</v>
      </c>
      <c r="K4" s="3617"/>
      <c r="L4" s="3193"/>
      <c r="M4" s="3193"/>
      <c r="N4" s="3193"/>
      <c r="O4" s="3193"/>
      <c r="P4" s="3193"/>
      <c r="Q4" s="3194"/>
      <c r="R4" s="3195">
        <f>SUM(L4:Q4)</f>
        <v>0</v>
      </c>
      <c r="S4" s="3183"/>
      <c r="T4" s="3183"/>
      <c r="U4" s="3183"/>
      <c r="V4" s="3186"/>
      <c r="W4" s="3185"/>
    </row>
    <row r="5" spans="1:23" s="3091" customFormat="1" ht="13.15" customHeight="1" thickBot="1">
      <c r="A5" s="3096" t="s">
        <v>2661</v>
      </c>
      <c r="B5" s="3153"/>
      <c r="C5" s="3088"/>
      <c r="D5" s="3097"/>
      <c r="E5" s="3090"/>
      <c r="F5" s="3090"/>
      <c r="G5" s="3184"/>
      <c r="H5" s="3185"/>
      <c r="I5" s="3186"/>
      <c r="J5" s="3196" t="s">
        <v>2662</v>
      </c>
      <c r="K5" s="3197"/>
      <c r="L5" s="3197"/>
      <c r="M5" s="3198"/>
      <c r="N5" s="3198"/>
      <c r="O5" s="3198"/>
      <c r="P5" s="3198"/>
      <c r="Q5" s="3198"/>
      <c r="R5" s="3189">
        <f>SUM(R14,R19,R24,R25,R27,R28)</f>
        <v>0</v>
      </c>
      <c r="S5" s="3183"/>
      <c r="T5" s="3183" t="s">
        <v>2663</v>
      </c>
      <c r="U5" s="3183" t="e">
        <f>ROUND(R5*10000/365/R3,1)</f>
        <v>#DIV/0!</v>
      </c>
      <c r="V5" s="3186"/>
      <c r="W5" s="3185"/>
    </row>
    <row r="6" spans="1:23" s="3091" customFormat="1" ht="13.15" customHeight="1" thickBot="1">
      <c r="A6" s="3622" t="s">
        <v>2664</v>
      </c>
      <c r="B6" s="3623"/>
      <c r="C6" s="3624"/>
      <c r="D6" s="3154"/>
      <c r="E6" s="3098"/>
      <c r="F6" s="3099"/>
      <c r="G6" s="3199"/>
      <c r="H6" s="3185"/>
      <c r="I6" s="3186"/>
      <c r="J6" s="3608">
        <v>1</v>
      </c>
      <c r="K6" s="3609" t="s">
        <v>2665</v>
      </c>
      <c r="L6" s="3200" t="s">
        <v>2666</v>
      </c>
      <c r="M6" s="3201" t="s">
        <v>2667</v>
      </c>
      <c r="N6" s="3201" t="s">
        <v>2668</v>
      </c>
      <c r="O6" s="3201" t="s">
        <v>2669</v>
      </c>
      <c r="P6" s="3201" t="s">
        <v>2670</v>
      </c>
      <c r="Q6" s="3201" t="s">
        <v>2671</v>
      </c>
      <c r="R6" s="3192" t="s">
        <v>2672</v>
      </c>
      <c r="S6" s="3183"/>
      <c r="T6" s="3183" t="s">
        <v>2673</v>
      </c>
      <c r="U6" s="3183"/>
      <c r="V6" s="3186"/>
      <c r="W6" s="3185"/>
    </row>
    <row r="7" spans="1:23" s="3091" customFormat="1" ht="13.15" customHeight="1">
      <c r="A7" s="3101" t="s">
        <v>2674</v>
      </c>
      <c r="B7" s="3102"/>
      <c r="C7" s="3103"/>
      <c r="D7" s="3104">
        <f>SUM(D9,D10,D11,D17,0)</f>
        <v>0</v>
      </c>
      <c r="E7" s="3105" t="e">
        <f>E9+E10+E11+E17</f>
        <v>#DIV/0!</v>
      </c>
      <c r="F7" s="3106"/>
      <c r="G7" s="3202"/>
      <c r="H7" s="3185"/>
      <c r="I7" s="3186"/>
      <c r="J7" s="3608"/>
      <c r="K7" s="3610"/>
      <c r="L7" s="3203" t="s">
        <v>2774</v>
      </c>
      <c r="M7" s="3204"/>
      <c r="N7" s="3204"/>
      <c r="O7" s="3205"/>
      <c r="P7" s="3205"/>
      <c r="Q7" s="3206">
        <v>365</v>
      </c>
      <c r="R7" s="3207">
        <f>ROUND(M7*N7*O7*P7*Q7/10000,0)</f>
        <v>0</v>
      </c>
      <c r="S7" s="3183"/>
      <c r="T7" s="3183" t="s">
        <v>2675</v>
      </c>
      <c r="U7" s="3183"/>
      <c r="V7" s="3186"/>
      <c r="W7" s="3185"/>
    </row>
    <row r="8" spans="1:23" s="3091" customFormat="1" ht="13.15" customHeight="1">
      <c r="A8" s="3107" t="s">
        <v>2676</v>
      </c>
      <c r="B8" s="3625" t="s">
        <v>2677</v>
      </c>
      <c r="C8" s="3626"/>
      <c r="D8" s="3108" t="s">
        <v>2678</v>
      </c>
      <c r="E8" s="3109" t="s">
        <v>2679</v>
      </c>
      <c r="F8" s="3092" t="s">
        <v>2680</v>
      </c>
      <c r="G8" s="3262" t="s">
        <v>2788</v>
      </c>
      <c r="H8" s="3185"/>
      <c r="I8" s="3186"/>
      <c r="J8" s="3608"/>
      <c r="K8" s="3610"/>
      <c r="L8" s="3203" t="s">
        <v>2775</v>
      </c>
      <c r="M8" s="3204"/>
      <c r="N8" s="3204"/>
      <c r="O8" s="3205"/>
      <c r="P8" s="3205"/>
      <c r="Q8" s="3206">
        <v>365</v>
      </c>
      <c r="R8" s="3207">
        <f t="shared" ref="R8:R13" si="0">ROUND(M8*N8*O8*P8*Q8/10000,0)</f>
        <v>0</v>
      </c>
      <c r="S8" s="3183"/>
      <c r="T8" s="3183" t="s">
        <v>2681</v>
      </c>
      <c r="U8" s="3183"/>
      <c r="V8" s="3186"/>
      <c r="W8" s="3185"/>
    </row>
    <row r="9" spans="1:23" s="3091" customFormat="1" ht="13.15" customHeight="1">
      <c r="A9" s="3107">
        <v>1</v>
      </c>
      <c r="B9" s="3625" t="s">
        <v>2682</v>
      </c>
      <c r="C9" s="3626"/>
      <c r="D9" s="3108">
        <f>ROUND(D6*E9,0)</f>
        <v>0</v>
      </c>
      <c r="E9" s="3155"/>
      <c r="F9" s="3110" t="s">
        <v>2683</v>
      </c>
      <c r="G9" s="3208" t="s">
        <v>2786</v>
      </c>
      <c r="H9" s="3185"/>
      <c r="I9" s="3186"/>
      <c r="J9" s="3608"/>
      <c r="K9" s="3610"/>
      <c r="L9" s="3203" t="s">
        <v>2776</v>
      </c>
      <c r="M9" s="3204"/>
      <c r="N9" s="3204"/>
      <c r="O9" s="3205"/>
      <c r="P9" s="3205"/>
      <c r="Q9" s="3206">
        <v>365</v>
      </c>
      <c r="R9" s="3207">
        <f t="shared" si="0"/>
        <v>0</v>
      </c>
      <c r="S9" s="3183"/>
      <c r="T9" s="3183"/>
      <c r="U9" s="3183"/>
      <c r="V9" s="3186"/>
      <c r="W9" s="3185"/>
    </row>
    <row r="10" spans="1:23" s="3091" customFormat="1" ht="13.15" customHeight="1">
      <c r="A10" s="3107">
        <v>2</v>
      </c>
      <c r="B10" s="3625" t="s">
        <v>2684</v>
      </c>
      <c r="C10" s="3626"/>
      <c r="D10" s="3108">
        <f>ROUND(D6*E10,0)</f>
        <v>0</v>
      </c>
      <c r="E10" s="3155"/>
      <c r="F10" s="3110" t="s">
        <v>2685</v>
      </c>
      <c r="G10" s="3208" t="s">
        <v>2787</v>
      </c>
      <c r="H10" s="3185"/>
      <c r="I10" s="3186"/>
      <c r="J10" s="3608"/>
      <c r="K10" s="3610"/>
      <c r="L10" s="3203" t="s">
        <v>2777</v>
      </c>
      <c r="M10" s="3204"/>
      <c r="N10" s="3204"/>
      <c r="O10" s="3205"/>
      <c r="P10" s="3205"/>
      <c r="Q10" s="3206">
        <v>365</v>
      </c>
      <c r="R10" s="3207">
        <f t="shared" si="0"/>
        <v>0</v>
      </c>
      <c r="S10" s="3183"/>
      <c r="T10" s="3183"/>
      <c r="U10" s="3183"/>
      <c r="V10" s="3186"/>
      <c r="W10" s="3185"/>
    </row>
    <row r="11" spans="1:23" s="3091" customFormat="1" ht="13.15" customHeight="1">
      <c r="A11" s="3107">
        <v>3</v>
      </c>
      <c r="B11" s="3625" t="s">
        <v>2686</v>
      </c>
      <c r="C11" s="3626"/>
      <c r="D11" s="3108">
        <f>D12+D14+D15+D16</f>
        <v>0</v>
      </c>
      <c r="E11" s="3111" t="e">
        <f>D11/D6</f>
        <v>#DIV/0!</v>
      </c>
      <c r="F11" s="3092"/>
      <c r="G11" s="3208"/>
      <c r="H11" s="3185"/>
      <c r="I11" s="3186"/>
      <c r="J11" s="3608"/>
      <c r="K11" s="3610"/>
      <c r="L11" s="3203" t="s">
        <v>2778</v>
      </c>
      <c r="M11" s="3204"/>
      <c r="N11" s="3204"/>
      <c r="O11" s="3205"/>
      <c r="P11" s="3205"/>
      <c r="Q11" s="3206">
        <v>365</v>
      </c>
      <c r="R11" s="3207">
        <f t="shared" si="0"/>
        <v>0</v>
      </c>
      <c r="S11" s="3183"/>
      <c r="T11" s="3183"/>
      <c r="U11" s="3183"/>
      <c r="V11" s="3186"/>
      <c r="W11" s="3185"/>
    </row>
    <row r="12" spans="1:23" s="3091" customFormat="1" ht="13.15" customHeight="1">
      <c r="A12" s="3112" t="s">
        <v>2687</v>
      </c>
      <c r="B12" s="3618" t="s">
        <v>2688</v>
      </c>
      <c r="C12" s="3619"/>
      <c r="D12" s="3113">
        <f>ROUND(D13*1.2%*(1-30%),0)</f>
        <v>0</v>
      </c>
      <c r="E12" s="3114">
        <v>1.2E-2</v>
      </c>
      <c r="F12" s="3092" t="s">
        <v>2689</v>
      </c>
      <c r="G12" s="3208"/>
      <c r="H12" s="3185"/>
      <c r="I12" s="3186"/>
      <c r="J12" s="3608"/>
      <c r="K12" s="3610"/>
      <c r="L12" s="3203" t="s">
        <v>2779</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2690</v>
      </c>
      <c r="D13" s="3156"/>
      <c r="E13" s="3117"/>
      <c r="F13" s="3092"/>
      <c r="G13" s="3208"/>
      <c r="H13" s="3185"/>
      <c r="I13" s="3186"/>
      <c r="J13" s="3608"/>
      <c r="K13" s="3610"/>
      <c r="L13" s="3203" t="s">
        <v>2780</v>
      </c>
      <c r="M13" s="3204"/>
      <c r="N13" s="3204"/>
      <c r="O13" s="3205"/>
      <c r="P13" s="3205"/>
      <c r="Q13" s="3206">
        <v>365</v>
      </c>
      <c r="R13" s="3207">
        <f t="shared" si="0"/>
        <v>0</v>
      </c>
      <c r="S13" s="3183"/>
      <c r="T13" s="3183"/>
      <c r="U13" s="3183"/>
      <c r="V13" s="3186"/>
      <c r="W13" s="3185"/>
    </row>
    <row r="14" spans="1:23" s="3091" customFormat="1" ht="13.15" customHeight="1">
      <c r="A14" s="3112" t="s">
        <v>2691</v>
      </c>
      <c r="B14" s="3618" t="s">
        <v>2692</v>
      </c>
      <c r="C14" s="3619"/>
      <c r="D14" s="3113">
        <f>ROUND(E14*B5/10000,0)</f>
        <v>0</v>
      </c>
      <c r="E14" s="3157"/>
      <c r="F14" s="3092" t="s">
        <v>2693</v>
      </c>
      <c r="G14" s="3208"/>
      <c r="H14" s="3185"/>
      <c r="I14" s="3186"/>
      <c r="J14" s="3608"/>
      <c r="K14" s="3611"/>
      <c r="L14" s="3209" t="s">
        <v>2694</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2695</v>
      </c>
      <c r="B15" s="3618" t="s">
        <v>2696</v>
      </c>
      <c r="C15" s="3619"/>
      <c r="D15" s="3113">
        <f>ROUND(D6*E15,0)</f>
        <v>0</v>
      </c>
      <c r="E15" s="3114">
        <v>5.5E-2</v>
      </c>
      <c r="F15" s="3092" t="s">
        <v>2697</v>
      </c>
      <c r="G15" s="3208"/>
      <c r="H15" s="3185"/>
      <c r="I15" s="3186"/>
      <c r="J15" s="3608">
        <v>2</v>
      </c>
      <c r="K15" s="3609" t="s">
        <v>2698</v>
      </c>
      <c r="L15" s="3213" t="s">
        <v>2699</v>
      </c>
      <c r="M15" s="3214" t="s">
        <v>2700</v>
      </c>
      <c r="N15" s="3214" t="s">
        <v>2701</v>
      </c>
      <c r="O15" s="3215" t="s">
        <v>2702</v>
      </c>
      <c r="P15" s="3215" t="s">
        <v>2703</v>
      </c>
      <c r="Q15" s="3152" t="s">
        <v>2704</v>
      </c>
      <c r="R15" s="3216" t="s">
        <v>2705</v>
      </c>
      <c r="S15" s="3183"/>
      <c r="T15" s="3183"/>
      <c r="U15" s="3183"/>
      <c r="V15" s="3186"/>
      <c r="W15" s="3185"/>
    </row>
    <row r="16" spans="1:23" s="3091" customFormat="1" ht="13.15" customHeight="1">
      <c r="A16" s="3112" t="s">
        <v>2706</v>
      </c>
      <c r="B16" s="3618" t="s">
        <v>2707</v>
      </c>
      <c r="C16" s="3619"/>
      <c r="D16" s="3158">
        <f>D6*E16</f>
        <v>0</v>
      </c>
      <c r="E16" s="3159"/>
      <c r="F16" s="3110" t="s">
        <v>2708</v>
      </c>
      <c r="G16" s="3208"/>
      <c r="H16" s="3185"/>
      <c r="I16" s="3186"/>
      <c r="J16" s="3608"/>
      <c r="K16" s="3610"/>
      <c r="L16" s="3203" t="s">
        <v>2781</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20" t="s">
        <v>2709</v>
      </c>
      <c r="C17" s="3621"/>
      <c r="D17" s="3119">
        <f>ROUND(D6*E17,0)</f>
        <v>0</v>
      </c>
      <c r="E17" s="3160"/>
      <c r="F17" s="3120" t="s">
        <v>2710</v>
      </c>
      <c r="G17" s="3261">
        <v>0.1</v>
      </c>
      <c r="H17" s="3185"/>
      <c r="I17" s="3186"/>
      <c r="J17" s="3608"/>
      <c r="K17" s="3610"/>
      <c r="L17" s="3203" t="s">
        <v>2782</v>
      </c>
      <c r="M17" s="3204"/>
      <c r="N17" s="3204"/>
      <c r="O17" s="3205"/>
      <c r="P17" s="3206">
        <v>365</v>
      </c>
      <c r="Q17" s="3204"/>
      <c r="R17" s="3217">
        <f>ROUND(M17*N17*O17*P17/10000,0)</f>
        <v>0</v>
      </c>
      <c r="S17" s="3183"/>
      <c r="T17" s="3183"/>
      <c r="U17" s="3183"/>
      <c r="V17" s="3186"/>
      <c r="W17" s="3185"/>
    </row>
    <row r="18" spans="1:23" s="3091" customFormat="1" ht="13.15" customHeight="1" thickBot="1">
      <c r="A18" s="3101" t="s">
        <v>2711</v>
      </c>
      <c r="B18" s="3102"/>
      <c r="C18" s="3102"/>
      <c r="D18" s="3121">
        <f>ROUND(D6*E18,0)</f>
        <v>0</v>
      </c>
      <c r="E18" s="3161"/>
      <c r="F18" s="3122" t="s">
        <v>2712</v>
      </c>
      <c r="G18" s="3261">
        <v>0.05</v>
      </c>
      <c r="H18" s="3185"/>
      <c r="I18" s="3186"/>
      <c r="J18" s="3608"/>
      <c r="K18" s="3610"/>
      <c r="L18" s="3203" t="s">
        <v>2783</v>
      </c>
      <c r="M18" s="3204"/>
      <c r="N18" s="3204"/>
      <c r="O18" s="3205"/>
      <c r="P18" s="3206">
        <v>365</v>
      </c>
      <c r="Q18" s="3204"/>
      <c r="R18" s="3217">
        <f>ROUND(M18*N18*O18*P18/10000,0)</f>
        <v>0</v>
      </c>
      <c r="S18" s="3183"/>
      <c r="T18" s="3183"/>
      <c r="U18" s="3183"/>
      <c r="V18" s="3186"/>
      <c r="W18" s="3185"/>
    </row>
    <row r="19" spans="1:23" s="3091" customFormat="1" ht="13.15" customHeight="1" thickBot="1">
      <c r="A19" s="3123" t="s">
        <v>2713</v>
      </c>
      <c r="B19" s="3098"/>
      <c r="C19" s="3098"/>
      <c r="D19" s="3098"/>
      <c r="E19" s="3098"/>
      <c r="F19" s="3099"/>
      <c r="G19" s="3208"/>
      <c r="H19" s="3185"/>
      <c r="I19" s="3186"/>
      <c r="J19" s="3608"/>
      <c r="K19" s="3611"/>
      <c r="L19" s="3209" t="s">
        <v>2694</v>
      </c>
      <c r="M19" s="3210"/>
      <c r="N19" s="3210">
        <f>SUM(N16:N18)</f>
        <v>0</v>
      </c>
      <c r="O19" s="3211"/>
      <c r="P19" s="3218" t="s">
        <v>2784</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08">
        <v>3</v>
      </c>
      <c r="K20" s="3609" t="s">
        <v>2714</v>
      </c>
      <c r="L20" s="3213" t="s">
        <v>2715</v>
      </c>
      <c r="M20" s="3214" t="s">
        <v>2716</v>
      </c>
      <c r="N20" s="3220" t="s">
        <v>2717</v>
      </c>
      <c r="O20" s="3215" t="s">
        <v>2718</v>
      </c>
      <c r="P20" s="3157" t="s">
        <v>2703</v>
      </c>
      <c r="Q20" s="3152" t="s">
        <v>2704</v>
      </c>
      <c r="R20" s="3216" t="s">
        <v>2705</v>
      </c>
      <c r="S20" s="3221"/>
      <c r="T20" s="3221"/>
      <c r="U20" s="3221"/>
      <c r="V20" s="3186"/>
      <c r="W20" s="3185"/>
    </row>
    <row r="21" spans="1:23" s="3091" customFormat="1" ht="13.15" customHeight="1">
      <c r="A21" s="3101"/>
      <c r="B21" s="3102"/>
      <c r="C21" s="3125" t="s">
        <v>2719</v>
      </c>
      <c r="D21" s="3126" t="s">
        <v>2720</v>
      </c>
      <c r="E21" s="3127" t="s">
        <v>2721</v>
      </c>
      <c r="F21" s="3124"/>
      <c r="G21" s="3208"/>
      <c r="H21" s="3185"/>
      <c r="I21" s="3186"/>
      <c r="J21" s="3608"/>
      <c r="K21" s="3610"/>
      <c r="L21" s="3213" t="s">
        <v>2722</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2723</v>
      </c>
      <c r="D22" s="3163" t="s">
        <v>2724</v>
      </c>
      <c r="E22" s="3164" t="s">
        <v>2725</v>
      </c>
      <c r="F22" s="3124"/>
      <c r="G22" s="3223"/>
      <c r="H22" s="3185"/>
      <c r="I22" s="3186"/>
      <c r="J22" s="3608"/>
      <c r="K22" s="3610"/>
      <c r="L22" s="3213" t="s">
        <v>2726</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2727</v>
      </c>
      <c r="C23" s="3129">
        <f>D6</f>
        <v>0</v>
      </c>
      <c r="D23" s="3130">
        <f>C23*(1+D24)</f>
        <v>0</v>
      </c>
      <c r="E23" s="3131">
        <f>D23*(1+E24)</f>
        <v>0</v>
      </c>
      <c r="F23" s="3132"/>
      <c r="G23" s="3224"/>
      <c r="H23" s="3185"/>
      <c r="I23" s="3186"/>
      <c r="J23" s="3608"/>
      <c r="K23" s="3610"/>
      <c r="L23" s="3213" t="s">
        <v>2728</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2729</v>
      </c>
      <c r="C24" s="3135"/>
      <c r="D24" s="3165"/>
      <c r="E24" s="3166"/>
      <c r="F24" s="3136"/>
      <c r="G24" s="3224"/>
      <c r="H24" s="3185"/>
      <c r="I24" s="3186"/>
      <c r="J24" s="3608"/>
      <c r="K24" s="3611"/>
      <c r="L24" s="3209" t="s">
        <v>2694</v>
      </c>
      <c r="M24" s="3210">
        <f>SUM(M21:M23)</f>
        <v>0</v>
      </c>
      <c r="N24" s="3210"/>
      <c r="O24" s="3211"/>
      <c r="P24" s="3218" t="s">
        <v>2784</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2730</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2731</v>
      </c>
      <c r="C26" s="3129">
        <f>D7</f>
        <v>0</v>
      </c>
      <c r="D26" s="3130">
        <f>D23*D27</f>
        <v>0</v>
      </c>
      <c r="E26" s="3131">
        <f>E23*E27</f>
        <v>0</v>
      </c>
      <c r="F26" s="3132"/>
      <c r="G26" s="3224"/>
      <c r="H26" s="3185"/>
      <c r="I26" s="3186"/>
      <c r="J26" s="3612">
        <v>5</v>
      </c>
      <c r="K26" s="3232" t="s">
        <v>2732</v>
      </c>
      <c r="L26" s="3233"/>
      <c r="M26" s="3234"/>
      <c r="N26" s="3235" t="s">
        <v>2733</v>
      </c>
      <c r="O26" s="3235" t="s">
        <v>2734</v>
      </c>
      <c r="P26" s="3236" t="s">
        <v>2735</v>
      </c>
      <c r="Q26" s="3236" t="s">
        <v>2736</v>
      </c>
      <c r="R26" s="3192" t="s">
        <v>2705</v>
      </c>
      <c r="S26" s="3237"/>
      <c r="T26" s="3237"/>
      <c r="U26" s="3237"/>
      <c r="V26" s="3230"/>
      <c r="W26" s="3231"/>
    </row>
    <row r="27" spans="1:23" s="3091" customFormat="1" ht="13.15" customHeight="1">
      <c r="A27" s="3133"/>
      <c r="B27" s="3134" t="s">
        <v>2737</v>
      </c>
      <c r="C27" s="3138" t="e">
        <f>E7</f>
        <v>#DIV/0!</v>
      </c>
      <c r="D27" s="3165"/>
      <c r="E27" s="3166"/>
      <c r="F27" s="3136"/>
      <c r="G27" s="3224"/>
      <c r="H27" s="3231"/>
      <c r="I27" s="3230"/>
      <c r="J27" s="3613"/>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2738</v>
      </c>
      <c r="F28" s="3136"/>
      <c r="G28" s="3223"/>
      <c r="H28" s="3231"/>
      <c r="I28" s="3230"/>
      <c r="J28" s="3243">
        <v>6</v>
      </c>
      <c r="K28" s="3244" t="s">
        <v>2739</v>
      </c>
      <c r="L28" s="3245" t="s">
        <v>2740</v>
      </c>
      <c r="M28" s="3246"/>
      <c r="N28" s="3245" t="s">
        <v>2741</v>
      </c>
      <c r="O28" s="3247"/>
      <c r="P28" s="3245" t="s">
        <v>2742</v>
      </c>
      <c r="Q28" s="3248">
        <v>1.4999999999999999E-2</v>
      </c>
      <c r="R28" s="3249"/>
      <c r="S28" s="3221"/>
      <c r="T28" s="3221"/>
      <c r="U28" s="3221"/>
      <c r="V28" s="3230"/>
      <c r="W28" s="3231"/>
    </row>
    <row r="29" spans="1:23" s="3137" customFormat="1" ht="13.15" customHeight="1">
      <c r="A29" s="3128">
        <v>3</v>
      </c>
      <c r="B29" s="3100" t="s">
        <v>2743</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2737</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2744</v>
      </c>
      <c r="K31" s="3181"/>
      <c r="L31" s="3181"/>
      <c r="M31" s="3181"/>
      <c r="N31" s="3181"/>
      <c r="O31" s="3181"/>
      <c r="P31" s="3181"/>
      <c r="Q31" s="3181"/>
      <c r="R31" s="3182"/>
      <c r="S31" s="3221"/>
      <c r="T31" s="3183"/>
      <c r="U31" s="3183"/>
      <c r="V31" s="3230"/>
      <c r="W31" s="3231"/>
    </row>
    <row r="32" spans="1:23" s="3137" customFormat="1" ht="13.15" customHeight="1">
      <c r="A32" s="3128">
        <v>4</v>
      </c>
      <c r="B32" s="3100" t="s">
        <v>2745</v>
      </c>
      <c r="C32" s="3129">
        <f>C23-C26-C29</f>
        <v>0</v>
      </c>
      <c r="D32" s="3130">
        <f>D23-D26-D29</f>
        <v>0</v>
      </c>
      <c r="E32" s="3131">
        <f>E23-E26-E29</f>
        <v>0</v>
      </c>
      <c r="F32" s="3132"/>
      <c r="G32" s="3223"/>
      <c r="H32" s="3185"/>
      <c r="I32" s="3186"/>
      <c r="J32" s="3614" t="s">
        <v>2746</v>
      </c>
      <c r="K32" s="3615"/>
      <c r="L32" s="3187" t="s">
        <v>2747</v>
      </c>
      <c r="M32" s="3187" t="s">
        <v>2650</v>
      </c>
      <c r="N32" s="3187" t="s">
        <v>2651</v>
      </c>
      <c r="O32" s="3187" t="s">
        <v>2652</v>
      </c>
      <c r="P32" s="3187" t="s">
        <v>2653</v>
      </c>
      <c r="Q32" s="3188" t="s">
        <v>2748</v>
      </c>
      <c r="R32" s="3250" t="s">
        <v>2749</v>
      </c>
      <c r="S32" s="3221"/>
      <c r="T32" s="3183"/>
      <c r="U32" s="3183"/>
      <c r="V32" s="3230"/>
      <c r="W32" s="3231"/>
    </row>
    <row r="33" spans="1:23" s="3091" customFormat="1" ht="13.15" customHeight="1">
      <c r="A33" s="3128"/>
      <c r="B33" s="3100"/>
      <c r="C33" s="3129"/>
      <c r="D33" s="3140"/>
      <c r="E33" s="3141"/>
      <c r="F33" s="3132"/>
      <c r="G33" s="3223"/>
      <c r="H33" s="3231"/>
      <c r="I33" s="3230"/>
      <c r="J33" s="3616" t="s">
        <v>2750</v>
      </c>
      <c r="K33" s="3617"/>
      <c r="L33" s="3190"/>
      <c r="M33" s="3190"/>
      <c r="N33" s="3190"/>
      <c r="O33" s="3190"/>
      <c r="P33" s="3190"/>
      <c r="Q33" s="3191"/>
      <c r="R33" s="3251">
        <f>SUM(L33:Q33)</f>
        <v>0</v>
      </c>
      <c r="S33" s="3221"/>
      <c r="T33" s="3183"/>
      <c r="U33" s="3183"/>
      <c r="V33" s="3186"/>
      <c r="W33" s="3185"/>
    </row>
    <row r="34" spans="1:23" s="3091" customFormat="1" ht="13.15" customHeight="1">
      <c r="A34" s="3128">
        <v>5</v>
      </c>
      <c r="B34" s="3100" t="s">
        <v>2751</v>
      </c>
      <c r="C34" s="3168"/>
      <c r="D34" s="3169"/>
      <c r="E34" s="3170"/>
      <c r="F34" s="3132"/>
      <c r="G34" s="3223"/>
      <c r="H34" s="3231"/>
      <c r="I34" s="3230"/>
      <c r="J34" s="3616" t="s">
        <v>2752</v>
      </c>
      <c r="K34" s="3617"/>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2753</v>
      </c>
      <c r="C35" s="3171"/>
      <c r="D35" s="3172"/>
      <c r="E35" s="3173"/>
      <c r="F35" s="3132"/>
      <c r="G35" s="3253"/>
      <c r="H35" s="3185"/>
      <c r="I35" s="3230"/>
      <c r="J35" s="3196" t="s">
        <v>2754</v>
      </c>
      <c r="K35" s="3197"/>
      <c r="L35" s="3197"/>
      <c r="M35" s="3198"/>
      <c r="N35" s="3198"/>
      <c r="O35" s="3198"/>
      <c r="P35" s="3198"/>
      <c r="Q35" s="3198"/>
      <c r="R35" s="3254">
        <f>R40+R41+R43</f>
        <v>0</v>
      </c>
      <c r="S35" s="3221"/>
      <c r="T35" s="3183" t="s">
        <v>2755</v>
      </c>
      <c r="U35" s="3183"/>
      <c r="V35" s="3186"/>
      <c r="W35" s="3185"/>
    </row>
    <row r="36" spans="1:23" s="3091" customFormat="1" ht="13.15" customHeight="1" thickBot="1">
      <c r="A36" s="3128">
        <v>7</v>
      </c>
      <c r="B36" s="3142" t="s">
        <v>2756</v>
      </c>
      <c r="C36" s="3174"/>
      <c r="D36" s="3175"/>
      <c r="E36" s="3176"/>
      <c r="F36" s="3143">
        <f>C36+D36+E36</f>
        <v>0</v>
      </c>
      <c r="G36" s="3223"/>
      <c r="H36" s="3185"/>
      <c r="I36" s="3186"/>
      <c r="J36" s="3608">
        <v>1</v>
      </c>
      <c r="K36" s="3609" t="s">
        <v>2757</v>
      </c>
      <c r="L36" s="3200"/>
      <c r="M36" s="3201"/>
      <c r="N36" s="3201"/>
      <c r="O36" s="3201"/>
      <c r="P36" s="3201"/>
      <c r="Q36" s="3201"/>
      <c r="R36" s="3192" t="s">
        <v>2705</v>
      </c>
      <c r="S36" s="3221"/>
      <c r="T36" s="3183" t="s">
        <v>2758</v>
      </c>
      <c r="U36" s="3183"/>
      <c r="V36" s="3186"/>
      <c r="W36" s="3185"/>
    </row>
    <row r="37" spans="1:23" s="3091" customFormat="1" ht="13.15" customHeight="1">
      <c r="A37" s="3128"/>
      <c r="B37" s="3100"/>
      <c r="C37" s="3100"/>
      <c r="D37" s="3100"/>
      <c r="E37" s="3100"/>
      <c r="F37" s="3132"/>
      <c r="G37" s="3223"/>
      <c r="H37" s="3185"/>
      <c r="I37" s="3186"/>
      <c r="J37" s="3608"/>
      <c r="K37" s="3610"/>
      <c r="L37" s="3213"/>
      <c r="M37" s="3214"/>
      <c r="N37" s="3152"/>
      <c r="O37" s="3215"/>
      <c r="P37" s="3215"/>
      <c r="Q37" s="3157"/>
      <c r="R37" s="3255"/>
      <c r="S37" s="3221"/>
      <c r="T37" s="3183" t="s">
        <v>2759</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08"/>
      <c r="K38" s="3610"/>
      <c r="L38" s="3213"/>
      <c r="M38" s="3214"/>
      <c r="N38" s="3152"/>
      <c r="O38" s="3215"/>
      <c r="P38" s="3215"/>
      <c r="Q38" s="3157"/>
      <c r="R38" s="3255"/>
      <c r="S38" s="3221"/>
      <c r="T38" s="3183" t="s">
        <v>2681</v>
      </c>
      <c r="U38" s="3183"/>
      <c r="V38" s="3186"/>
      <c r="W38" s="3185"/>
    </row>
    <row r="39" spans="1:23" s="3091" customFormat="1" ht="13.15" customHeight="1">
      <c r="A39" s="3128">
        <v>9</v>
      </c>
      <c r="B39" s="3100" t="s">
        <v>2760</v>
      </c>
      <c r="C39" s="3113" t="e">
        <f>C38</f>
        <v>#DIV/0!</v>
      </c>
      <c r="D39" s="3100">
        <f>D38/(1+D34)^C36</f>
        <v>0</v>
      </c>
      <c r="E39" s="3100">
        <f>E38/(1+E34)^(C36+D36)</f>
        <v>0</v>
      </c>
      <c r="F39" s="3132"/>
      <c r="G39" s="3256"/>
      <c r="H39" s="3185"/>
      <c r="I39" s="3186"/>
      <c r="J39" s="3608"/>
      <c r="K39" s="3610"/>
      <c r="L39" s="3213"/>
      <c r="M39" s="3214"/>
      <c r="N39" s="3152"/>
      <c r="O39" s="3215"/>
      <c r="P39" s="3215"/>
      <c r="Q39" s="3157"/>
      <c r="R39" s="3255"/>
      <c r="S39" s="3221"/>
      <c r="T39" s="3183"/>
      <c r="U39" s="3183"/>
      <c r="V39" s="3186"/>
      <c r="W39" s="3185"/>
    </row>
    <row r="40" spans="1:23" s="3091" customFormat="1" ht="13.15" customHeight="1">
      <c r="A40" s="3144">
        <v>10</v>
      </c>
      <c r="B40" s="3100" t="s">
        <v>2761</v>
      </c>
      <c r="C40" s="3145" t="e">
        <f>C39+D39+E39</f>
        <v>#DIV/0!</v>
      </c>
      <c r="D40" s="3146"/>
      <c r="E40" s="3146"/>
      <c r="F40" s="3147"/>
      <c r="G40" s="3223"/>
      <c r="H40" s="3185"/>
      <c r="I40" s="3186"/>
      <c r="J40" s="3608"/>
      <c r="K40" s="3611"/>
      <c r="L40" s="3209" t="s">
        <v>2762</v>
      </c>
      <c r="M40" s="3210"/>
      <c r="N40" s="3210"/>
      <c r="O40" s="3211"/>
      <c r="P40" s="3211"/>
      <c r="Q40" s="3212"/>
      <c r="R40" s="3189">
        <f>SUM(R37:R39)</f>
        <v>0</v>
      </c>
      <c r="S40" s="3221"/>
      <c r="T40" s="3183"/>
      <c r="U40" s="3183"/>
      <c r="V40" s="3186"/>
      <c r="W40" s="3185"/>
    </row>
    <row r="41" spans="1:23" s="3091" customFormat="1" ht="13.15" customHeight="1" thickBot="1">
      <c r="A41" s="3148">
        <v>11</v>
      </c>
      <c r="B41" s="3149" t="s">
        <v>2763</v>
      </c>
      <c r="C41" s="3149" t="e">
        <f>ROUND(C40*10000/B4,0)</f>
        <v>#DIV/0!</v>
      </c>
      <c r="D41" s="3150"/>
      <c r="E41" s="3150"/>
      <c r="F41" s="3151"/>
      <c r="G41" s="3257"/>
      <c r="H41" s="3185"/>
      <c r="I41" s="3186"/>
      <c r="J41" s="3225">
        <v>2</v>
      </c>
      <c r="K41" s="3226" t="s">
        <v>2764</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12">
        <v>3</v>
      </c>
      <c r="K42" s="3232" t="s">
        <v>2765</v>
      </c>
      <c r="L42" s="3233"/>
      <c r="M42" s="3234"/>
      <c r="N42" s="3235" t="s">
        <v>2766</v>
      </c>
      <c r="O42" s="3235" t="s">
        <v>2767</v>
      </c>
      <c r="P42" s="3236" t="s">
        <v>2768</v>
      </c>
      <c r="Q42" s="3236" t="s">
        <v>2769</v>
      </c>
      <c r="R42" s="3192" t="s">
        <v>2672</v>
      </c>
      <c r="S42" s="3237"/>
      <c r="T42" s="3237"/>
      <c r="U42" s="3183"/>
      <c r="V42" s="3186"/>
      <c r="W42" s="3185"/>
    </row>
    <row r="43" spans="1:23" ht="13.15" customHeight="1">
      <c r="A43" s="3091"/>
      <c r="B43" s="3091"/>
      <c r="C43" s="3091"/>
      <c r="D43" s="3091"/>
      <c r="E43" s="3091"/>
      <c r="F43" s="3091"/>
      <c r="I43" s="3178"/>
      <c r="J43" s="3613"/>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2770</v>
      </c>
      <c r="L44" s="3260" t="s">
        <v>2771</v>
      </c>
      <c r="M44" s="3246"/>
      <c r="N44" s="3260" t="s">
        <v>2772</v>
      </c>
      <c r="O44" s="3246"/>
      <c r="P44" s="3260" t="s">
        <v>2773</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1967</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1968</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1969</v>
      </c>
      <c r="B3" s="250" t="e">
        <f>B24</f>
        <v>#DIV/0!</v>
      </c>
      <c r="C3" s="860" t="s">
        <v>1970</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1971</v>
      </c>
      <c r="C4" s="3630" t="s">
        <v>1972</v>
      </c>
      <c r="D4" s="3631"/>
      <c r="E4" s="3631"/>
      <c r="F4" s="3631"/>
      <c r="G4" s="3631"/>
      <c r="H4" s="3631"/>
      <c r="I4" s="3631"/>
      <c r="J4" s="3631"/>
      <c r="K4" s="3631"/>
      <c r="L4" s="3631"/>
      <c r="M4" s="3631"/>
      <c r="N4" s="3631"/>
      <c r="O4" s="3631"/>
      <c r="P4" s="3631"/>
      <c r="Q4" s="3631"/>
      <c r="R4" s="3631"/>
      <c r="S4" s="3632"/>
      <c r="T4" s="575" t="s">
        <v>1973</v>
      </c>
      <c r="U4" s="957"/>
      <c r="V4" s="957"/>
      <c r="X4" s="957"/>
      <c r="Y4" s="957"/>
    </row>
    <row r="5" spans="1:44" s="587" customFormat="1">
      <c r="A5" s="961"/>
      <c r="B5" s="583" t="s">
        <v>1974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1975</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1976</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1977</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1978</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1979</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1980</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1981</v>
      </c>
      <c r="B20" s="1481" t="s">
        <v>1982</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1983</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1984</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1985</v>
      </c>
      <c r="B24" s="224" t="e">
        <f>ROUND(B23*10000/B25,0)</f>
        <v>#DIV/0!</v>
      </c>
      <c r="C24" s="822"/>
      <c r="D24" s="37"/>
      <c r="E24" s="37"/>
      <c r="F24" s="37"/>
      <c r="G24" s="37"/>
      <c r="H24" s="37"/>
      <c r="I24" s="37"/>
      <c r="J24" s="37"/>
      <c r="K24" s="37"/>
      <c r="L24" s="37"/>
      <c r="M24" s="37"/>
      <c r="N24" s="37"/>
      <c r="O24" s="37"/>
      <c r="P24" s="37"/>
      <c r="Q24" s="37"/>
      <c r="R24" s="645"/>
      <c r="S24" s="13" t="s">
        <v>1986</v>
      </c>
      <c r="T24" s="1260" t="s">
        <v>1987</v>
      </c>
      <c r="U24" s="2173" t="s">
        <v>1988</v>
      </c>
      <c r="V24" s="2906"/>
      <c r="W24" s="2907" t="s">
        <v>1989</v>
      </c>
      <c r="X24" s="2173" t="s">
        <v>1990</v>
      </c>
      <c r="Y24" s="2906"/>
      <c r="Z24" s="2908" t="s">
        <v>1989</v>
      </c>
    </row>
    <row r="25" spans="1:45">
      <c r="A25" s="250" t="s">
        <v>1991</v>
      </c>
      <c r="B25" s="13">
        <f>SUM(B27:B10000)</f>
        <v>0</v>
      </c>
      <c r="C25" s="3627" t="s">
        <v>45</v>
      </c>
      <c r="D25" s="3628"/>
      <c r="E25" s="3628"/>
      <c r="F25" s="3628"/>
      <c r="G25" s="3628"/>
      <c r="H25" s="3628"/>
      <c r="I25" s="3628"/>
      <c r="J25" s="3628"/>
      <c r="K25" s="3628"/>
      <c r="L25" s="3628"/>
      <c r="M25" s="3628"/>
      <c r="N25" s="3628"/>
      <c r="O25" s="3628"/>
      <c r="P25" s="3628"/>
      <c r="Q25" s="3629"/>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修正项7</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2000</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2002</v>
      </c>
      <c r="C1" s="1567"/>
      <c r="D1" s="1568"/>
      <c r="E1" s="1569" t="s">
        <v>985</v>
      </c>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2004</v>
      </c>
      <c r="D3" s="1588">
        <f>IF(C1="仅计算典型户型",'数据-取费表'!E5,'数据-取费表'!B5)</f>
        <v>182.31</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2005</v>
      </c>
      <c r="B4" s="1592"/>
      <c r="C4" s="3573" t="s">
        <v>2006</v>
      </c>
      <c r="D4" s="3574"/>
      <c r="E4" s="3575" t="s">
        <v>2007</v>
      </c>
      <c r="F4" s="3576"/>
      <c r="G4" s="3573" t="s">
        <v>2008</v>
      </c>
      <c r="H4" s="3574"/>
      <c r="I4" s="3573" t="s">
        <v>2009</v>
      </c>
      <c r="J4" s="3574"/>
      <c r="K4" s="1593" t="s">
        <v>2010</v>
      </c>
      <c r="L4" s="2915"/>
      <c r="M4" s="2916"/>
      <c r="N4" s="2916"/>
      <c r="O4" s="2916"/>
      <c r="P4" s="3577" t="s">
        <v>2011</v>
      </c>
      <c r="Q4" s="3578"/>
      <c r="R4" s="3583" t="s">
        <v>2007</v>
      </c>
      <c r="S4" s="3584"/>
      <c r="T4" s="3583" t="s">
        <v>2008</v>
      </c>
      <c r="U4" s="3584"/>
      <c r="V4" s="3589" t="s">
        <v>2009</v>
      </c>
      <c r="W4" s="3589"/>
      <c r="X4" s="1594"/>
      <c r="Y4" s="3583" t="s">
        <v>2011</v>
      </c>
      <c r="Z4" s="3584"/>
      <c r="AA4" s="3570" t="s">
        <v>2007</v>
      </c>
      <c r="AB4" s="3570" t="s">
        <v>2008</v>
      </c>
      <c r="AC4" s="3570" t="s">
        <v>2009</v>
      </c>
    </row>
    <row r="5" spans="1:29" ht="15">
      <c r="A5" s="1596"/>
      <c r="B5" s="1597"/>
      <c r="C5" s="3590" t="s">
        <v>2012</v>
      </c>
      <c r="D5" s="3591"/>
      <c r="E5" s="3633" t="s">
        <v>2013</v>
      </c>
      <c r="F5" s="3567"/>
      <c r="G5" s="3590" t="s">
        <v>2014</v>
      </c>
      <c r="H5" s="3591"/>
      <c r="I5" s="3590" t="s">
        <v>2015</v>
      </c>
      <c r="J5" s="3591"/>
      <c r="K5" s="1598"/>
      <c r="L5" s="2915"/>
      <c r="M5" s="2916"/>
      <c r="N5" s="2916"/>
      <c r="O5" s="2916"/>
      <c r="P5" s="3579"/>
      <c r="Q5" s="3580"/>
      <c r="R5" s="3585"/>
      <c r="S5" s="3586"/>
      <c r="T5" s="3585"/>
      <c r="U5" s="3586"/>
      <c r="V5" s="3589"/>
      <c r="W5" s="3589"/>
      <c r="X5" s="1594"/>
      <c r="Y5" s="3585"/>
      <c r="Z5" s="3586"/>
      <c r="AA5" s="3571"/>
      <c r="AB5" s="3571"/>
      <c r="AC5" s="3571"/>
    </row>
    <row r="6" spans="1:29" ht="15.75" thickBot="1">
      <c r="A6" s="1599"/>
      <c r="B6" s="1600"/>
      <c r="C6" s="3563" t="s">
        <v>2016</v>
      </c>
      <c r="D6" s="3564"/>
      <c r="E6" s="3561" t="s">
        <v>2016</v>
      </c>
      <c r="F6" s="3562"/>
      <c r="G6" s="3563" t="s">
        <v>2016</v>
      </c>
      <c r="H6" s="3564"/>
      <c r="I6" s="3563" t="s">
        <v>2016</v>
      </c>
      <c r="J6" s="3564"/>
      <c r="K6" s="1598" t="s">
        <v>2017</v>
      </c>
      <c r="L6" s="2915"/>
      <c r="M6" s="2916"/>
      <c r="N6" s="2916"/>
      <c r="O6" s="2916"/>
      <c r="P6" s="3581"/>
      <c r="Q6" s="3582"/>
      <c r="R6" s="3585"/>
      <c r="S6" s="3586"/>
      <c r="T6" s="3587"/>
      <c r="U6" s="3588"/>
      <c r="V6" s="3589"/>
      <c r="W6" s="3589"/>
      <c r="X6" s="1594"/>
      <c r="Y6" s="3587"/>
      <c r="Z6" s="3588"/>
      <c r="AA6" s="3572"/>
      <c r="AB6" s="3572"/>
      <c r="AC6" s="3572"/>
    </row>
    <row r="7" spans="1:29" s="1613" customFormat="1" ht="15.75" thickBot="1">
      <c r="A7" s="1601" t="s">
        <v>2018</v>
      </c>
      <c r="B7" s="1602"/>
      <c r="C7" s="1603">
        <f>'数据-取费表'!B2</f>
        <v>44763</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68" t="s">
        <v>2019</v>
      </c>
      <c r="Q7" s="3593"/>
      <c r="R7" s="1609" t="s">
        <v>34</v>
      </c>
      <c r="S7" s="1610">
        <f t="shared" ref="S7:S15" si="0">F7</f>
        <v>0</v>
      </c>
      <c r="T7" s="1609" t="s">
        <v>34</v>
      </c>
      <c r="U7" s="1610">
        <f t="shared" ref="U7:U15" si="1">H7</f>
        <v>0</v>
      </c>
      <c r="V7" s="1609" t="s">
        <v>34</v>
      </c>
      <c r="W7" s="1610">
        <f t="shared" ref="W7:W15" si="2">J7</f>
        <v>0</v>
      </c>
      <c r="X7" s="1611"/>
      <c r="Y7" s="3568" t="s">
        <v>2019</v>
      </c>
      <c r="Z7" s="3569"/>
      <c r="AA7" s="1612" t="e">
        <f>D7/F7</f>
        <v>#DIV/0!</v>
      </c>
      <c r="AB7" s="1612" t="e">
        <f>D7/H7</f>
        <v>#DIV/0!</v>
      </c>
      <c r="AC7" s="1612" t="e">
        <f>D7/J7</f>
        <v>#DIV/0!</v>
      </c>
    </row>
    <row r="8" spans="1:29" s="1613" customFormat="1" ht="15.75" thickBot="1">
      <c r="A8" s="1601" t="s">
        <v>2020</v>
      </c>
      <c r="B8" s="1602"/>
      <c r="C8" s="1614" t="s">
        <v>2021</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68" t="s">
        <v>2022</v>
      </c>
      <c r="Q8" s="3569"/>
      <c r="R8" s="1609" t="s">
        <v>34</v>
      </c>
      <c r="S8" s="1610">
        <f t="shared" si="0"/>
        <v>0</v>
      </c>
      <c r="T8" s="1609" t="s">
        <v>34</v>
      </c>
      <c r="U8" s="1610">
        <f t="shared" si="1"/>
        <v>0</v>
      </c>
      <c r="V8" s="1609" t="s">
        <v>34</v>
      </c>
      <c r="W8" s="1610">
        <f t="shared" si="2"/>
        <v>0</v>
      </c>
      <c r="X8" s="1611"/>
      <c r="Y8" s="3568" t="s">
        <v>2022</v>
      </c>
      <c r="Z8" s="3569"/>
      <c r="AA8" s="1612" t="e">
        <f t="shared" ref="AA8:AA46" si="3">D8/F8</f>
        <v>#DIV/0!</v>
      </c>
      <c r="AB8" s="1612" t="e">
        <f t="shared" ref="AB8:AB46" si="4">D8/H8</f>
        <v>#DIV/0!</v>
      </c>
      <c r="AC8" s="1612" t="e">
        <f t="shared" ref="AC8:AC46" si="5">D8/J8</f>
        <v>#DIV/0!</v>
      </c>
    </row>
    <row r="9" spans="1:29" s="1613" customFormat="1">
      <c r="A9" s="1564" t="s">
        <v>2023</v>
      </c>
      <c r="B9" s="1616" t="s">
        <v>2024</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37" t="s">
        <v>2025</v>
      </c>
      <c r="Q9" s="1563" t="str">
        <f t="shared" ref="Q9:Q15" si="6">B9</f>
        <v>用途</v>
      </c>
      <c r="R9" s="1609" t="s">
        <v>25</v>
      </c>
      <c r="S9" s="1610">
        <f t="shared" si="0"/>
        <v>100</v>
      </c>
      <c r="T9" s="1609" t="s">
        <v>25</v>
      </c>
      <c r="U9" s="1610">
        <f t="shared" si="1"/>
        <v>100</v>
      </c>
      <c r="V9" s="1609" t="s">
        <v>25</v>
      </c>
      <c r="W9" s="1610">
        <f t="shared" si="2"/>
        <v>100</v>
      </c>
      <c r="X9" s="1611"/>
      <c r="Y9" s="3494"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37"/>
      <c r="Q10" s="1563" t="str">
        <f t="shared" si="6"/>
        <v>土地使用年限（年）</v>
      </c>
      <c r="R10" s="1609" t="s">
        <v>25</v>
      </c>
      <c r="S10" s="1610">
        <f t="shared" si="0"/>
        <v>100</v>
      </c>
      <c r="T10" s="1609" t="s">
        <v>25</v>
      </c>
      <c r="U10" s="1610">
        <f t="shared" si="1"/>
        <v>100</v>
      </c>
      <c r="V10" s="1609" t="s">
        <v>25</v>
      </c>
      <c r="W10" s="1610">
        <f t="shared" si="2"/>
        <v>100</v>
      </c>
      <c r="X10" s="1611"/>
      <c r="Y10" s="3494"/>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37"/>
      <c r="Q11" s="1563" t="str">
        <f t="shared" si="6"/>
        <v>容积率</v>
      </c>
      <c r="R11" s="1609" t="s">
        <v>28</v>
      </c>
      <c r="S11" s="1610" t="e">
        <f t="shared" si="0"/>
        <v>#N/A</v>
      </c>
      <c r="T11" s="1609" t="s">
        <v>28</v>
      </c>
      <c r="U11" s="1610" t="e">
        <f t="shared" si="1"/>
        <v>#N/A</v>
      </c>
      <c r="V11" s="1609" t="s">
        <v>28</v>
      </c>
      <c r="W11" s="1610" t="e">
        <f t="shared" si="2"/>
        <v>#N/A</v>
      </c>
      <c r="X11" s="1611"/>
      <c r="Y11" s="3494"/>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37"/>
      <c r="Q12" s="1563">
        <f t="shared" si="6"/>
        <v>111</v>
      </c>
      <c r="R12" s="1609" t="s">
        <v>28</v>
      </c>
      <c r="S12" s="1610">
        <f t="shared" si="0"/>
        <v>100</v>
      </c>
      <c r="T12" s="1609" t="s">
        <v>28</v>
      </c>
      <c r="U12" s="1610">
        <f t="shared" si="1"/>
        <v>100</v>
      </c>
      <c r="V12" s="1609" t="s">
        <v>28</v>
      </c>
      <c r="W12" s="1610">
        <f t="shared" si="2"/>
        <v>100</v>
      </c>
      <c r="X12" s="1611"/>
      <c r="Y12" s="3494"/>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37"/>
      <c r="Q13" s="1563">
        <f t="shared" si="6"/>
        <v>111</v>
      </c>
      <c r="R13" s="1609" t="s">
        <v>28</v>
      </c>
      <c r="S13" s="1610">
        <f t="shared" si="0"/>
        <v>100</v>
      </c>
      <c r="T13" s="1609" t="s">
        <v>28</v>
      </c>
      <c r="U13" s="1610">
        <f t="shared" si="1"/>
        <v>100</v>
      </c>
      <c r="V13" s="1609" t="s">
        <v>28</v>
      </c>
      <c r="W13" s="1610">
        <f t="shared" si="2"/>
        <v>100</v>
      </c>
      <c r="X13" s="1611"/>
      <c r="Y13" s="3494"/>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37"/>
      <c r="Q14" s="1563">
        <f t="shared" si="6"/>
        <v>111</v>
      </c>
      <c r="R14" s="1609" t="s">
        <v>28</v>
      </c>
      <c r="S14" s="1610">
        <f t="shared" si="0"/>
        <v>100</v>
      </c>
      <c r="T14" s="1609" t="s">
        <v>28</v>
      </c>
      <c r="U14" s="1610">
        <f t="shared" si="1"/>
        <v>100</v>
      </c>
      <c r="V14" s="1609" t="s">
        <v>28</v>
      </c>
      <c r="W14" s="1610">
        <f t="shared" si="2"/>
        <v>100</v>
      </c>
      <c r="X14" s="1611"/>
      <c r="Y14" s="3494"/>
      <c r="Z14" s="1622">
        <f t="shared" si="7"/>
        <v>111</v>
      </c>
      <c r="AA14" s="1612">
        <f t="shared" si="3"/>
        <v>1</v>
      </c>
      <c r="AB14" s="1612">
        <f t="shared" si="4"/>
        <v>1</v>
      </c>
      <c r="AC14" s="1612">
        <f t="shared" si="5"/>
        <v>1</v>
      </c>
    </row>
    <row r="15" spans="1:29" ht="15">
      <c r="A15" s="1646" t="s">
        <v>2029</v>
      </c>
      <c r="B15" s="1647" t="s">
        <v>1464</v>
      </c>
      <c r="C15" s="1648">
        <f>估价对象房地状况!C3</f>
        <v>0</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38" t="s">
        <v>2030</v>
      </c>
      <c r="Q15" s="1544" t="str">
        <f t="shared" si="6"/>
        <v>居住社区成熟度</v>
      </c>
      <c r="R15" s="1654" t="s">
        <v>28</v>
      </c>
      <c r="S15" s="1655">
        <f t="shared" si="0"/>
        <v>100</v>
      </c>
      <c r="T15" s="1654" t="s">
        <v>28</v>
      </c>
      <c r="U15" s="1655">
        <f t="shared" si="1"/>
        <v>100</v>
      </c>
      <c r="V15" s="1654" t="s">
        <v>28</v>
      </c>
      <c r="W15" s="1655">
        <f t="shared" si="2"/>
        <v>100</v>
      </c>
      <c r="X15" s="1594"/>
      <c r="Y15" s="3594" t="s">
        <v>2030</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39"/>
      <c r="Q16" s="1544"/>
      <c r="R16" s="1654"/>
      <c r="S16" s="1655"/>
      <c r="T16" s="1654"/>
      <c r="U16" s="1655"/>
      <c r="V16" s="1654"/>
      <c r="W16" s="1655"/>
      <c r="X16" s="1594"/>
      <c r="Y16" s="3595"/>
      <c r="Z16" s="1656"/>
      <c r="AA16" s="1657">
        <v>1</v>
      </c>
      <c r="AB16" s="1657">
        <v>1</v>
      </c>
      <c r="AC16" s="1657">
        <v>1</v>
      </c>
    </row>
    <row r="17" spans="1:29" ht="15">
      <c r="A17" s="1631"/>
      <c r="B17" s="1666" t="s">
        <v>1466</v>
      </c>
      <c r="C17" s="1667" t="str">
        <f>估价对象房地状况!C6</f>
        <v>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39"/>
      <c r="Q17" s="1544" t="str">
        <f>B17</f>
        <v>交通便捷度</v>
      </c>
      <c r="R17" s="1654" t="s">
        <v>28</v>
      </c>
      <c r="S17" s="1655">
        <f>F17</f>
        <v>100</v>
      </c>
      <c r="T17" s="1654" t="s">
        <v>28</v>
      </c>
      <c r="U17" s="1655">
        <f>H17</f>
        <v>100</v>
      </c>
      <c r="V17" s="1654" t="s">
        <v>28</v>
      </c>
      <c r="W17" s="1655">
        <f>J17</f>
        <v>100</v>
      </c>
      <c r="X17" s="1594"/>
      <c r="Y17" s="3595"/>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39"/>
      <c r="Q18" s="1544"/>
      <c r="R18" s="1654"/>
      <c r="S18" s="1655"/>
      <c r="T18" s="1654"/>
      <c r="U18" s="1655"/>
      <c r="V18" s="1654"/>
      <c r="W18" s="1655"/>
      <c r="X18" s="1594"/>
      <c r="Y18" s="3595"/>
      <c r="Z18" s="1656"/>
      <c r="AA18" s="1657">
        <v>1</v>
      </c>
      <c r="AB18" s="1657">
        <v>1</v>
      </c>
      <c r="AC18" s="1657">
        <v>1</v>
      </c>
    </row>
    <row r="19" spans="1:29" ht="15">
      <c r="A19" s="1631"/>
      <c r="B19" s="1666" t="s">
        <v>1465</v>
      </c>
      <c r="C19" s="1667" t="str">
        <f>估价对象房地状况!C7</f>
        <v>较好</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39"/>
      <c r="Q19" s="1544" t="str">
        <f>B19</f>
        <v>公共配套设施</v>
      </c>
      <c r="R19" s="1654" t="s">
        <v>28</v>
      </c>
      <c r="S19" s="1655">
        <f>F19</f>
        <v>100</v>
      </c>
      <c r="T19" s="1654" t="s">
        <v>28</v>
      </c>
      <c r="U19" s="1655">
        <f>H19</f>
        <v>100</v>
      </c>
      <c r="V19" s="1654" t="s">
        <v>28</v>
      </c>
      <c r="W19" s="1655">
        <f>J19</f>
        <v>100</v>
      </c>
      <c r="X19" s="1594"/>
      <c r="Y19" s="3595"/>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39"/>
      <c r="Q20" s="1544"/>
      <c r="R20" s="1654"/>
      <c r="S20" s="1655"/>
      <c r="T20" s="1654"/>
      <c r="U20" s="1655"/>
      <c r="V20" s="1654"/>
      <c r="W20" s="1655"/>
      <c r="X20" s="1594"/>
      <c r="Y20" s="3595"/>
      <c r="Z20" s="1656"/>
      <c r="AA20" s="1657">
        <v>1</v>
      </c>
      <c r="AB20" s="1657">
        <v>1</v>
      </c>
      <c r="AC20" s="1657">
        <v>1</v>
      </c>
    </row>
    <row r="21" spans="1:29" ht="15">
      <c r="A21" s="1631"/>
      <c r="B21" s="1679" t="s">
        <v>1467</v>
      </c>
      <c r="C21" s="1667" t="str">
        <f>估价对象房地状况!C8</f>
        <v>七通</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39"/>
      <c r="Q21" s="1544" t="str">
        <f>B21</f>
        <v>基础设施水平</v>
      </c>
      <c r="R21" s="1654" t="s">
        <v>28</v>
      </c>
      <c r="S21" s="1655">
        <f>F21</f>
        <v>100</v>
      </c>
      <c r="T21" s="1654" t="s">
        <v>28</v>
      </c>
      <c r="U21" s="1655">
        <f>H21</f>
        <v>100</v>
      </c>
      <c r="V21" s="1654" t="s">
        <v>28</v>
      </c>
      <c r="W21" s="1655">
        <f>J21</f>
        <v>100</v>
      </c>
      <c r="X21" s="1594"/>
      <c r="Y21" s="3595"/>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39"/>
      <c r="Q22" s="1544"/>
      <c r="R22" s="1654"/>
      <c r="S22" s="1655"/>
      <c r="T22" s="1654"/>
      <c r="U22" s="1655"/>
      <c r="V22" s="1654"/>
      <c r="W22" s="1655"/>
      <c r="X22" s="1594"/>
      <c r="Y22" s="3595"/>
      <c r="Z22" s="1656"/>
      <c r="AA22" s="1657">
        <v>1</v>
      </c>
      <c r="AB22" s="1657">
        <v>1</v>
      </c>
      <c r="AC22" s="1657">
        <v>1</v>
      </c>
    </row>
    <row r="23" spans="1:29" ht="15">
      <c r="A23" s="1631"/>
      <c r="B23" s="1666" t="s">
        <v>1468</v>
      </c>
      <c r="C23" s="1667" t="str">
        <f>估价对象房地状况!C9</f>
        <v>较好</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39"/>
      <c r="Q23" s="1544" t="str">
        <f>B23</f>
        <v>自然及人文环境</v>
      </c>
      <c r="R23" s="1654" t="s">
        <v>28</v>
      </c>
      <c r="S23" s="1655">
        <f>F23</f>
        <v>100</v>
      </c>
      <c r="T23" s="1654" t="s">
        <v>28</v>
      </c>
      <c r="U23" s="1655">
        <f>H23</f>
        <v>100</v>
      </c>
      <c r="V23" s="1654" t="s">
        <v>28</v>
      </c>
      <c r="W23" s="1655">
        <f>J23</f>
        <v>100</v>
      </c>
      <c r="X23" s="1594"/>
      <c r="Y23" s="3595"/>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39"/>
      <c r="Q24" s="1544"/>
      <c r="R24" s="1654"/>
      <c r="S24" s="1655"/>
      <c r="T24" s="1654"/>
      <c r="U24" s="1655"/>
      <c r="V24" s="1654"/>
      <c r="W24" s="1655"/>
      <c r="X24" s="1594"/>
      <c r="Y24" s="3595"/>
      <c r="Z24" s="1656"/>
      <c r="AA24" s="1657">
        <v>1</v>
      </c>
      <c r="AB24" s="1657">
        <v>1</v>
      </c>
      <c r="AC24" s="1657">
        <v>1</v>
      </c>
    </row>
    <row r="25" spans="1:29" ht="15">
      <c r="A25" s="1631"/>
      <c r="B25" s="1624" t="s">
        <v>2031</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39"/>
      <c r="Q25" s="1544" t="str">
        <f t="shared" ref="Q25:Q46" si="11">B25</f>
        <v>楼层-1</v>
      </c>
      <c r="R25" s="1654" t="s">
        <v>28</v>
      </c>
      <c r="S25" s="1655">
        <f>F25</f>
        <v>100</v>
      </c>
      <c r="T25" s="1654" t="s">
        <v>28</v>
      </c>
      <c r="U25" s="1655">
        <f>H25</f>
        <v>100</v>
      </c>
      <c r="V25" s="1654" t="s">
        <v>28</v>
      </c>
      <c r="W25" s="1655">
        <f>J25</f>
        <v>100</v>
      </c>
      <c r="X25" s="1594"/>
      <c r="Y25" s="3595"/>
      <c r="Z25" s="1656" t="str">
        <f>Q25</f>
        <v>楼层-1</v>
      </c>
      <c r="AA25" s="1657">
        <f t="shared" si="3"/>
        <v>1</v>
      </c>
      <c r="AB25" s="1657">
        <f t="shared" si="4"/>
        <v>1</v>
      </c>
      <c r="AC25" s="1657">
        <f t="shared" si="5"/>
        <v>1</v>
      </c>
    </row>
    <row r="26" spans="1:29" ht="15">
      <c r="A26" s="1631"/>
      <c r="B26" s="1624" t="s">
        <v>2032</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39"/>
      <c r="Q26" s="1544" t="str">
        <f t="shared" si="11"/>
        <v>朝向</v>
      </c>
      <c r="R26" s="1654" t="s">
        <v>28</v>
      </c>
      <c r="S26" s="1655">
        <f>F26</f>
        <v>100</v>
      </c>
      <c r="T26" s="1654" t="s">
        <v>28</v>
      </c>
      <c r="U26" s="1655">
        <f>H26</f>
        <v>100</v>
      </c>
      <c r="V26" s="1654" t="s">
        <v>28</v>
      </c>
      <c r="W26" s="1655">
        <f>J26</f>
        <v>100</v>
      </c>
      <c r="X26" s="1594"/>
      <c r="Y26" s="3595"/>
      <c r="Z26" s="1656" t="str">
        <f>Q26</f>
        <v>朝向</v>
      </c>
      <c r="AA26" s="1657">
        <f t="shared" si="3"/>
        <v>1</v>
      </c>
      <c r="AB26" s="1657">
        <f t="shared" si="4"/>
        <v>1</v>
      </c>
      <c r="AC26" s="1657">
        <f t="shared" si="5"/>
        <v>1</v>
      </c>
    </row>
    <row r="27" spans="1:29" s="1613" customFormat="1" ht="15">
      <c r="A27" s="1634"/>
      <c r="B27" s="1635" t="s">
        <v>2033</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39"/>
      <c r="Q27" s="1563" t="str">
        <f t="shared" si="11"/>
        <v>道路级别</v>
      </c>
      <c r="R27" s="1609" t="s">
        <v>28</v>
      </c>
      <c r="S27" s="1610">
        <f>F27</f>
        <v>100</v>
      </c>
      <c r="T27" s="1609" t="s">
        <v>28</v>
      </c>
      <c r="U27" s="1610">
        <f>H27</f>
        <v>100</v>
      </c>
      <c r="V27" s="1609" t="s">
        <v>28</v>
      </c>
      <c r="W27" s="1610">
        <f>J27</f>
        <v>100</v>
      </c>
      <c r="X27" s="1611"/>
      <c r="Y27" s="3595"/>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39"/>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5"/>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39"/>
      <c r="Q29" s="1544">
        <f t="shared" si="11"/>
        <v>111</v>
      </c>
      <c r="R29" s="1654" t="s">
        <v>28</v>
      </c>
      <c r="S29" s="1655">
        <f t="shared" si="12"/>
        <v>100</v>
      </c>
      <c r="T29" s="1654" t="s">
        <v>28</v>
      </c>
      <c r="U29" s="1655">
        <f t="shared" si="13"/>
        <v>100</v>
      </c>
      <c r="V29" s="1654" t="s">
        <v>28</v>
      </c>
      <c r="W29" s="1655">
        <f t="shared" si="14"/>
        <v>100</v>
      </c>
      <c r="X29" s="1594"/>
      <c r="Y29" s="3595"/>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39"/>
      <c r="Q30" s="1544">
        <f t="shared" si="11"/>
        <v>111</v>
      </c>
      <c r="R30" s="1654" t="s">
        <v>28</v>
      </c>
      <c r="S30" s="1655">
        <f t="shared" si="12"/>
        <v>100</v>
      </c>
      <c r="T30" s="1654" t="s">
        <v>28</v>
      </c>
      <c r="U30" s="1655">
        <f t="shared" si="13"/>
        <v>100</v>
      </c>
      <c r="V30" s="1654" t="s">
        <v>28</v>
      </c>
      <c r="W30" s="1655">
        <f t="shared" si="14"/>
        <v>100</v>
      </c>
      <c r="X30" s="1594"/>
      <c r="Y30" s="3595"/>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39"/>
      <c r="Q31" s="1544">
        <f t="shared" si="11"/>
        <v>111</v>
      </c>
      <c r="R31" s="1654" t="s">
        <v>28</v>
      </c>
      <c r="S31" s="1655">
        <f t="shared" si="12"/>
        <v>100</v>
      </c>
      <c r="T31" s="1654" t="s">
        <v>28</v>
      </c>
      <c r="U31" s="1655">
        <f t="shared" si="13"/>
        <v>100</v>
      </c>
      <c r="V31" s="1654" t="s">
        <v>28</v>
      </c>
      <c r="W31" s="1655">
        <f t="shared" si="14"/>
        <v>100</v>
      </c>
      <c r="X31" s="1594"/>
      <c r="Y31" s="3595"/>
      <c r="Z31" s="1656">
        <f t="shared" si="15"/>
        <v>111</v>
      </c>
      <c r="AA31" s="1657">
        <f t="shared" si="3"/>
        <v>1</v>
      </c>
      <c r="AB31" s="1657">
        <f t="shared" si="4"/>
        <v>1</v>
      </c>
      <c r="AC31" s="1657">
        <f t="shared" si="5"/>
        <v>1</v>
      </c>
    </row>
    <row r="32" spans="1:29" ht="15">
      <c r="A32" s="1646" t="s">
        <v>2034</v>
      </c>
      <c r="B32" s="1616" t="s">
        <v>2035</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34" t="s">
        <v>2036</v>
      </c>
      <c r="Q32" s="1544" t="str">
        <f t="shared" si="11"/>
        <v>建筑类型</v>
      </c>
      <c r="R32" s="1654" t="s">
        <v>28</v>
      </c>
      <c r="S32" s="1655">
        <f t="shared" si="12"/>
        <v>100</v>
      </c>
      <c r="T32" s="1654" t="s">
        <v>28</v>
      </c>
      <c r="U32" s="1655">
        <f t="shared" si="13"/>
        <v>100</v>
      </c>
      <c r="V32" s="1654" t="s">
        <v>28</v>
      </c>
      <c r="W32" s="1655">
        <f t="shared" si="14"/>
        <v>100</v>
      </c>
      <c r="X32" s="1594"/>
      <c r="Y32" s="3597" t="s">
        <v>2036</v>
      </c>
      <c r="Z32" s="1656" t="str">
        <f t="shared" si="15"/>
        <v>建筑类型</v>
      </c>
      <c r="AA32" s="1657">
        <f t="shared" si="3"/>
        <v>1</v>
      </c>
      <c r="AB32" s="1657">
        <f t="shared" si="4"/>
        <v>1</v>
      </c>
      <c r="AC32" s="1657">
        <f t="shared" si="5"/>
        <v>1</v>
      </c>
    </row>
    <row r="33" spans="1:29" s="1700" customFormat="1" ht="15">
      <c r="A33" s="1693"/>
      <c r="B33" s="1624" t="s">
        <v>2037</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35"/>
      <c r="Q33" s="1695" t="str">
        <f t="shared" si="11"/>
        <v>项目建筑规模</v>
      </c>
      <c r="R33" s="1696" t="s">
        <v>28</v>
      </c>
      <c r="S33" s="1697" t="e">
        <f t="shared" si="12"/>
        <v>#N/A</v>
      </c>
      <c r="T33" s="1696" t="s">
        <v>28</v>
      </c>
      <c r="U33" s="1697" t="e">
        <f t="shared" si="13"/>
        <v>#N/A</v>
      </c>
      <c r="V33" s="1696" t="s">
        <v>28</v>
      </c>
      <c r="W33" s="1697" t="e">
        <f t="shared" si="14"/>
        <v>#N/A</v>
      </c>
      <c r="X33" s="1698"/>
      <c r="Y33" s="3597"/>
      <c r="Z33" s="1699" t="str">
        <f t="shared" si="15"/>
        <v>项目建筑规模</v>
      </c>
      <c r="AA33" s="1657" t="e">
        <f t="shared" si="3"/>
        <v>#N/A</v>
      </c>
      <c r="AB33" s="1657" t="e">
        <f t="shared" si="4"/>
        <v>#N/A</v>
      </c>
      <c r="AC33" s="1657" t="e">
        <f t="shared" si="5"/>
        <v>#N/A</v>
      </c>
    </row>
    <row r="34" spans="1:29" ht="15">
      <c r="A34" s="1701"/>
      <c r="B34" s="1624" t="s">
        <v>2038</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35"/>
      <c r="Q34" s="1544" t="str">
        <f t="shared" si="11"/>
        <v>建筑结构</v>
      </c>
      <c r="R34" s="1654" t="s">
        <v>28</v>
      </c>
      <c r="S34" s="1655">
        <f t="shared" si="12"/>
        <v>100</v>
      </c>
      <c r="T34" s="1654" t="s">
        <v>28</v>
      </c>
      <c r="U34" s="1655">
        <f t="shared" si="13"/>
        <v>100</v>
      </c>
      <c r="V34" s="1654" t="s">
        <v>28</v>
      </c>
      <c r="W34" s="1655">
        <f t="shared" si="14"/>
        <v>100</v>
      </c>
      <c r="X34" s="1594"/>
      <c r="Y34" s="3597"/>
      <c r="Z34" s="1656" t="str">
        <f t="shared" si="15"/>
        <v>建筑结构</v>
      </c>
      <c r="AA34" s="1657">
        <f t="shared" si="3"/>
        <v>1</v>
      </c>
      <c r="AB34" s="1657">
        <f t="shared" si="4"/>
        <v>1</v>
      </c>
      <c r="AC34" s="1657">
        <f t="shared" si="5"/>
        <v>1</v>
      </c>
    </row>
    <row r="35" spans="1:29" ht="15">
      <c r="A35" s="1701"/>
      <c r="B35" s="1624" t="s">
        <v>2039</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35"/>
      <c r="Q35" s="1544" t="str">
        <f t="shared" si="11"/>
        <v>建筑品质</v>
      </c>
      <c r="R35" s="1654" t="s">
        <v>28</v>
      </c>
      <c r="S35" s="1655">
        <f t="shared" si="12"/>
        <v>100</v>
      </c>
      <c r="T35" s="1654" t="s">
        <v>28</v>
      </c>
      <c r="U35" s="1655">
        <f t="shared" si="13"/>
        <v>100</v>
      </c>
      <c r="V35" s="1654" t="s">
        <v>28</v>
      </c>
      <c r="W35" s="1655">
        <f t="shared" si="14"/>
        <v>100</v>
      </c>
      <c r="X35" s="1594"/>
      <c r="Y35" s="3597"/>
      <c r="Z35" s="1656" t="str">
        <f t="shared" si="15"/>
        <v>建筑品质</v>
      </c>
      <c r="AA35" s="1657">
        <f t="shared" si="3"/>
        <v>1</v>
      </c>
      <c r="AB35" s="1657">
        <f t="shared" si="4"/>
        <v>1</v>
      </c>
      <c r="AC35" s="1657">
        <f t="shared" si="5"/>
        <v>1</v>
      </c>
    </row>
    <row r="36" spans="1:29" ht="15">
      <c r="A36" s="1701"/>
      <c r="B36" s="1624" t="s">
        <v>2040</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35"/>
      <c r="Q36" s="1544" t="str">
        <f t="shared" si="11"/>
        <v>公共部分装修</v>
      </c>
      <c r="R36" s="1654" t="s">
        <v>28</v>
      </c>
      <c r="S36" s="1655">
        <f t="shared" si="12"/>
        <v>100</v>
      </c>
      <c r="T36" s="1654" t="s">
        <v>28</v>
      </c>
      <c r="U36" s="1655">
        <f t="shared" si="13"/>
        <v>100</v>
      </c>
      <c r="V36" s="1654" t="s">
        <v>28</v>
      </c>
      <c r="W36" s="1655">
        <f t="shared" si="14"/>
        <v>100</v>
      </c>
      <c r="X36" s="1594"/>
      <c r="Y36" s="3597"/>
      <c r="Z36" s="1656" t="str">
        <f t="shared" si="15"/>
        <v>公共部分装修</v>
      </c>
      <c r="AA36" s="1657">
        <f t="shared" si="3"/>
        <v>1</v>
      </c>
      <c r="AB36" s="1657">
        <f t="shared" si="4"/>
        <v>1</v>
      </c>
      <c r="AC36" s="1657">
        <f t="shared" si="5"/>
        <v>1</v>
      </c>
    </row>
    <row r="37" spans="1:29" s="1613" customFormat="1" ht="15">
      <c r="A37" s="1704"/>
      <c r="B37" s="1624" t="s">
        <v>2041</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35"/>
      <c r="Q37" s="1563" t="str">
        <f t="shared" si="11"/>
        <v>成新度</v>
      </c>
      <c r="R37" s="1609" t="s">
        <v>28</v>
      </c>
      <c r="S37" s="1610" t="e">
        <f t="shared" si="12"/>
        <v>#N/A</v>
      </c>
      <c r="T37" s="1609" t="s">
        <v>28</v>
      </c>
      <c r="U37" s="1610" t="e">
        <f t="shared" si="13"/>
        <v>#N/A</v>
      </c>
      <c r="V37" s="1609" t="s">
        <v>28</v>
      </c>
      <c r="W37" s="1610" t="e">
        <f t="shared" si="14"/>
        <v>#N/A</v>
      </c>
      <c r="X37" s="1611"/>
      <c r="Y37" s="3597"/>
      <c r="Z37" s="1622" t="str">
        <f t="shared" si="15"/>
        <v>成新度</v>
      </c>
      <c r="AA37" s="1612" t="e">
        <f t="shared" si="3"/>
        <v>#N/A</v>
      </c>
      <c r="AB37" s="1612" t="e">
        <f t="shared" si="4"/>
        <v>#N/A</v>
      </c>
      <c r="AC37" s="1612" t="e">
        <f t="shared" si="5"/>
        <v>#N/A</v>
      </c>
    </row>
    <row r="38" spans="1:29" ht="15">
      <c r="A38" s="1701"/>
      <c r="B38" s="1624" t="s">
        <v>2042</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35" t="s">
        <v>2036</v>
      </c>
      <c r="Q38" s="1544" t="str">
        <f t="shared" si="11"/>
        <v>物业管理</v>
      </c>
      <c r="R38" s="1654" t="s">
        <v>28</v>
      </c>
      <c r="S38" s="1655">
        <f t="shared" si="12"/>
        <v>100</v>
      </c>
      <c r="T38" s="1654" t="s">
        <v>28</v>
      </c>
      <c r="U38" s="1655">
        <f t="shared" si="13"/>
        <v>100</v>
      </c>
      <c r="V38" s="1654" t="s">
        <v>28</v>
      </c>
      <c r="W38" s="1655">
        <f t="shared" si="14"/>
        <v>100</v>
      </c>
      <c r="X38" s="1594"/>
      <c r="Y38" s="3597" t="s">
        <v>2036</v>
      </c>
      <c r="Z38" s="1656" t="str">
        <f t="shared" si="15"/>
        <v>物业管理</v>
      </c>
      <c r="AA38" s="1657">
        <f t="shared" si="3"/>
        <v>1</v>
      </c>
      <c r="AB38" s="1657">
        <f t="shared" si="4"/>
        <v>1</v>
      </c>
      <c r="AC38" s="1657">
        <f t="shared" si="5"/>
        <v>1</v>
      </c>
    </row>
    <row r="39" spans="1:29" ht="15">
      <c r="A39" s="1701"/>
      <c r="B39" s="1624" t="s">
        <v>2043</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35"/>
      <c r="Q39" s="1544" t="str">
        <f t="shared" si="11"/>
        <v>市政基础设施</v>
      </c>
      <c r="R39" s="1654" t="s">
        <v>28</v>
      </c>
      <c r="S39" s="1655">
        <f t="shared" si="12"/>
        <v>100</v>
      </c>
      <c r="T39" s="1654" t="s">
        <v>28</v>
      </c>
      <c r="U39" s="1655">
        <f t="shared" si="13"/>
        <v>100</v>
      </c>
      <c r="V39" s="1654" t="s">
        <v>28</v>
      </c>
      <c r="W39" s="1655">
        <f t="shared" si="14"/>
        <v>100</v>
      </c>
      <c r="X39" s="1594"/>
      <c r="Y39" s="3597"/>
      <c r="Z39" s="1656" t="str">
        <f t="shared" si="15"/>
        <v>市政基础设施</v>
      </c>
      <c r="AA39" s="1657">
        <f t="shared" si="3"/>
        <v>1</v>
      </c>
      <c r="AB39" s="1657">
        <f t="shared" si="4"/>
        <v>1</v>
      </c>
      <c r="AC39" s="1657">
        <f t="shared" si="5"/>
        <v>1</v>
      </c>
    </row>
    <row r="40" spans="1:29" ht="15">
      <c r="A40" s="1701"/>
      <c r="B40" s="1624" t="s">
        <v>2044</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35"/>
      <c r="Q40" s="1544" t="str">
        <f t="shared" si="11"/>
        <v>房型</v>
      </c>
      <c r="R40" s="1654" t="s">
        <v>28</v>
      </c>
      <c r="S40" s="1655">
        <f t="shared" si="12"/>
        <v>100</v>
      </c>
      <c r="T40" s="1654" t="s">
        <v>28</v>
      </c>
      <c r="U40" s="1655">
        <f t="shared" si="13"/>
        <v>100</v>
      </c>
      <c r="V40" s="1654" t="s">
        <v>28</v>
      </c>
      <c r="W40" s="1655">
        <f t="shared" si="14"/>
        <v>100</v>
      </c>
      <c r="X40" s="1594"/>
      <c r="Y40" s="3597"/>
      <c r="Z40" s="1656" t="str">
        <f t="shared" si="15"/>
        <v>房型</v>
      </c>
      <c r="AA40" s="1657">
        <f t="shared" si="3"/>
        <v>1</v>
      </c>
      <c r="AB40" s="1657">
        <f t="shared" si="4"/>
        <v>1</v>
      </c>
      <c r="AC40" s="1657">
        <f t="shared" si="5"/>
        <v>1</v>
      </c>
    </row>
    <row r="41" spans="1:29" s="1700" customFormat="1" ht="28.5">
      <c r="A41" s="1693"/>
      <c r="B41" s="1624" t="s">
        <v>2045</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35"/>
      <c r="Q41" s="1695" t="str">
        <f t="shared" si="11"/>
        <v>单套/主力户型建筑面积</v>
      </c>
      <c r="R41" s="1696" t="s">
        <v>28</v>
      </c>
      <c r="S41" s="1697">
        <f t="shared" si="12"/>
        <v>100</v>
      </c>
      <c r="T41" s="1696" t="s">
        <v>28</v>
      </c>
      <c r="U41" s="1697">
        <f t="shared" si="13"/>
        <v>100</v>
      </c>
      <c r="V41" s="1696" t="s">
        <v>28</v>
      </c>
      <c r="W41" s="1697">
        <f t="shared" si="14"/>
        <v>100</v>
      </c>
      <c r="X41" s="1698"/>
      <c r="Y41" s="3597"/>
      <c r="Z41" s="1699" t="str">
        <f t="shared" si="15"/>
        <v>单套/主力户型建筑面积</v>
      </c>
      <c r="AA41" s="1657">
        <f t="shared" si="3"/>
        <v>1</v>
      </c>
      <c r="AB41" s="1657">
        <f t="shared" si="4"/>
        <v>1</v>
      </c>
      <c r="AC41" s="1657">
        <f t="shared" si="5"/>
        <v>1</v>
      </c>
    </row>
    <row r="42" spans="1:29" ht="15">
      <c r="A42" s="1701"/>
      <c r="B42" s="1624" t="s">
        <v>2046</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35"/>
      <c r="Q42" s="1544" t="str">
        <f t="shared" si="11"/>
        <v>内部装修</v>
      </c>
      <c r="R42" s="1654" t="s">
        <v>28</v>
      </c>
      <c r="S42" s="1655">
        <f t="shared" si="12"/>
        <v>100</v>
      </c>
      <c r="T42" s="1654" t="s">
        <v>28</v>
      </c>
      <c r="U42" s="1655">
        <f t="shared" si="13"/>
        <v>100</v>
      </c>
      <c r="V42" s="1654" t="s">
        <v>28</v>
      </c>
      <c r="W42" s="1655">
        <f t="shared" si="14"/>
        <v>100</v>
      </c>
      <c r="X42" s="1594"/>
      <c r="Y42" s="3597"/>
      <c r="Z42" s="1656" t="str">
        <f t="shared" si="15"/>
        <v>内部装修</v>
      </c>
      <c r="AA42" s="1657">
        <f t="shared" si="3"/>
        <v>1</v>
      </c>
      <c r="AB42" s="1657">
        <f t="shared" si="4"/>
        <v>1</v>
      </c>
      <c r="AC42" s="1657">
        <f t="shared" si="5"/>
        <v>1</v>
      </c>
    </row>
    <row r="43" spans="1:29" ht="15">
      <c r="A43" s="1701"/>
      <c r="B43" s="1624" t="s">
        <v>2047</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35"/>
      <c r="Q43" s="1544" t="str">
        <f t="shared" si="11"/>
        <v>内部装修维护情况</v>
      </c>
      <c r="R43" s="1654" t="s">
        <v>28</v>
      </c>
      <c r="S43" s="1655">
        <f t="shared" si="12"/>
        <v>100</v>
      </c>
      <c r="T43" s="1654" t="s">
        <v>28</v>
      </c>
      <c r="U43" s="1655">
        <f t="shared" si="13"/>
        <v>100</v>
      </c>
      <c r="V43" s="1654" t="s">
        <v>28</v>
      </c>
      <c r="W43" s="1655">
        <f t="shared" si="14"/>
        <v>100</v>
      </c>
      <c r="X43" s="1594"/>
      <c r="Y43" s="359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35"/>
      <c r="Q44" s="1563">
        <f t="shared" si="11"/>
        <v>111</v>
      </c>
      <c r="R44" s="1609" t="s">
        <v>28</v>
      </c>
      <c r="S44" s="1610">
        <f t="shared" si="12"/>
        <v>100</v>
      </c>
      <c r="T44" s="1609" t="s">
        <v>28</v>
      </c>
      <c r="U44" s="1610">
        <f t="shared" si="13"/>
        <v>100</v>
      </c>
      <c r="V44" s="1609" t="s">
        <v>28</v>
      </c>
      <c r="W44" s="1610">
        <f t="shared" si="14"/>
        <v>100</v>
      </c>
      <c r="X44" s="1611"/>
      <c r="Y44" s="359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35"/>
      <c r="Q45" s="1544">
        <f t="shared" si="11"/>
        <v>111</v>
      </c>
      <c r="R45" s="1654" t="s">
        <v>28</v>
      </c>
      <c r="S45" s="1655">
        <f t="shared" si="12"/>
        <v>100</v>
      </c>
      <c r="T45" s="1654" t="s">
        <v>28</v>
      </c>
      <c r="U45" s="1655">
        <f t="shared" si="13"/>
        <v>100</v>
      </c>
      <c r="V45" s="1654" t="s">
        <v>28</v>
      </c>
      <c r="W45" s="1655">
        <f t="shared" si="14"/>
        <v>100</v>
      </c>
      <c r="X45" s="1594"/>
      <c r="Y45" s="3597"/>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36"/>
      <c r="Q46" s="1544">
        <f t="shared" si="11"/>
        <v>111</v>
      </c>
      <c r="R46" s="1654" t="s">
        <v>27</v>
      </c>
      <c r="S46" s="1655">
        <f t="shared" si="12"/>
        <v>100</v>
      </c>
      <c r="T46" s="1654" t="s">
        <v>27</v>
      </c>
      <c r="U46" s="1655">
        <f t="shared" si="13"/>
        <v>100</v>
      </c>
      <c r="V46" s="1654" t="s">
        <v>27</v>
      </c>
      <c r="W46" s="1655">
        <f t="shared" si="14"/>
        <v>100</v>
      </c>
      <c r="X46" s="1594"/>
      <c r="Y46" s="3598"/>
      <c r="Z46" s="1656">
        <f t="shared" si="15"/>
        <v>111</v>
      </c>
      <c r="AA46" s="1657">
        <f t="shared" si="3"/>
        <v>1</v>
      </c>
      <c r="AB46" s="1657">
        <f t="shared" si="4"/>
        <v>1</v>
      </c>
      <c r="AC46" s="1657">
        <f t="shared" si="5"/>
        <v>1</v>
      </c>
    </row>
    <row r="47" spans="1:29" ht="15">
      <c r="A47" s="1710" t="s">
        <v>2048</v>
      </c>
      <c r="B47" s="1711"/>
      <c r="C47" s="1712" t="s">
        <v>26</v>
      </c>
      <c r="D47" s="1713"/>
      <c r="E47" s="1714"/>
      <c r="F47" s="1715"/>
      <c r="G47" s="1716"/>
      <c r="H47" s="1717"/>
      <c r="I47" s="1714"/>
      <c r="J47" s="1717"/>
      <c r="K47" s="1718"/>
      <c r="L47" s="2921"/>
      <c r="N47" s="2916"/>
      <c r="P47" s="3565" t="str">
        <f>A47</f>
        <v>成交单价（元/平方米）</v>
      </c>
      <c r="Q47" s="3565"/>
      <c r="R47" s="3599">
        <f>E47</f>
        <v>0</v>
      </c>
      <c r="S47" s="3599"/>
      <c r="T47" s="3599">
        <f>G47</f>
        <v>0</v>
      </c>
      <c r="U47" s="3599"/>
      <c r="V47" s="3599">
        <f>I47</f>
        <v>0</v>
      </c>
      <c r="W47" s="3599"/>
      <c r="X47" s="1720"/>
      <c r="Y47" s="1721"/>
      <c r="Z47" s="1720"/>
      <c r="AA47" s="1720"/>
      <c r="AB47" s="1720"/>
      <c r="AC47" s="1720"/>
    </row>
    <row r="48" spans="1:29" ht="15.75" thickBot="1">
      <c r="A48" s="1722" t="s">
        <v>2049</v>
      </c>
      <c r="B48" s="1723"/>
      <c r="C48" s="1724" t="e">
        <f>R49</f>
        <v>#DIV/0!</v>
      </c>
      <c r="D48" s="1725" t="s">
        <v>2502</v>
      </c>
      <c r="E48" s="1726" t="e">
        <f>R48</f>
        <v>#DIV/0!</v>
      </c>
      <c r="F48" s="1727"/>
      <c r="G48" s="1724" t="e">
        <f>T48</f>
        <v>#DIV/0!</v>
      </c>
      <c r="H48" s="1727"/>
      <c r="I48" s="1726" t="e">
        <f>V48</f>
        <v>#DIV/0!</v>
      </c>
      <c r="J48" s="1727"/>
      <c r="K48" s="2430">
        <f>F48+H48+J48</f>
        <v>0</v>
      </c>
      <c r="L48" s="2921"/>
      <c r="P48" s="3565" t="str">
        <f>A48</f>
        <v>比较价值（元/平方米）</v>
      </c>
      <c r="Q48" s="3565"/>
      <c r="R48" s="3599" t="e">
        <f>IF(E1="售价",ROUND(PRODUCT(R47,AA7:AA46),0),ROUND(PRODUCT(R47,AA7:AA46),1))</f>
        <v>#DIV/0!</v>
      </c>
      <c r="S48" s="3599"/>
      <c r="T48" s="3640" t="e">
        <f>IF(E1="售价",ROUND(PRODUCT(T47,AB7:AB46),0),ROUND(PRODUCT(T47,AB7:AB46),1))</f>
        <v>#DIV/0!</v>
      </c>
      <c r="U48" s="3641"/>
      <c r="V48" s="3599" t="e">
        <f>IF(E1="售价",ROUND(PRODUCT(V47,AC7:AC46),0),ROUND(PRODUCT(V47,AC7:AC46),1))</f>
        <v>#DIV/0!</v>
      </c>
      <c r="W48" s="3599"/>
      <c r="X48" s="1720"/>
      <c r="Y48" s="1720"/>
      <c r="Z48" s="1720"/>
      <c r="AA48" s="1720"/>
      <c r="AB48" s="1720"/>
      <c r="AC48" s="1720"/>
    </row>
    <row r="49" spans="1:29" ht="15.75" thickBot="1">
      <c r="A49" s="1728" t="s">
        <v>2050</v>
      </c>
      <c r="B49" s="1729"/>
      <c r="C49" s="1730" t="e">
        <f>R49</f>
        <v>#DIV/0!</v>
      </c>
      <c r="D49" s="1731"/>
      <c r="E49" s="1731"/>
      <c r="F49" s="1731"/>
      <c r="G49" s="1731"/>
      <c r="H49" s="1731"/>
      <c r="I49" s="1731"/>
      <c r="J49" s="1731"/>
      <c r="K49" s="1732"/>
      <c r="L49" s="2921"/>
      <c r="P49" s="3600" t="str">
        <f>A49</f>
        <v>估价对象XX用房的比较价值（楼面单价，元/平方米）</v>
      </c>
      <c r="Q49" s="3601"/>
      <c r="R49" s="3602" t="e">
        <f>IF(E1="售价",ROUND(IF(D48="简单平均",AVERAGE(R48:V48),R48*F48+T48*H48+V48*J48),0),ROUND(IF(D48="简单平均",AVERAGE(R48:V48),R48*F48+T48*H48+V48*J48),1))</f>
        <v>#DIV/0!</v>
      </c>
      <c r="S49" s="3602"/>
      <c r="T49" s="3602"/>
      <c r="U49" s="3602"/>
      <c r="V49" s="3602"/>
      <c r="W49" s="3602"/>
      <c r="X49" s="1720"/>
      <c r="Y49" s="1720"/>
      <c r="Z49" s="1720"/>
      <c r="AA49" s="1720"/>
      <c r="AB49" s="1720"/>
      <c r="AC49" s="1720"/>
    </row>
    <row r="50" spans="1:29">
      <c r="G50" s="2925"/>
    </row>
    <row r="52" spans="1:29" ht="13.5" customHeight="1">
      <c r="C52" s="383" t="s">
        <v>2051</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2052</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2053</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2054</v>
      </c>
      <c r="B57" s="1720"/>
      <c r="C57" s="1746"/>
      <c r="D57" s="1746"/>
      <c r="E57" s="1746"/>
      <c r="F57" s="1746"/>
      <c r="G57" s="1746"/>
      <c r="H57" s="1746"/>
      <c r="I57" s="1746"/>
      <c r="J57" s="1746"/>
      <c r="K57" s="1747"/>
      <c r="L57" s="2923"/>
      <c r="M57" s="2924"/>
      <c r="N57" s="2924"/>
      <c r="O57" s="2924"/>
      <c r="P57" s="1749"/>
      <c r="Q57" s="1750"/>
    </row>
    <row r="58" spans="1:29" s="1756" customFormat="1" ht="15">
      <c r="A58" s="1751" t="s">
        <v>2055</v>
      </c>
      <c r="B58" s="1752"/>
      <c r="C58" s="1753" t="str">
        <f>YEAR(C7)&amp;"-"&amp;MONTH(C7)</f>
        <v>2022-7</v>
      </c>
      <c r="D58" s="1754">
        <f>EDATE(C58,-1)</f>
        <v>44713</v>
      </c>
      <c r="E58" s="1754">
        <f t="shared" ref="E58:O58" si="16">EDATE(D58,-1)</f>
        <v>44682</v>
      </c>
      <c r="F58" s="1754">
        <f t="shared" si="16"/>
        <v>44652</v>
      </c>
      <c r="G58" s="1754">
        <f t="shared" si="16"/>
        <v>44621</v>
      </c>
      <c r="H58" s="1754">
        <f t="shared" si="16"/>
        <v>44593</v>
      </c>
      <c r="I58" s="1754">
        <f t="shared" si="16"/>
        <v>44562</v>
      </c>
      <c r="J58" s="1754">
        <f t="shared" si="16"/>
        <v>44531</v>
      </c>
      <c r="K58" s="1754">
        <f t="shared" si="16"/>
        <v>44501</v>
      </c>
      <c r="L58" s="1754">
        <f t="shared" si="16"/>
        <v>44470</v>
      </c>
      <c r="M58" s="1754">
        <f t="shared" si="16"/>
        <v>44440</v>
      </c>
      <c r="N58" s="1754">
        <f t="shared" si="16"/>
        <v>44409</v>
      </c>
      <c r="O58" s="1754">
        <f t="shared" si="16"/>
        <v>44378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2057</v>
      </c>
      <c r="B61" s="1758"/>
      <c r="C61" s="1769" t="s">
        <v>2058</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2059</v>
      </c>
      <c r="B63" s="1776" t="s">
        <v>2024</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2028</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2075</v>
      </c>
      <c r="D82" s="1788" t="s">
        <v>2076</v>
      </c>
      <c r="E82" s="1788" t="s">
        <v>2077</v>
      </c>
      <c r="F82" s="1788" t="s">
        <v>2078</v>
      </c>
      <c r="G82" s="1788" t="s">
        <v>2079</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2081</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2082</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2034</v>
      </c>
      <c r="B100" s="1776" t="s">
        <v>2083</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2085</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2086</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2087</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2089</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2090</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2091</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2045</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2092</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2094</v>
      </c>
    </row>
    <row r="137" spans="1:17" ht="15">
      <c r="B137" s="1840" t="s">
        <v>2095</v>
      </c>
      <c r="C137" s="1841"/>
      <c r="D137" s="1841"/>
      <c r="E137" s="1841"/>
      <c r="F137" s="1841"/>
      <c r="G137" s="1842"/>
      <c r="H137" s="1843"/>
      <c r="I137" s="1844" t="s">
        <v>2096</v>
      </c>
      <c r="J137" s="1841"/>
      <c r="K137" s="1845"/>
    </row>
    <row r="138" spans="1:17" ht="15">
      <c r="B138" s="1846"/>
      <c r="C138" s="1847" t="s">
        <v>2097</v>
      </c>
      <c r="D138" s="1847" t="s">
        <v>2098</v>
      </c>
      <c r="E138" s="1848" t="s">
        <v>2099</v>
      </c>
      <c r="F138" s="1849" t="s">
        <v>2100</v>
      </c>
      <c r="G138" s="1847" t="s">
        <v>2098</v>
      </c>
      <c r="H138" s="1850" t="s">
        <v>2099</v>
      </c>
      <c r="I138" s="1851"/>
      <c r="J138" s="1847" t="s">
        <v>2101</v>
      </c>
      <c r="K138" s="1850" t="s">
        <v>2102</v>
      </c>
    </row>
    <row r="139" spans="1:17" ht="15">
      <c r="B139" s="1852">
        <v>6</v>
      </c>
      <c r="C139" s="1853">
        <v>96</v>
      </c>
      <c r="D139" s="1854" t="s">
        <v>2103</v>
      </c>
      <c r="E139" s="1855">
        <v>100</v>
      </c>
      <c r="F139" s="1856">
        <v>102.5</v>
      </c>
      <c r="G139" s="1854" t="s">
        <v>2103</v>
      </c>
      <c r="H139" s="1857">
        <v>105</v>
      </c>
      <c r="I139" s="1858" t="s">
        <v>2104</v>
      </c>
      <c r="J139" s="1853">
        <v>20</v>
      </c>
      <c r="K139" s="1859">
        <f>C145/(J139-2)</f>
        <v>4.0555555555555553E-3</v>
      </c>
    </row>
    <row r="140" spans="1:17" ht="15">
      <c r="B140" s="1860">
        <v>5</v>
      </c>
      <c r="C140" s="1861">
        <v>100</v>
      </c>
      <c r="D140" s="1861"/>
      <c r="E140" s="1862"/>
      <c r="F140" s="1863">
        <v>102</v>
      </c>
      <c r="G140" s="1861"/>
      <c r="H140" s="1864"/>
      <c r="I140" s="1865" t="s">
        <v>2105</v>
      </c>
      <c r="J140" s="1866">
        <f>ROUNDUP((J139-1)/2,0)</f>
        <v>10</v>
      </c>
      <c r="K140" s="1867">
        <v>100</v>
      </c>
    </row>
    <row r="141" spans="1:17" ht="15">
      <c r="B141" s="1860">
        <v>4</v>
      </c>
      <c r="C141" s="1861">
        <v>102</v>
      </c>
      <c r="D141" s="1861"/>
      <c r="E141" s="1862"/>
      <c r="F141" s="1863">
        <v>101.5</v>
      </c>
      <c r="G141" s="1861"/>
      <c r="H141" s="1864"/>
      <c r="I141" s="1865" t="s">
        <v>2106</v>
      </c>
      <c r="J141" s="1866">
        <v>1</v>
      </c>
      <c r="K141" s="1868">
        <f>ROUND(100+(J141-J140)*K139*100,1)</f>
        <v>96.4</v>
      </c>
    </row>
    <row r="142" spans="1:17" ht="15">
      <c r="B142" s="1860">
        <v>3</v>
      </c>
      <c r="C142" s="1861">
        <v>103</v>
      </c>
      <c r="D142" s="1861"/>
      <c r="E142" s="1862"/>
      <c r="F142" s="1863">
        <v>101</v>
      </c>
      <c r="G142" s="1861"/>
      <c r="H142" s="1864"/>
      <c r="I142" s="1865" t="s">
        <v>2107</v>
      </c>
      <c r="J142" s="1866">
        <f>J139</f>
        <v>20</v>
      </c>
      <c r="K142" s="1869">
        <v>95</v>
      </c>
    </row>
    <row r="143" spans="1:17" ht="15">
      <c r="B143" s="1860">
        <v>2</v>
      </c>
      <c r="C143" s="1861">
        <v>100</v>
      </c>
      <c r="D143" s="1861"/>
      <c r="E143" s="1862"/>
      <c r="F143" s="1863">
        <v>100.5</v>
      </c>
      <c r="G143" s="1861"/>
      <c r="H143" s="1864"/>
      <c r="I143" s="1865" t="s">
        <v>2108</v>
      </c>
      <c r="J143" s="1861">
        <v>15</v>
      </c>
      <c r="K143" s="1868">
        <f>ROUND(100+(J143-J140)*K139*100,1)</f>
        <v>102</v>
      </c>
    </row>
    <row r="144" spans="1:17" ht="15">
      <c r="B144" s="1860">
        <v>1</v>
      </c>
      <c r="C144" s="1861">
        <v>98</v>
      </c>
      <c r="D144" s="1348" t="s">
        <v>2109</v>
      </c>
      <c r="E144" s="1862">
        <v>102</v>
      </c>
      <c r="F144" s="1870">
        <v>100</v>
      </c>
      <c r="G144" s="1348" t="s">
        <v>2109</v>
      </c>
      <c r="H144" s="1864">
        <v>105</v>
      </c>
      <c r="I144" s="1865" t="s">
        <v>2108</v>
      </c>
      <c r="J144" s="1861">
        <v>18</v>
      </c>
      <c r="K144" s="1868">
        <f>ROUND(100+(J144-J140)*K139*100,1)</f>
        <v>103.2</v>
      </c>
    </row>
    <row r="145" spans="2:11" ht="15.75" thickBot="1">
      <c r="B145" s="1871" t="s">
        <v>2110</v>
      </c>
      <c r="C145" s="1872">
        <f>ROUND(MAX(C139:C144)/MIN(C139:C144)-1,3)</f>
        <v>7.2999999999999995E-2</v>
      </c>
      <c r="D145" s="1873"/>
      <c r="E145" s="1873"/>
      <c r="F145" s="1502" t="s">
        <v>2111</v>
      </c>
      <c r="G145" s="1874"/>
      <c r="H145" s="1875"/>
      <c r="I145" s="1876" t="s">
        <v>2108</v>
      </c>
      <c r="J145" s="1877">
        <v>8</v>
      </c>
      <c r="K145" s="1878">
        <f>ROUND(100+(J145-J140)*K139*100,1)</f>
        <v>99.2</v>
      </c>
    </row>
    <row r="147" spans="2:11">
      <c r="B147" s="1501" t="s">
        <v>2112</v>
      </c>
    </row>
    <row r="148" spans="2:11">
      <c r="B148" s="1501" t="s">
        <v>2113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2114</v>
      </c>
      <c r="C1" s="1567"/>
      <c r="D1" s="2388"/>
      <c r="E1" s="1569"/>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2004</v>
      </c>
      <c r="D3" s="1588">
        <f>IF(C1="仅计算典型户型",'数据-取费表'!E5,'数据-取费表'!B5)</f>
        <v>182.31</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2005</v>
      </c>
      <c r="B4" s="1592"/>
      <c r="C4" s="3573" t="s">
        <v>2006</v>
      </c>
      <c r="D4" s="3574"/>
      <c r="E4" s="3575" t="s">
        <v>2007</v>
      </c>
      <c r="F4" s="3576"/>
      <c r="G4" s="3573" t="s">
        <v>2008</v>
      </c>
      <c r="H4" s="3574"/>
      <c r="I4" s="3573" t="s">
        <v>2009</v>
      </c>
      <c r="J4" s="3574"/>
      <c r="K4" s="1894" t="s">
        <v>2010</v>
      </c>
      <c r="L4" s="2915"/>
      <c r="M4" s="2916"/>
      <c r="N4" s="2916"/>
      <c r="O4" s="2916"/>
      <c r="P4" s="3577" t="s">
        <v>2011</v>
      </c>
      <c r="Q4" s="3578"/>
      <c r="R4" s="3583" t="s">
        <v>2007</v>
      </c>
      <c r="S4" s="3584"/>
      <c r="T4" s="3583" t="s">
        <v>2008</v>
      </c>
      <c r="U4" s="3584"/>
      <c r="V4" s="3589" t="s">
        <v>2009</v>
      </c>
      <c r="W4" s="3589"/>
      <c r="X4" s="2003"/>
      <c r="Y4" s="3583" t="s">
        <v>2011</v>
      </c>
      <c r="Z4" s="3584"/>
      <c r="AA4" s="3570" t="s">
        <v>2007</v>
      </c>
      <c r="AB4" s="3589" t="s">
        <v>2008</v>
      </c>
      <c r="AC4" s="3570" t="s">
        <v>2009</v>
      </c>
    </row>
    <row r="5" spans="1:29" ht="15">
      <c r="A5" s="1596"/>
      <c r="B5" s="1597"/>
      <c r="C5" s="3590" t="s">
        <v>2012</v>
      </c>
      <c r="D5" s="3591"/>
      <c r="E5" s="3633" t="s">
        <v>2013</v>
      </c>
      <c r="F5" s="3567"/>
      <c r="G5" s="3590" t="s">
        <v>2014</v>
      </c>
      <c r="H5" s="3591"/>
      <c r="I5" s="3590" t="s">
        <v>2015</v>
      </c>
      <c r="J5" s="3591"/>
      <c r="K5" s="1894"/>
      <c r="L5" s="2915"/>
      <c r="M5" s="2916"/>
      <c r="N5" s="2916"/>
      <c r="O5" s="2916"/>
      <c r="P5" s="3579"/>
      <c r="Q5" s="3580"/>
      <c r="R5" s="3585"/>
      <c r="S5" s="3586"/>
      <c r="T5" s="3585"/>
      <c r="U5" s="3586"/>
      <c r="V5" s="3589"/>
      <c r="W5" s="3589"/>
      <c r="X5" s="2003"/>
      <c r="Y5" s="3585"/>
      <c r="Z5" s="3586"/>
      <c r="AA5" s="3571"/>
      <c r="AB5" s="3589"/>
      <c r="AC5" s="3571"/>
    </row>
    <row r="6" spans="1:29" ht="15.75" thickBot="1">
      <c r="A6" s="1599"/>
      <c r="B6" s="1600"/>
      <c r="C6" s="3563" t="s">
        <v>2016</v>
      </c>
      <c r="D6" s="3564"/>
      <c r="E6" s="3561" t="s">
        <v>2016</v>
      </c>
      <c r="F6" s="3562"/>
      <c r="G6" s="3563" t="s">
        <v>2016</v>
      </c>
      <c r="H6" s="3564"/>
      <c r="I6" s="3563" t="s">
        <v>2016</v>
      </c>
      <c r="J6" s="3564"/>
      <c r="K6" s="1894" t="s">
        <v>2017</v>
      </c>
      <c r="L6" s="2915"/>
      <c r="M6" s="2916"/>
      <c r="N6" s="2916"/>
      <c r="O6" s="2916"/>
      <c r="P6" s="3581"/>
      <c r="Q6" s="3582"/>
      <c r="R6" s="3585"/>
      <c r="S6" s="3586"/>
      <c r="T6" s="3587"/>
      <c r="U6" s="3588"/>
      <c r="V6" s="3589"/>
      <c r="W6" s="3589"/>
      <c r="X6" s="2003"/>
      <c r="Y6" s="3587"/>
      <c r="Z6" s="3588"/>
      <c r="AA6" s="3572"/>
      <c r="AB6" s="3589"/>
      <c r="AC6" s="3572"/>
    </row>
    <row r="7" spans="1:29" s="1613" customFormat="1" ht="15.75" thickBot="1">
      <c r="A7" s="1601" t="s">
        <v>2018</v>
      </c>
      <c r="B7" s="1602"/>
      <c r="C7" s="1603">
        <f>'数据-取费表'!B2</f>
        <v>44763</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568" t="s">
        <v>2019</v>
      </c>
      <c r="Q7" s="3593"/>
      <c r="R7" s="1609" t="s">
        <v>25</v>
      </c>
      <c r="S7" s="1610">
        <f t="shared" ref="S7:S15" si="0">F7</f>
        <v>0</v>
      </c>
      <c r="T7" s="1609" t="s">
        <v>25</v>
      </c>
      <c r="U7" s="1610">
        <f t="shared" ref="U7:U15" si="1">H7</f>
        <v>0</v>
      </c>
      <c r="V7" s="1609" t="s">
        <v>25</v>
      </c>
      <c r="W7" s="1610">
        <f t="shared" ref="W7:W15" si="2">J7</f>
        <v>0</v>
      </c>
      <c r="X7" s="1611"/>
      <c r="Y7" s="3568" t="s">
        <v>2019</v>
      </c>
      <c r="Z7" s="3569"/>
      <c r="AA7" s="1612" t="e">
        <f>D7/F7</f>
        <v>#DIV/0!</v>
      </c>
      <c r="AB7" s="1612" t="e">
        <f>D7/H7</f>
        <v>#DIV/0!</v>
      </c>
      <c r="AC7" s="1612" t="e">
        <f>D7/J7</f>
        <v>#DIV/0!</v>
      </c>
    </row>
    <row r="8" spans="1:29" s="1613" customFormat="1" ht="15.75" thickBot="1">
      <c r="A8" s="1601" t="s">
        <v>2020</v>
      </c>
      <c r="B8" s="1602"/>
      <c r="C8" s="1614" t="s">
        <v>2021</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568" t="s">
        <v>2022</v>
      </c>
      <c r="Q8" s="3569"/>
      <c r="R8" s="1609" t="s">
        <v>25</v>
      </c>
      <c r="S8" s="1610">
        <f t="shared" si="0"/>
        <v>0</v>
      </c>
      <c r="T8" s="1609" t="s">
        <v>25</v>
      </c>
      <c r="U8" s="1610">
        <f t="shared" si="1"/>
        <v>0</v>
      </c>
      <c r="V8" s="1609" t="s">
        <v>25</v>
      </c>
      <c r="W8" s="1610">
        <f t="shared" si="2"/>
        <v>0</v>
      </c>
      <c r="X8" s="1611"/>
      <c r="Y8" s="3568" t="s">
        <v>2022</v>
      </c>
      <c r="Z8" s="3569"/>
      <c r="AA8" s="1612" t="e">
        <f t="shared" ref="AA8:AA46" si="3">D8/F8</f>
        <v>#DIV/0!</v>
      </c>
      <c r="AB8" s="1612" t="e">
        <f t="shared" ref="AB8:AB46" si="4">D8/H8</f>
        <v>#DIV/0!</v>
      </c>
      <c r="AC8" s="1612" t="e">
        <f t="shared" ref="AC8:AC46" si="5">D8/J8</f>
        <v>#DIV/0!</v>
      </c>
    </row>
    <row r="9" spans="1:29" s="1613" customFormat="1">
      <c r="A9" s="1995" t="s">
        <v>2023</v>
      </c>
      <c r="B9" s="1616" t="s">
        <v>2024</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37" t="s">
        <v>2025</v>
      </c>
      <c r="Q9" s="1994" t="str">
        <f t="shared" ref="Q9:Q15" si="6">B9</f>
        <v>用途</v>
      </c>
      <c r="R9" s="1609" t="s">
        <v>25</v>
      </c>
      <c r="S9" s="1610">
        <f t="shared" si="0"/>
        <v>100</v>
      </c>
      <c r="T9" s="1609" t="s">
        <v>25</v>
      </c>
      <c r="U9" s="1610">
        <f t="shared" si="1"/>
        <v>100</v>
      </c>
      <c r="V9" s="1609" t="s">
        <v>25</v>
      </c>
      <c r="W9" s="1610">
        <f t="shared" si="2"/>
        <v>100</v>
      </c>
      <c r="X9" s="1611"/>
      <c r="Y9" s="3494"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37"/>
      <c r="Q10" s="1994" t="str">
        <f t="shared" si="6"/>
        <v>土地使用年限（年）</v>
      </c>
      <c r="R10" s="1609" t="s">
        <v>25</v>
      </c>
      <c r="S10" s="1610">
        <f t="shared" si="0"/>
        <v>100</v>
      </c>
      <c r="T10" s="1609" t="s">
        <v>25</v>
      </c>
      <c r="U10" s="1610">
        <f t="shared" si="1"/>
        <v>100</v>
      </c>
      <c r="V10" s="1609" t="s">
        <v>25</v>
      </c>
      <c r="W10" s="1610">
        <f t="shared" si="2"/>
        <v>100</v>
      </c>
      <c r="X10" s="1611"/>
      <c r="Y10" s="3494"/>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37"/>
      <c r="Q11" s="1994" t="str">
        <f t="shared" si="6"/>
        <v>容积率</v>
      </c>
      <c r="R11" s="1609" t="s">
        <v>25</v>
      </c>
      <c r="S11" s="1610" t="e">
        <f t="shared" si="0"/>
        <v>#N/A</v>
      </c>
      <c r="T11" s="1609" t="s">
        <v>25</v>
      </c>
      <c r="U11" s="1610" t="e">
        <f t="shared" si="1"/>
        <v>#N/A</v>
      </c>
      <c r="V11" s="1609" t="s">
        <v>25</v>
      </c>
      <c r="W11" s="1610" t="e">
        <f t="shared" si="2"/>
        <v>#N/A</v>
      </c>
      <c r="X11" s="1611"/>
      <c r="Y11" s="3494"/>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37"/>
      <c r="Q12" s="1994">
        <f t="shared" si="6"/>
        <v>111</v>
      </c>
      <c r="R12" s="1609" t="s">
        <v>25</v>
      </c>
      <c r="S12" s="1610">
        <f t="shared" si="0"/>
        <v>100</v>
      </c>
      <c r="T12" s="1609" t="s">
        <v>25</v>
      </c>
      <c r="U12" s="1610">
        <f t="shared" si="1"/>
        <v>100</v>
      </c>
      <c r="V12" s="1609" t="s">
        <v>25</v>
      </c>
      <c r="W12" s="1610">
        <f t="shared" si="2"/>
        <v>100</v>
      </c>
      <c r="X12" s="1611"/>
      <c r="Y12" s="3494"/>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37"/>
      <c r="Q13" s="1994">
        <f t="shared" si="6"/>
        <v>111</v>
      </c>
      <c r="R13" s="1609" t="s">
        <v>25</v>
      </c>
      <c r="S13" s="1610">
        <f t="shared" si="0"/>
        <v>100</v>
      </c>
      <c r="T13" s="1609" t="s">
        <v>25</v>
      </c>
      <c r="U13" s="1610">
        <f t="shared" si="1"/>
        <v>100</v>
      </c>
      <c r="V13" s="1609" t="s">
        <v>25</v>
      </c>
      <c r="W13" s="1610">
        <f t="shared" si="2"/>
        <v>100</v>
      </c>
      <c r="X13" s="1611"/>
      <c r="Y13" s="3494"/>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37"/>
      <c r="Q14" s="1994">
        <f t="shared" si="6"/>
        <v>111</v>
      </c>
      <c r="R14" s="1609" t="s">
        <v>25</v>
      </c>
      <c r="S14" s="1610">
        <f t="shared" si="0"/>
        <v>100</v>
      </c>
      <c r="T14" s="1609" t="s">
        <v>25</v>
      </c>
      <c r="U14" s="1610">
        <f t="shared" si="1"/>
        <v>100</v>
      </c>
      <c r="V14" s="1609" t="s">
        <v>25</v>
      </c>
      <c r="W14" s="1610">
        <f t="shared" si="2"/>
        <v>100</v>
      </c>
      <c r="X14" s="1611"/>
      <c r="Y14" s="3494"/>
      <c r="Z14" s="1622">
        <f t="shared" si="7"/>
        <v>111</v>
      </c>
      <c r="AA14" s="1612">
        <f t="shared" si="3"/>
        <v>1</v>
      </c>
      <c r="AB14" s="1612">
        <f t="shared" si="4"/>
        <v>1</v>
      </c>
      <c r="AC14" s="1612">
        <f t="shared" si="5"/>
        <v>1</v>
      </c>
    </row>
    <row r="15" spans="1:29" ht="15">
      <c r="A15" s="1646" t="s">
        <v>2029</v>
      </c>
      <c r="B15" s="1647" t="s">
        <v>2115</v>
      </c>
      <c r="C15" s="1648">
        <f>估价对象房地状况!C4</f>
        <v>0</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38" t="s">
        <v>2030</v>
      </c>
      <c r="Q15" s="2000" t="str">
        <f t="shared" si="6"/>
        <v>商业繁华度</v>
      </c>
      <c r="R15" s="1654" t="s">
        <v>25</v>
      </c>
      <c r="S15" s="1655">
        <f t="shared" si="0"/>
        <v>100</v>
      </c>
      <c r="T15" s="1654" t="s">
        <v>25</v>
      </c>
      <c r="U15" s="1655">
        <f t="shared" si="1"/>
        <v>100</v>
      </c>
      <c r="V15" s="1654" t="s">
        <v>25</v>
      </c>
      <c r="W15" s="1655">
        <f t="shared" si="2"/>
        <v>100</v>
      </c>
      <c r="X15" s="2003"/>
      <c r="Y15" s="3594" t="s">
        <v>2030</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39"/>
      <c r="Q16" s="2000"/>
      <c r="R16" s="1654"/>
      <c r="S16" s="1655"/>
      <c r="T16" s="1654"/>
      <c r="U16" s="1655"/>
      <c r="V16" s="1654"/>
      <c r="W16" s="1655"/>
      <c r="X16" s="2003"/>
      <c r="Y16" s="3595"/>
      <c r="Z16" s="2007"/>
      <c r="AA16" s="1998">
        <v>1</v>
      </c>
      <c r="AB16" s="1998">
        <v>1</v>
      </c>
      <c r="AC16" s="1998">
        <v>1</v>
      </c>
    </row>
    <row r="17" spans="1:29" ht="15">
      <c r="A17" s="1631"/>
      <c r="B17" s="1666" t="s">
        <v>1466</v>
      </c>
      <c r="C17" s="1667" t="str">
        <f>估价对象房地状况!C6</f>
        <v>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39"/>
      <c r="Q17" s="2000" t="str">
        <f>B17</f>
        <v>交通便捷度</v>
      </c>
      <c r="R17" s="1654" t="s">
        <v>25</v>
      </c>
      <c r="S17" s="1655">
        <f>F17</f>
        <v>100</v>
      </c>
      <c r="T17" s="1654" t="s">
        <v>25</v>
      </c>
      <c r="U17" s="1655">
        <f>H17</f>
        <v>100</v>
      </c>
      <c r="V17" s="1654" t="s">
        <v>25</v>
      </c>
      <c r="W17" s="1655">
        <f>J17</f>
        <v>100</v>
      </c>
      <c r="X17" s="2003"/>
      <c r="Y17" s="3595"/>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39"/>
      <c r="Q18" s="2000"/>
      <c r="R18" s="1654"/>
      <c r="S18" s="1655"/>
      <c r="T18" s="1654"/>
      <c r="U18" s="1655"/>
      <c r="V18" s="1654"/>
      <c r="W18" s="1655"/>
      <c r="X18" s="2003"/>
      <c r="Y18" s="3595"/>
      <c r="Z18" s="2007"/>
      <c r="AA18" s="1998">
        <v>1</v>
      </c>
      <c r="AB18" s="1998">
        <v>1</v>
      </c>
      <c r="AC18" s="1998">
        <v>1</v>
      </c>
    </row>
    <row r="19" spans="1:29" ht="15">
      <c r="A19" s="1631"/>
      <c r="B19" s="1666" t="s">
        <v>2116</v>
      </c>
      <c r="C19" s="1667" t="str">
        <f>估价对象房地状况!C7</f>
        <v>较好</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39"/>
      <c r="Q19" s="2000" t="str">
        <f>B19</f>
        <v>公共配套设施</v>
      </c>
      <c r="R19" s="1654" t="s">
        <v>25</v>
      </c>
      <c r="S19" s="1655">
        <f>F19</f>
        <v>100</v>
      </c>
      <c r="T19" s="1654" t="s">
        <v>25</v>
      </c>
      <c r="U19" s="1655">
        <f>H19</f>
        <v>100</v>
      </c>
      <c r="V19" s="1654" t="s">
        <v>25</v>
      </c>
      <c r="W19" s="1655">
        <f>J19</f>
        <v>100</v>
      </c>
      <c r="X19" s="2003"/>
      <c r="Y19" s="3595"/>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39"/>
      <c r="Q20" s="2000"/>
      <c r="R20" s="1654"/>
      <c r="S20" s="1655"/>
      <c r="T20" s="1654"/>
      <c r="U20" s="1655"/>
      <c r="V20" s="1654"/>
      <c r="W20" s="1655"/>
      <c r="X20" s="2003"/>
      <c r="Y20" s="3595"/>
      <c r="Z20" s="2007"/>
      <c r="AA20" s="1998">
        <v>1</v>
      </c>
      <c r="AB20" s="1998">
        <v>1</v>
      </c>
      <c r="AC20" s="1998">
        <v>1</v>
      </c>
    </row>
    <row r="21" spans="1:29" ht="15">
      <c r="A21" s="1631"/>
      <c r="B21" s="1679" t="s">
        <v>2117</v>
      </c>
      <c r="C21" s="1667" t="str">
        <f>估价对象房地状况!C8</f>
        <v>七通</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39"/>
      <c r="Q21" s="2000" t="str">
        <f>B21</f>
        <v>基础设施水平</v>
      </c>
      <c r="R21" s="1654" t="s">
        <v>25</v>
      </c>
      <c r="S21" s="1655">
        <f>F21</f>
        <v>100</v>
      </c>
      <c r="T21" s="1654" t="s">
        <v>25</v>
      </c>
      <c r="U21" s="1655">
        <f>H21</f>
        <v>100</v>
      </c>
      <c r="V21" s="1654" t="s">
        <v>25</v>
      </c>
      <c r="W21" s="1655">
        <f>J21</f>
        <v>100</v>
      </c>
      <c r="X21" s="2003"/>
      <c r="Y21" s="3595"/>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39"/>
      <c r="Q22" s="2000"/>
      <c r="R22" s="1654"/>
      <c r="S22" s="1655"/>
      <c r="T22" s="1654"/>
      <c r="U22" s="1655"/>
      <c r="V22" s="1654"/>
      <c r="W22" s="1655"/>
      <c r="X22" s="2003"/>
      <c r="Y22" s="3595"/>
      <c r="Z22" s="2007"/>
      <c r="AA22" s="1998">
        <v>1</v>
      </c>
      <c r="AB22" s="1998">
        <v>1</v>
      </c>
      <c r="AC22" s="1998">
        <v>1</v>
      </c>
    </row>
    <row r="23" spans="1:29" ht="15">
      <c r="A23" s="1631"/>
      <c r="B23" s="1666" t="s">
        <v>1468</v>
      </c>
      <c r="C23" s="2394" t="str">
        <f>估价对象房地状况!C9</f>
        <v>较好</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39"/>
      <c r="Q23" s="2000" t="str">
        <f>B23</f>
        <v>自然及人文环境</v>
      </c>
      <c r="R23" s="1654" t="s">
        <v>25</v>
      </c>
      <c r="S23" s="1655">
        <f>F23</f>
        <v>100</v>
      </c>
      <c r="T23" s="1654" t="s">
        <v>25</v>
      </c>
      <c r="U23" s="1655">
        <f>H23</f>
        <v>100</v>
      </c>
      <c r="V23" s="1654" t="s">
        <v>25</v>
      </c>
      <c r="W23" s="1655">
        <f>J23</f>
        <v>100</v>
      </c>
      <c r="X23" s="2003"/>
      <c r="Y23" s="3595"/>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39"/>
      <c r="Q24" s="2000"/>
      <c r="R24" s="1654"/>
      <c r="S24" s="1655"/>
      <c r="T24" s="1654"/>
      <c r="U24" s="1655"/>
      <c r="V24" s="1654"/>
      <c r="W24" s="1655"/>
      <c r="X24" s="2003"/>
      <c r="Y24" s="3595"/>
      <c r="Z24" s="2007"/>
      <c r="AA24" s="1998">
        <v>1</v>
      </c>
      <c r="AB24" s="1998">
        <v>1</v>
      </c>
      <c r="AC24" s="1998">
        <v>1</v>
      </c>
    </row>
    <row r="25" spans="1:29" ht="15">
      <c r="A25" s="1631"/>
      <c r="B25" s="1624" t="s">
        <v>2118</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39"/>
      <c r="Q25" s="2000" t="str">
        <f t="shared" ref="Q25:Q46" si="11">B25</f>
        <v>临街状况</v>
      </c>
      <c r="R25" s="1654" t="s">
        <v>25</v>
      </c>
      <c r="S25" s="1655">
        <f>F25</f>
        <v>100</v>
      </c>
      <c r="T25" s="1654" t="s">
        <v>25</v>
      </c>
      <c r="U25" s="1655">
        <f>H25</f>
        <v>100</v>
      </c>
      <c r="V25" s="1654" t="s">
        <v>25</v>
      </c>
      <c r="W25" s="1655">
        <f>J25</f>
        <v>100</v>
      </c>
      <c r="X25" s="2003"/>
      <c r="Y25" s="3595"/>
      <c r="Z25" s="2007" t="str">
        <f>Q25</f>
        <v>临街状况</v>
      </c>
      <c r="AA25" s="1998">
        <f t="shared" si="3"/>
        <v>1</v>
      </c>
      <c r="AB25" s="1998">
        <f t="shared" si="4"/>
        <v>1</v>
      </c>
      <c r="AC25" s="1998">
        <f t="shared" si="5"/>
        <v>1</v>
      </c>
    </row>
    <row r="26" spans="1:29" ht="15">
      <c r="A26" s="1631"/>
      <c r="B26" s="1689" t="s">
        <v>2119</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39"/>
      <c r="Q26" s="2000" t="str">
        <f t="shared" si="11"/>
        <v>平面位置/可视性</v>
      </c>
      <c r="R26" s="1654" t="s">
        <v>25</v>
      </c>
      <c r="S26" s="1655">
        <f>F26</f>
        <v>100</v>
      </c>
      <c r="T26" s="1654" t="s">
        <v>25</v>
      </c>
      <c r="U26" s="1655">
        <f>H26</f>
        <v>100</v>
      </c>
      <c r="V26" s="1654" t="s">
        <v>25</v>
      </c>
      <c r="W26" s="1655">
        <f>J26</f>
        <v>100</v>
      </c>
      <c r="X26" s="2003"/>
      <c r="Y26" s="3595"/>
      <c r="Z26" s="2007" t="str">
        <f>Q26</f>
        <v>平面位置/可视性</v>
      </c>
      <c r="AA26" s="1998">
        <f t="shared" si="3"/>
        <v>1</v>
      </c>
      <c r="AB26" s="1998">
        <f t="shared" si="4"/>
        <v>1</v>
      </c>
      <c r="AC26" s="1998">
        <f t="shared" si="5"/>
        <v>1</v>
      </c>
    </row>
    <row r="27" spans="1:29" s="1613" customFormat="1" ht="15">
      <c r="A27" s="1634"/>
      <c r="B27" s="1666" t="s">
        <v>2120</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39"/>
      <c r="Q27" s="1994" t="str">
        <f t="shared" si="11"/>
        <v>人流量</v>
      </c>
      <c r="R27" s="1609" t="s">
        <v>25</v>
      </c>
      <c r="S27" s="1610">
        <f>F27</f>
        <v>100</v>
      </c>
      <c r="T27" s="1609" t="s">
        <v>25</v>
      </c>
      <c r="U27" s="1610">
        <f>H27</f>
        <v>100</v>
      </c>
      <c r="V27" s="1609" t="s">
        <v>25</v>
      </c>
      <c r="W27" s="1610">
        <f>J27</f>
        <v>100</v>
      </c>
      <c r="X27" s="1611"/>
      <c r="Y27" s="3595"/>
      <c r="Z27" s="1622" t="str">
        <f>Q27</f>
        <v>人流量</v>
      </c>
      <c r="AA27" s="1998">
        <f>D27/F27</f>
        <v>1</v>
      </c>
      <c r="AB27" s="1998">
        <f>D27/H27</f>
        <v>1</v>
      </c>
      <c r="AC27" s="1998">
        <f>D27/J27</f>
        <v>1</v>
      </c>
    </row>
    <row r="28" spans="1:29" ht="15">
      <c r="A28" s="1631"/>
      <c r="B28" s="1624" t="s">
        <v>2121</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39"/>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5"/>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39"/>
      <c r="Q29" s="2000">
        <f t="shared" si="11"/>
        <v>111</v>
      </c>
      <c r="R29" s="1654" t="s">
        <v>25</v>
      </c>
      <c r="S29" s="1655">
        <f t="shared" si="12"/>
        <v>100</v>
      </c>
      <c r="T29" s="1654" t="s">
        <v>25</v>
      </c>
      <c r="U29" s="1655">
        <f t="shared" si="13"/>
        <v>100</v>
      </c>
      <c r="V29" s="1654" t="s">
        <v>25</v>
      </c>
      <c r="W29" s="1655">
        <f t="shared" si="14"/>
        <v>100</v>
      </c>
      <c r="X29" s="2003"/>
      <c r="Y29" s="3595"/>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39"/>
      <c r="Q30" s="2000">
        <f t="shared" si="11"/>
        <v>111</v>
      </c>
      <c r="R30" s="1654" t="s">
        <v>25</v>
      </c>
      <c r="S30" s="1655">
        <f t="shared" si="12"/>
        <v>100</v>
      </c>
      <c r="T30" s="1654" t="s">
        <v>25</v>
      </c>
      <c r="U30" s="1655">
        <f t="shared" si="13"/>
        <v>100</v>
      </c>
      <c r="V30" s="1654" t="s">
        <v>25</v>
      </c>
      <c r="W30" s="1655">
        <f t="shared" si="14"/>
        <v>100</v>
      </c>
      <c r="X30" s="2003"/>
      <c r="Y30" s="3595"/>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39"/>
      <c r="Q31" s="2000">
        <f t="shared" si="11"/>
        <v>111</v>
      </c>
      <c r="R31" s="1654" t="s">
        <v>25</v>
      </c>
      <c r="S31" s="1655">
        <f t="shared" si="12"/>
        <v>100</v>
      </c>
      <c r="T31" s="1654" t="s">
        <v>25</v>
      </c>
      <c r="U31" s="1655">
        <f t="shared" si="13"/>
        <v>100</v>
      </c>
      <c r="V31" s="1654" t="s">
        <v>25</v>
      </c>
      <c r="W31" s="1655">
        <f t="shared" si="14"/>
        <v>100</v>
      </c>
      <c r="X31" s="2003"/>
      <c r="Y31" s="3595"/>
      <c r="Z31" s="2007">
        <f t="shared" si="15"/>
        <v>111</v>
      </c>
      <c r="AA31" s="1998">
        <f t="shared" si="3"/>
        <v>1</v>
      </c>
      <c r="AB31" s="1998">
        <f t="shared" si="4"/>
        <v>1</v>
      </c>
      <c r="AC31" s="1998">
        <f t="shared" si="5"/>
        <v>1</v>
      </c>
    </row>
    <row r="32" spans="1:29" ht="15">
      <c r="A32" s="1646" t="s">
        <v>2034</v>
      </c>
      <c r="B32" s="1616" t="s">
        <v>2122</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34" t="s">
        <v>2036</v>
      </c>
      <c r="Q32" s="2000" t="str">
        <f t="shared" si="11"/>
        <v>商业类型</v>
      </c>
      <c r="R32" s="1654" t="s">
        <v>25</v>
      </c>
      <c r="S32" s="1655">
        <f t="shared" si="12"/>
        <v>100</v>
      </c>
      <c r="T32" s="1654" t="s">
        <v>25</v>
      </c>
      <c r="U32" s="1655">
        <f t="shared" si="13"/>
        <v>100</v>
      </c>
      <c r="V32" s="1654" t="s">
        <v>25</v>
      </c>
      <c r="W32" s="1655">
        <f t="shared" si="14"/>
        <v>100</v>
      </c>
      <c r="X32" s="2003"/>
      <c r="Y32" s="3597" t="s">
        <v>2036</v>
      </c>
      <c r="Z32" s="2007" t="str">
        <f t="shared" si="15"/>
        <v>商业类型</v>
      </c>
      <c r="AA32" s="1998">
        <f t="shared" si="3"/>
        <v>1</v>
      </c>
      <c r="AB32" s="1998">
        <f t="shared" si="4"/>
        <v>1</v>
      </c>
      <c r="AC32" s="1998">
        <f t="shared" si="5"/>
        <v>1</v>
      </c>
    </row>
    <row r="33" spans="1:29" s="1700" customFormat="1" ht="15">
      <c r="A33" s="1693"/>
      <c r="B33" s="1624" t="s">
        <v>2037</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35"/>
      <c r="Q33" s="1695" t="str">
        <f t="shared" si="11"/>
        <v>项目建筑规模</v>
      </c>
      <c r="R33" s="1696" t="s">
        <v>25</v>
      </c>
      <c r="S33" s="1697" t="e">
        <f t="shared" si="12"/>
        <v>#N/A</v>
      </c>
      <c r="T33" s="1696" t="s">
        <v>25</v>
      </c>
      <c r="U33" s="1697" t="e">
        <f t="shared" si="13"/>
        <v>#N/A</v>
      </c>
      <c r="V33" s="1696" t="s">
        <v>25</v>
      </c>
      <c r="W33" s="1697" t="e">
        <f t="shared" si="14"/>
        <v>#N/A</v>
      </c>
      <c r="X33" s="1698"/>
      <c r="Y33" s="3597"/>
      <c r="Z33" s="1699" t="str">
        <f t="shared" si="15"/>
        <v>项目建筑规模</v>
      </c>
      <c r="AA33" s="1998" t="e">
        <f t="shared" si="3"/>
        <v>#N/A</v>
      </c>
      <c r="AB33" s="1998" t="e">
        <f t="shared" si="4"/>
        <v>#N/A</v>
      </c>
      <c r="AC33" s="1998" t="e">
        <f t="shared" si="5"/>
        <v>#N/A</v>
      </c>
    </row>
    <row r="34" spans="1:29" ht="15">
      <c r="A34" s="1701"/>
      <c r="B34" s="1624" t="s">
        <v>2038</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35"/>
      <c r="Q34" s="2000" t="str">
        <f t="shared" si="11"/>
        <v>建筑结构</v>
      </c>
      <c r="R34" s="1654" t="s">
        <v>25</v>
      </c>
      <c r="S34" s="1655">
        <f t="shared" si="12"/>
        <v>100</v>
      </c>
      <c r="T34" s="1654" t="s">
        <v>25</v>
      </c>
      <c r="U34" s="1655">
        <f t="shared" si="13"/>
        <v>100</v>
      </c>
      <c r="V34" s="1654" t="s">
        <v>25</v>
      </c>
      <c r="W34" s="1655">
        <f t="shared" si="14"/>
        <v>100</v>
      </c>
      <c r="X34" s="2003"/>
      <c r="Y34" s="3597"/>
      <c r="Z34" s="2007" t="str">
        <f t="shared" si="15"/>
        <v>建筑结构</v>
      </c>
      <c r="AA34" s="1998">
        <f t="shared" si="3"/>
        <v>1</v>
      </c>
      <c r="AB34" s="1998">
        <f t="shared" si="4"/>
        <v>1</v>
      </c>
      <c r="AC34" s="1998">
        <f t="shared" si="5"/>
        <v>1</v>
      </c>
    </row>
    <row r="35" spans="1:29" ht="15">
      <c r="A35" s="1701"/>
      <c r="B35" s="1624" t="s">
        <v>2123</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35"/>
      <c r="Q35" s="2000" t="str">
        <f t="shared" si="11"/>
        <v>公共部分装修</v>
      </c>
      <c r="R35" s="1654" t="s">
        <v>25</v>
      </c>
      <c r="S35" s="1655">
        <f t="shared" si="12"/>
        <v>100</v>
      </c>
      <c r="T35" s="1654" t="s">
        <v>25</v>
      </c>
      <c r="U35" s="1655">
        <f t="shared" si="13"/>
        <v>100</v>
      </c>
      <c r="V35" s="1654" t="s">
        <v>25</v>
      </c>
      <c r="W35" s="1655">
        <f t="shared" si="14"/>
        <v>100</v>
      </c>
      <c r="X35" s="2003"/>
      <c r="Y35" s="3597"/>
      <c r="Z35" s="2007" t="str">
        <f t="shared" si="15"/>
        <v>公共部分装修</v>
      </c>
      <c r="AA35" s="1998">
        <f t="shared" si="3"/>
        <v>1</v>
      </c>
      <c r="AB35" s="1998">
        <f t="shared" si="4"/>
        <v>1</v>
      </c>
      <c r="AC35" s="1998">
        <f t="shared" si="5"/>
        <v>1</v>
      </c>
    </row>
    <row r="36" spans="1:29" ht="15">
      <c r="A36" s="1701"/>
      <c r="B36" s="1624" t="s">
        <v>2124</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35"/>
      <c r="Q36" s="2000" t="str">
        <f t="shared" si="11"/>
        <v>成新度</v>
      </c>
      <c r="R36" s="1654" t="s">
        <v>25</v>
      </c>
      <c r="S36" s="1655" t="e">
        <f t="shared" si="12"/>
        <v>#N/A</v>
      </c>
      <c r="T36" s="1654" t="s">
        <v>25</v>
      </c>
      <c r="U36" s="1655" t="e">
        <f t="shared" si="13"/>
        <v>#N/A</v>
      </c>
      <c r="V36" s="1654" t="s">
        <v>25</v>
      </c>
      <c r="W36" s="1655" t="e">
        <f t="shared" si="14"/>
        <v>#N/A</v>
      </c>
      <c r="X36" s="2003"/>
      <c r="Y36" s="3597"/>
      <c r="Z36" s="2007" t="str">
        <f t="shared" si="15"/>
        <v>成新度</v>
      </c>
      <c r="AA36" s="1998" t="e">
        <f t="shared" si="3"/>
        <v>#N/A</v>
      </c>
      <c r="AB36" s="1998" t="e">
        <f t="shared" si="4"/>
        <v>#N/A</v>
      </c>
      <c r="AC36" s="1998" t="e">
        <f t="shared" si="5"/>
        <v>#N/A</v>
      </c>
    </row>
    <row r="37" spans="1:29" s="1613" customFormat="1" ht="15">
      <c r="A37" s="1704"/>
      <c r="B37" s="1624" t="s">
        <v>2125</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35"/>
      <c r="Q37" s="1994" t="str">
        <f t="shared" si="11"/>
        <v>市政基础设施</v>
      </c>
      <c r="R37" s="1609" t="s">
        <v>25</v>
      </c>
      <c r="S37" s="1610">
        <f t="shared" si="12"/>
        <v>100</v>
      </c>
      <c r="T37" s="1609" t="s">
        <v>25</v>
      </c>
      <c r="U37" s="1610">
        <f t="shared" si="13"/>
        <v>100</v>
      </c>
      <c r="V37" s="1609" t="s">
        <v>25</v>
      </c>
      <c r="W37" s="1610">
        <f t="shared" si="14"/>
        <v>100</v>
      </c>
      <c r="X37" s="1611"/>
      <c r="Y37" s="3597"/>
      <c r="Z37" s="1622" t="str">
        <f t="shared" si="15"/>
        <v>市政基础设施</v>
      </c>
      <c r="AA37" s="1612">
        <f t="shared" si="3"/>
        <v>1</v>
      </c>
      <c r="AB37" s="1612">
        <f t="shared" si="4"/>
        <v>1</v>
      </c>
      <c r="AC37" s="1612">
        <f t="shared" si="5"/>
        <v>1</v>
      </c>
    </row>
    <row r="38" spans="1:29" ht="15">
      <c r="A38" s="1701"/>
      <c r="B38" s="1624" t="s">
        <v>2126</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35" t="s">
        <v>2036</v>
      </c>
      <c r="Q38" s="2000" t="str">
        <f t="shared" si="11"/>
        <v>业态</v>
      </c>
      <c r="R38" s="1654" t="s">
        <v>25</v>
      </c>
      <c r="S38" s="1655">
        <f t="shared" si="12"/>
        <v>100</v>
      </c>
      <c r="T38" s="1654" t="s">
        <v>25</v>
      </c>
      <c r="U38" s="1655">
        <f t="shared" si="13"/>
        <v>100</v>
      </c>
      <c r="V38" s="1654" t="s">
        <v>25</v>
      </c>
      <c r="W38" s="1655">
        <f t="shared" si="14"/>
        <v>100</v>
      </c>
      <c r="X38" s="2003"/>
      <c r="Y38" s="3597" t="s">
        <v>2036</v>
      </c>
      <c r="Z38" s="2007" t="str">
        <f t="shared" si="15"/>
        <v>业态</v>
      </c>
      <c r="AA38" s="1998">
        <f t="shared" si="3"/>
        <v>1</v>
      </c>
      <c r="AB38" s="1998">
        <f t="shared" si="4"/>
        <v>1</v>
      </c>
      <c r="AC38" s="1998">
        <f t="shared" si="5"/>
        <v>1</v>
      </c>
    </row>
    <row r="39" spans="1:29" ht="15">
      <c r="A39" s="1701"/>
      <c r="B39" s="1624" t="s">
        <v>2127</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35"/>
      <c r="Q39" s="2000" t="str">
        <f t="shared" si="11"/>
        <v>层高</v>
      </c>
      <c r="R39" s="1654" t="s">
        <v>25</v>
      </c>
      <c r="S39" s="1655">
        <f t="shared" si="12"/>
        <v>100</v>
      </c>
      <c r="T39" s="1654" t="s">
        <v>25</v>
      </c>
      <c r="U39" s="1655">
        <f t="shared" si="13"/>
        <v>100</v>
      </c>
      <c r="V39" s="1654" t="s">
        <v>25</v>
      </c>
      <c r="W39" s="1655">
        <f t="shared" si="14"/>
        <v>100</v>
      </c>
      <c r="X39" s="2003"/>
      <c r="Y39" s="3597"/>
      <c r="Z39" s="2007" t="str">
        <f t="shared" si="15"/>
        <v>层高</v>
      </c>
      <c r="AA39" s="1998">
        <f t="shared" si="3"/>
        <v>1</v>
      </c>
      <c r="AB39" s="1998">
        <f t="shared" si="4"/>
        <v>1</v>
      </c>
      <c r="AC39" s="1998">
        <f t="shared" si="5"/>
        <v>1</v>
      </c>
    </row>
    <row r="40" spans="1:29" ht="15">
      <c r="A40" s="1701"/>
      <c r="B40" s="1624" t="s">
        <v>2128</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35"/>
      <c r="Q40" s="2000" t="str">
        <f t="shared" si="11"/>
        <v>单套建筑面积</v>
      </c>
      <c r="R40" s="1654" t="s">
        <v>25</v>
      </c>
      <c r="S40" s="1655">
        <f t="shared" si="12"/>
        <v>100</v>
      </c>
      <c r="T40" s="1654" t="s">
        <v>25</v>
      </c>
      <c r="U40" s="1655">
        <f t="shared" si="13"/>
        <v>100</v>
      </c>
      <c r="V40" s="1654" t="s">
        <v>25</v>
      </c>
      <c r="W40" s="1655">
        <f t="shared" si="14"/>
        <v>100</v>
      </c>
      <c r="X40" s="2003"/>
      <c r="Y40" s="3597"/>
      <c r="Z40" s="2007" t="str">
        <f t="shared" si="15"/>
        <v>单套建筑面积</v>
      </c>
      <c r="AA40" s="1998">
        <f t="shared" si="3"/>
        <v>1</v>
      </c>
      <c r="AB40" s="1998">
        <f t="shared" si="4"/>
        <v>1</v>
      </c>
      <c r="AC40" s="1998">
        <f t="shared" si="5"/>
        <v>1</v>
      </c>
    </row>
    <row r="41" spans="1:29" s="1700" customFormat="1" ht="15">
      <c r="A41" s="1693"/>
      <c r="B41" s="1999" t="s">
        <v>2129</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35"/>
      <c r="Q41" s="1695" t="str">
        <f t="shared" si="11"/>
        <v>进深比</v>
      </c>
      <c r="R41" s="1696" t="s">
        <v>25</v>
      </c>
      <c r="S41" s="1697">
        <f t="shared" si="12"/>
        <v>100</v>
      </c>
      <c r="T41" s="1696" t="s">
        <v>25</v>
      </c>
      <c r="U41" s="1697">
        <f t="shared" si="13"/>
        <v>100</v>
      </c>
      <c r="V41" s="1696" t="s">
        <v>25</v>
      </c>
      <c r="W41" s="1697">
        <f t="shared" si="14"/>
        <v>100</v>
      </c>
      <c r="X41" s="1698"/>
      <c r="Y41" s="3597"/>
      <c r="Z41" s="1699" t="str">
        <f t="shared" si="15"/>
        <v>进深比</v>
      </c>
      <c r="AA41" s="1998">
        <f t="shared" si="3"/>
        <v>1</v>
      </c>
      <c r="AB41" s="1998">
        <f t="shared" si="4"/>
        <v>1</v>
      </c>
      <c r="AC41" s="1998">
        <f t="shared" si="5"/>
        <v>1</v>
      </c>
    </row>
    <row r="42" spans="1:29" ht="15">
      <c r="A42" s="1701"/>
      <c r="B42" s="1624" t="s">
        <v>2130</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35"/>
      <c r="Q42" s="2000" t="str">
        <f t="shared" si="11"/>
        <v>内部装修</v>
      </c>
      <c r="R42" s="1654" t="s">
        <v>25</v>
      </c>
      <c r="S42" s="1655">
        <f t="shared" si="12"/>
        <v>100</v>
      </c>
      <c r="T42" s="1654" t="s">
        <v>25</v>
      </c>
      <c r="U42" s="1655">
        <f t="shared" si="13"/>
        <v>100</v>
      </c>
      <c r="V42" s="1654" t="s">
        <v>25</v>
      </c>
      <c r="W42" s="1655">
        <f t="shared" si="14"/>
        <v>100</v>
      </c>
      <c r="X42" s="2003"/>
      <c r="Y42" s="3597"/>
      <c r="Z42" s="2007" t="str">
        <f t="shared" si="15"/>
        <v>内部装修</v>
      </c>
      <c r="AA42" s="1998">
        <f t="shared" si="3"/>
        <v>1</v>
      </c>
      <c r="AB42" s="1998">
        <f t="shared" si="4"/>
        <v>1</v>
      </c>
      <c r="AC42" s="1998">
        <f t="shared" si="5"/>
        <v>1</v>
      </c>
    </row>
    <row r="43" spans="1:29" ht="15">
      <c r="A43" s="1701"/>
      <c r="B43" s="1624" t="s">
        <v>2047</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35"/>
      <c r="Q43" s="2000" t="str">
        <f t="shared" si="11"/>
        <v>内部装修维护情况</v>
      </c>
      <c r="R43" s="1654" t="s">
        <v>25</v>
      </c>
      <c r="S43" s="1655">
        <f t="shared" si="12"/>
        <v>100</v>
      </c>
      <c r="T43" s="1654" t="s">
        <v>25</v>
      </c>
      <c r="U43" s="1655">
        <f t="shared" si="13"/>
        <v>100</v>
      </c>
      <c r="V43" s="1654" t="s">
        <v>25</v>
      </c>
      <c r="W43" s="1655">
        <f t="shared" si="14"/>
        <v>100</v>
      </c>
      <c r="X43" s="2003"/>
      <c r="Y43" s="359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35"/>
      <c r="Q44" s="1994">
        <f t="shared" si="11"/>
        <v>111</v>
      </c>
      <c r="R44" s="1609" t="s">
        <v>25</v>
      </c>
      <c r="S44" s="1610">
        <f t="shared" si="12"/>
        <v>100</v>
      </c>
      <c r="T44" s="1609" t="s">
        <v>25</v>
      </c>
      <c r="U44" s="1610">
        <f t="shared" si="13"/>
        <v>100</v>
      </c>
      <c r="V44" s="1609" t="s">
        <v>25</v>
      </c>
      <c r="W44" s="1610">
        <f t="shared" si="14"/>
        <v>100</v>
      </c>
      <c r="X44" s="1611"/>
      <c r="Y44" s="359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35"/>
      <c r="Q45" s="2000">
        <f t="shared" si="11"/>
        <v>111</v>
      </c>
      <c r="R45" s="1654" t="s">
        <v>25</v>
      </c>
      <c r="S45" s="1655">
        <f t="shared" si="12"/>
        <v>100</v>
      </c>
      <c r="T45" s="1654" t="s">
        <v>25</v>
      </c>
      <c r="U45" s="1655">
        <f t="shared" si="13"/>
        <v>100</v>
      </c>
      <c r="V45" s="1654" t="s">
        <v>25</v>
      </c>
      <c r="W45" s="1655">
        <f t="shared" si="14"/>
        <v>100</v>
      </c>
      <c r="X45" s="2003"/>
      <c r="Y45" s="3597"/>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36"/>
      <c r="Q46" s="2000">
        <f t="shared" si="11"/>
        <v>111</v>
      </c>
      <c r="R46" s="1654" t="s">
        <v>25</v>
      </c>
      <c r="S46" s="1655">
        <f t="shared" si="12"/>
        <v>100</v>
      </c>
      <c r="T46" s="1654" t="s">
        <v>25</v>
      </c>
      <c r="U46" s="1655">
        <f t="shared" si="13"/>
        <v>100</v>
      </c>
      <c r="V46" s="1654" t="s">
        <v>25</v>
      </c>
      <c r="W46" s="1655">
        <f t="shared" si="14"/>
        <v>100</v>
      </c>
      <c r="X46" s="2003"/>
      <c r="Y46" s="3598"/>
      <c r="Z46" s="2007">
        <f t="shared" si="15"/>
        <v>111</v>
      </c>
      <c r="AA46" s="1998">
        <f t="shared" si="3"/>
        <v>1</v>
      </c>
      <c r="AB46" s="1998">
        <f t="shared" si="4"/>
        <v>1</v>
      </c>
      <c r="AC46" s="1998">
        <f t="shared" si="5"/>
        <v>1</v>
      </c>
    </row>
    <row r="47" spans="1:29" ht="15">
      <c r="A47" s="1710" t="s">
        <v>2048</v>
      </c>
      <c r="B47" s="1711"/>
      <c r="C47" s="1712" t="s">
        <v>1</v>
      </c>
      <c r="D47" s="1713"/>
      <c r="E47" s="1714"/>
      <c r="F47" s="1715"/>
      <c r="G47" s="1716"/>
      <c r="H47" s="1717"/>
      <c r="I47" s="1714"/>
      <c r="J47" s="1717"/>
      <c r="K47" s="1942"/>
      <c r="L47" s="2921"/>
      <c r="N47" s="2916"/>
      <c r="P47" s="3565" t="str">
        <f>A47</f>
        <v>成交单价（元/平方米）</v>
      </c>
      <c r="Q47" s="3565"/>
      <c r="R47" s="3599">
        <f>E47</f>
        <v>0</v>
      </c>
      <c r="S47" s="3599"/>
      <c r="T47" s="3599">
        <f>G47</f>
        <v>0</v>
      </c>
      <c r="U47" s="3599"/>
      <c r="V47" s="3599">
        <f>I47</f>
        <v>0</v>
      </c>
      <c r="W47" s="3599"/>
      <c r="X47" s="1720"/>
      <c r="Y47" s="2002"/>
      <c r="Z47" s="1720"/>
      <c r="AA47" s="1720"/>
      <c r="AB47" s="1720"/>
      <c r="AC47" s="1720"/>
    </row>
    <row r="48" spans="1:29" ht="15.75" thickBot="1">
      <c r="A48" s="1722" t="s">
        <v>2131</v>
      </c>
      <c r="B48" s="1723"/>
      <c r="C48" s="1724" t="e">
        <f>R49</f>
        <v>#DIV/0!</v>
      </c>
      <c r="D48" s="1725" t="s">
        <v>2502</v>
      </c>
      <c r="E48" s="1726" t="e">
        <f>R48</f>
        <v>#DIV/0!</v>
      </c>
      <c r="F48" s="1727"/>
      <c r="G48" s="1724" t="e">
        <f>T48</f>
        <v>#DIV/0!</v>
      </c>
      <c r="H48" s="1727"/>
      <c r="I48" s="1726" t="e">
        <f>V48</f>
        <v>#DIV/0!</v>
      </c>
      <c r="J48" s="1727"/>
      <c r="K48" s="2429">
        <f>F48+H48+J48</f>
        <v>0</v>
      </c>
      <c r="L48" s="2921"/>
      <c r="N48" s="2916"/>
      <c r="P48" s="3565" t="str">
        <f>A48</f>
        <v>比较价值（元/平方米）</v>
      </c>
      <c r="Q48" s="3565"/>
      <c r="R48" s="3599" t="e">
        <f>IF(E1="售价",ROUND(PRODUCT(R47,AA7:AA46),0),ROUND(PRODUCT(R47,AA7:AA46),1))</f>
        <v>#DIV/0!</v>
      </c>
      <c r="S48" s="3599"/>
      <c r="T48" s="3599" t="e">
        <f>IF(E1="售价",ROUND(PRODUCT(T47,AB7:AB46),0),ROUND(PRODUCT(T47,AB7:AB46),1))</f>
        <v>#DIV/0!</v>
      </c>
      <c r="U48" s="3599"/>
      <c r="V48" s="3599" t="e">
        <f>IF(E1="售价",ROUND(PRODUCT(V47,AC7:AC46),0),ROUND(PRODUCT(V47,AC7:AC46),1))</f>
        <v>#DIV/0!</v>
      </c>
      <c r="W48" s="3599"/>
      <c r="X48" s="1720"/>
      <c r="Y48" s="1720"/>
      <c r="Z48" s="1720"/>
      <c r="AA48" s="1720"/>
      <c r="AB48" s="1720"/>
      <c r="AC48" s="1720"/>
    </row>
    <row r="49" spans="1:29" ht="15.75" thickBot="1">
      <c r="A49" s="1728" t="s">
        <v>2132</v>
      </c>
      <c r="B49" s="1729"/>
      <c r="C49" s="1731" t="e">
        <f>R49</f>
        <v>#DIV/0!</v>
      </c>
      <c r="D49" s="1731"/>
      <c r="E49" s="1731"/>
      <c r="F49" s="1731"/>
      <c r="G49" s="1731"/>
      <c r="H49" s="1731"/>
      <c r="I49" s="1731"/>
      <c r="J49" s="1731"/>
      <c r="K49" s="1947"/>
      <c r="L49" s="2921"/>
      <c r="N49" s="2916"/>
      <c r="P49" s="3600" t="str">
        <f>A49</f>
        <v>估价对象XX用房的比较价值（楼面单价，元/平方米）</v>
      </c>
      <c r="Q49" s="3601"/>
      <c r="R49" s="3602" t="e">
        <f>IF(E1="售价",ROUND(IF(D48="简单平均",AVERAGE(R48:V48),R48*F48+T48*H48+V48*J48),0),ROUND(IF(D48="简单平均",AVERAGE(R48:V48),R48*F48+T48*H48+V48*J48),1))</f>
        <v>#DIV/0!</v>
      </c>
      <c r="S49" s="3602"/>
      <c r="T49" s="3602"/>
      <c r="U49" s="3602"/>
      <c r="V49" s="3602"/>
      <c r="W49" s="3602"/>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2133</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2134</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2135</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2136</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2018</v>
      </c>
      <c r="B58" s="1752"/>
      <c r="C58" s="1753" t="str">
        <f>YEAR(C7)&amp;"-"&amp;MONTH(C7)</f>
        <v>2022-7</v>
      </c>
      <c r="D58" s="1754">
        <f>EDATE(C58,-1)</f>
        <v>44713</v>
      </c>
      <c r="E58" s="1754">
        <f t="shared" ref="E58:O58" si="16">EDATE(D58,-1)</f>
        <v>44682</v>
      </c>
      <c r="F58" s="1754">
        <f t="shared" si="16"/>
        <v>44652</v>
      </c>
      <c r="G58" s="1754">
        <f t="shared" si="16"/>
        <v>44621</v>
      </c>
      <c r="H58" s="1754">
        <f t="shared" si="16"/>
        <v>44593</v>
      </c>
      <c r="I58" s="1754">
        <f t="shared" si="16"/>
        <v>44562</v>
      </c>
      <c r="J58" s="1754">
        <f t="shared" si="16"/>
        <v>44531</v>
      </c>
      <c r="K58" s="1754">
        <f t="shared" si="16"/>
        <v>44501</v>
      </c>
      <c r="L58" s="1754">
        <f t="shared" si="16"/>
        <v>44470</v>
      </c>
      <c r="M58" s="1754">
        <f t="shared" si="16"/>
        <v>44440</v>
      </c>
      <c r="N58" s="1754">
        <f t="shared" si="16"/>
        <v>44409</v>
      </c>
      <c r="O58" s="1754">
        <f t="shared" si="16"/>
        <v>44378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2020</v>
      </c>
      <c r="B61" s="1758"/>
      <c r="C61" s="1769" t="s">
        <v>2021</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2059</v>
      </c>
      <c r="B63" s="1776" t="s">
        <v>2024</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2028</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2117</v>
      </c>
      <c r="C82" s="1788" t="s">
        <v>2075</v>
      </c>
      <c r="D82" s="1788" t="s">
        <v>2076</v>
      </c>
      <c r="E82" s="1788" t="s">
        <v>2077</v>
      </c>
      <c r="F82" s="1788" t="s">
        <v>2078</v>
      </c>
      <c r="G82" s="1788" t="s">
        <v>2079</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2137</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2034</v>
      </c>
      <c r="B100" s="1776" t="s">
        <v>2138</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2085</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2087</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2090</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2139</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2140</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2141</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2142</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2092</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2001</v>
      </c>
      <c r="B1" s="1155" t="s">
        <v>2160</v>
      </c>
      <c r="C1" s="1147"/>
      <c r="D1" s="1160"/>
      <c r="E1" s="1487"/>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2004</v>
      </c>
      <c r="D3" s="292">
        <f>IF(C1="仅计算典型户型",'数据-取费表'!E5,'数据-取费表'!B5)</f>
        <v>182.31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54" t="s">
        <v>2006</v>
      </c>
      <c r="D4" s="3655"/>
      <c r="E4" s="3656" t="s">
        <v>2007</v>
      </c>
      <c r="F4" s="3657"/>
      <c r="G4" s="3654" t="s">
        <v>2008</v>
      </c>
      <c r="H4" s="3655"/>
      <c r="I4" s="3654" t="s">
        <v>2009</v>
      </c>
      <c r="J4" s="3655"/>
      <c r="K4" s="496" t="s">
        <v>2010</v>
      </c>
      <c r="L4" s="2943"/>
      <c r="M4" s="2944"/>
      <c r="N4" s="2944"/>
      <c r="O4" s="2944"/>
      <c r="P4" s="3658" t="s">
        <v>2011</v>
      </c>
      <c r="Q4" s="3659"/>
      <c r="R4" s="3664" t="s">
        <v>2007</v>
      </c>
      <c r="S4" s="3665"/>
      <c r="T4" s="3664" t="s">
        <v>2008</v>
      </c>
      <c r="U4" s="3665"/>
      <c r="V4" s="3670" t="s">
        <v>2009</v>
      </c>
      <c r="W4" s="3670"/>
      <c r="X4" s="1263"/>
      <c r="Y4" s="3664" t="s">
        <v>2011</v>
      </c>
      <c r="Z4" s="3665"/>
      <c r="AA4" s="3651" t="s">
        <v>2007</v>
      </c>
      <c r="AB4" s="3652" t="s">
        <v>2008</v>
      </c>
      <c r="AC4" s="3651" t="s">
        <v>2009</v>
      </c>
    </row>
    <row r="5" spans="1:29" ht="15">
      <c r="A5" s="297"/>
      <c r="B5" s="298"/>
      <c r="C5" s="3647" t="s">
        <v>2012</v>
      </c>
      <c r="D5" s="3648"/>
      <c r="E5" s="3671" t="s">
        <v>2013</v>
      </c>
      <c r="F5" s="3672"/>
      <c r="G5" s="3647" t="s">
        <v>2014</v>
      </c>
      <c r="H5" s="3648"/>
      <c r="I5" s="3647" t="s">
        <v>2015</v>
      </c>
      <c r="J5" s="3648"/>
      <c r="K5" s="496"/>
      <c r="L5" s="2943"/>
      <c r="M5" s="2944"/>
      <c r="N5" s="2944"/>
      <c r="O5" s="2944"/>
      <c r="P5" s="3660"/>
      <c r="Q5" s="3661"/>
      <c r="R5" s="3666"/>
      <c r="S5" s="3667"/>
      <c r="T5" s="3666"/>
      <c r="U5" s="3667"/>
      <c r="V5" s="3670"/>
      <c r="W5" s="3670"/>
      <c r="X5" s="1263"/>
      <c r="Y5" s="3666"/>
      <c r="Z5" s="3667"/>
      <c r="AA5" s="3652"/>
      <c r="AB5" s="3652"/>
      <c r="AC5" s="3652"/>
    </row>
    <row r="6" spans="1:29" ht="15.75" thickBot="1">
      <c r="A6" s="299"/>
      <c r="B6" s="300"/>
      <c r="C6" s="3644" t="s">
        <v>2016</v>
      </c>
      <c r="D6" s="3645"/>
      <c r="E6" s="3642" t="s">
        <v>2016</v>
      </c>
      <c r="F6" s="3643"/>
      <c r="G6" s="3644" t="s">
        <v>2016</v>
      </c>
      <c r="H6" s="3645"/>
      <c r="I6" s="3644" t="s">
        <v>2016</v>
      </c>
      <c r="J6" s="3645"/>
      <c r="K6" s="496" t="s">
        <v>2017</v>
      </c>
      <c r="L6" s="2943"/>
      <c r="M6" s="2944"/>
      <c r="N6" s="2944"/>
      <c r="O6" s="2944"/>
      <c r="P6" s="3662"/>
      <c r="Q6" s="3663"/>
      <c r="R6" s="3666"/>
      <c r="S6" s="3667"/>
      <c r="T6" s="3668"/>
      <c r="U6" s="3669"/>
      <c r="V6" s="3670"/>
      <c r="W6" s="3670"/>
      <c r="X6" s="1263"/>
      <c r="Y6" s="3668"/>
      <c r="Z6" s="3669"/>
      <c r="AA6" s="3653"/>
      <c r="AB6" s="3653"/>
      <c r="AC6" s="3653"/>
    </row>
    <row r="7" spans="1:29" s="25" customFormat="1" ht="15.75" thickBot="1">
      <c r="A7" s="301" t="s">
        <v>2018</v>
      </c>
      <c r="B7" s="302"/>
      <c r="C7" s="303">
        <f>'数据-取费表'!B2</f>
        <v>44763</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9" t="s">
        <v>2019</v>
      </c>
      <c r="Q7" s="3673"/>
      <c r="R7" s="627" t="s">
        <v>25</v>
      </c>
      <c r="S7" s="628">
        <f t="shared" ref="S7:S15" si="0">F7</f>
        <v>0</v>
      </c>
      <c r="T7" s="627" t="s">
        <v>25</v>
      </c>
      <c r="U7" s="628">
        <f t="shared" ref="U7:U15" si="1">H7</f>
        <v>0</v>
      </c>
      <c r="V7" s="627" t="s">
        <v>25</v>
      </c>
      <c r="W7" s="628">
        <f t="shared" ref="W7:W15" si="2">J7</f>
        <v>0</v>
      </c>
      <c r="X7" s="629"/>
      <c r="Y7" s="3649" t="s">
        <v>2019</v>
      </c>
      <c r="Z7" s="3650"/>
      <c r="AA7" s="630" t="e">
        <f>D7/F7</f>
        <v>#DIV/0!</v>
      </c>
      <c r="AB7" s="630" t="e">
        <f>D7/H7</f>
        <v>#DIV/0!</v>
      </c>
      <c r="AC7" s="630" t="e">
        <f>D7/J7</f>
        <v>#DIV/0!</v>
      </c>
    </row>
    <row r="8" spans="1:29" s="25" customFormat="1" ht="15.75" thickBot="1">
      <c r="A8" s="301" t="s">
        <v>2020</v>
      </c>
      <c r="B8" s="302"/>
      <c r="C8" s="307" t="s">
        <v>2634</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9" t="s">
        <v>2022</v>
      </c>
      <c r="Q8" s="3650"/>
      <c r="R8" s="627" t="s">
        <v>25</v>
      </c>
      <c r="S8" s="628">
        <f t="shared" si="0"/>
        <v>0</v>
      </c>
      <c r="T8" s="627" t="s">
        <v>25</v>
      </c>
      <c r="U8" s="628">
        <f t="shared" si="1"/>
        <v>0</v>
      </c>
      <c r="V8" s="627" t="s">
        <v>25</v>
      </c>
      <c r="W8" s="628">
        <f t="shared" si="2"/>
        <v>0</v>
      </c>
      <c r="X8" s="629"/>
      <c r="Y8" s="3649" t="s">
        <v>2022</v>
      </c>
      <c r="Z8" s="3650"/>
      <c r="AA8" s="630" t="e">
        <f t="shared" ref="AA8:AA40" si="3">D8/F8</f>
        <v>#DIV/0!</v>
      </c>
      <c r="AB8" s="630" t="e">
        <f t="shared" ref="AB8:AB40" si="4">D8/H8</f>
        <v>#DIV/0!</v>
      </c>
      <c r="AC8" s="630" t="e">
        <f t="shared" ref="AC8:AC40" si="5">D8/J8</f>
        <v>#DIV/0!</v>
      </c>
    </row>
    <row r="9" spans="1:29" s="25" customFormat="1">
      <c r="A9" s="308" t="s">
        <v>2023</v>
      </c>
      <c r="B9" s="24" t="s">
        <v>2024</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6" t="s">
        <v>2025</v>
      </c>
      <c r="Q9" s="1255" t="str">
        <f t="shared" ref="Q9:Q15" si="6">B9</f>
        <v>用途</v>
      </c>
      <c r="R9" s="627" t="s">
        <v>25</v>
      </c>
      <c r="S9" s="628">
        <f t="shared" si="0"/>
        <v>100</v>
      </c>
      <c r="T9" s="627" t="s">
        <v>25</v>
      </c>
      <c r="U9" s="628">
        <f t="shared" si="1"/>
        <v>100</v>
      </c>
      <c r="V9" s="627" t="s">
        <v>25</v>
      </c>
      <c r="W9" s="628">
        <f t="shared" si="2"/>
        <v>100</v>
      </c>
      <c r="X9" s="629"/>
      <c r="Y9" s="3676" t="s">
        <v>2026</v>
      </c>
      <c r="Z9" s="19" t="str">
        <f t="shared" ref="Z9:Z15" si="7">Q9</f>
        <v>用途</v>
      </c>
      <c r="AA9" s="630">
        <f t="shared" si="3"/>
        <v>1</v>
      </c>
      <c r="AB9" s="630">
        <f t="shared" si="4"/>
        <v>1</v>
      </c>
      <c r="AC9" s="630">
        <f t="shared" si="5"/>
        <v>1</v>
      </c>
    </row>
    <row r="10" spans="1:29" s="317" customFormat="1" ht="27">
      <c r="A10" s="312"/>
      <c r="B10" s="313" t="s">
        <v>2027</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6"/>
      <c r="Q10" s="1255" t="str">
        <f t="shared" si="6"/>
        <v>土地使用年限（年）</v>
      </c>
      <c r="R10" s="627" t="s">
        <v>25</v>
      </c>
      <c r="S10" s="628">
        <f t="shared" si="0"/>
        <v>100</v>
      </c>
      <c r="T10" s="627" t="s">
        <v>25</v>
      </c>
      <c r="U10" s="628">
        <f t="shared" si="1"/>
        <v>100</v>
      </c>
      <c r="V10" s="627" t="s">
        <v>25</v>
      </c>
      <c r="W10" s="628">
        <f t="shared" si="2"/>
        <v>100</v>
      </c>
      <c r="X10" s="629"/>
      <c r="Y10" s="3676"/>
      <c r="Z10" s="19" t="str">
        <f t="shared" si="7"/>
        <v>土地使用年限（年）</v>
      </c>
      <c r="AA10" s="630">
        <f t="shared" si="3"/>
        <v>1</v>
      </c>
      <c r="AB10" s="630">
        <f t="shared" si="4"/>
        <v>1</v>
      </c>
      <c r="AC10" s="630">
        <f t="shared" si="5"/>
        <v>1</v>
      </c>
    </row>
    <row r="11" spans="1:29" ht="15">
      <c r="A11" s="318"/>
      <c r="B11" s="313" t="s">
        <v>2028</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6"/>
      <c r="Q11" s="1255" t="str">
        <f t="shared" si="6"/>
        <v>容积率</v>
      </c>
      <c r="R11" s="627" t="s">
        <v>25</v>
      </c>
      <c r="S11" s="628" t="e">
        <f t="shared" si="0"/>
        <v>#N/A</v>
      </c>
      <c r="T11" s="627" t="s">
        <v>25</v>
      </c>
      <c r="U11" s="628" t="e">
        <f t="shared" si="1"/>
        <v>#N/A</v>
      </c>
      <c r="V11" s="627" t="s">
        <v>25</v>
      </c>
      <c r="W11" s="628" t="e">
        <f t="shared" si="2"/>
        <v>#N/A</v>
      </c>
      <c r="X11" s="629"/>
      <c r="Y11" s="3676"/>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6"/>
      <c r="Q12" s="1255">
        <f t="shared" si="6"/>
        <v>111</v>
      </c>
      <c r="R12" s="627" t="s">
        <v>25</v>
      </c>
      <c r="S12" s="628">
        <f t="shared" si="0"/>
        <v>100</v>
      </c>
      <c r="T12" s="627" t="s">
        <v>25</v>
      </c>
      <c r="U12" s="628">
        <f t="shared" si="1"/>
        <v>100</v>
      </c>
      <c r="V12" s="627" t="s">
        <v>25</v>
      </c>
      <c r="W12" s="628">
        <f t="shared" si="2"/>
        <v>100</v>
      </c>
      <c r="X12" s="629"/>
      <c r="Y12" s="3676"/>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6"/>
      <c r="Q13" s="1255">
        <f t="shared" si="6"/>
        <v>111</v>
      </c>
      <c r="R13" s="627" t="s">
        <v>25</v>
      </c>
      <c r="S13" s="628">
        <f t="shared" si="0"/>
        <v>100</v>
      </c>
      <c r="T13" s="627" t="s">
        <v>25</v>
      </c>
      <c r="U13" s="628">
        <f t="shared" si="1"/>
        <v>100</v>
      </c>
      <c r="V13" s="627" t="s">
        <v>25</v>
      </c>
      <c r="W13" s="628">
        <f t="shared" si="2"/>
        <v>100</v>
      </c>
      <c r="X13" s="629"/>
      <c r="Y13" s="3676"/>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6"/>
      <c r="Q14" s="1255">
        <f t="shared" si="6"/>
        <v>111</v>
      </c>
      <c r="R14" s="627" t="s">
        <v>25</v>
      </c>
      <c r="S14" s="628">
        <f t="shared" si="0"/>
        <v>100</v>
      </c>
      <c r="T14" s="627" t="s">
        <v>25</v>
      </c>
      <c r="U14" s="628">
        <f t="shared" si="1"/>
        <v>100</v>
      </c>
      <c r="V14" s="627" t="s">
        <v>25</v>
      </c>
      <c r="W14" s="628">
        <f t="shared" si="2"/>
        <v>100</v>
      </c>
      <c r="X14" s="629"/>
      <c r="Y14" s="3676"/>
      <c r="Z14" s="19">
        <f t="shared" si="7"/>
        <v>111</v>
      </c>
      <c r="AA14" s="630">
        <f t="shared" si="3"/>
        <v>1</v>
      </c>
      <c r="AB14" s="630">
        <f t="shared" si="4"/>
        <v>1</v>
      </c>
      <c r="AC14" s="630">
        <f t="shared" si="5"/>
        <v>1</v>
      </c>
    </row>
    <row r="15" spans="1:29" ht="57">
      <c r="A15" s="329" t="s">
        <v>2029</v>
      </c>
      <c r="B15" s="22" t="s">
        <v>2161</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74" t="s">
        <v>2030</v>
      </c>
      <c r="Q15" s="1262" t="str">
        <f t="shared" si="6"/>
        <v>产业集聚程度</v>
      </c>
      <c r="R15" s="631" t="s">
        <v>25</v>
      </c>
      <c r="S15" s="632">
        <f t="shared" si="0"/>
        <v>100</v>
      </c>
      <c r="T15" s="631" t="s">
        <v>25</v>
      </c>
      <c r="U15" s="632">
        <f t="shared" si="1"/>
        <v>100</v>
      </c>
      <c r="V15" s="631" t="s">
        <v>25</v>
      </c>
      <c r="W15" s="632">
        <f t="shared" si="2"/>
        <v>100</v>
      </c>
      <c r="X15" s="1263"/>
      <c r="Y15" s="3674" t="s">
        <v>2030</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75"/>
      <c r="Q16" s="1262"/>
      <c r="R16" s="631"/>
      <c r="S16" s="632"/>
      <c r="T16" s="631"/>
      <c r="U16" s="632"/>
      <c r="V16" s="631"/>
      <c r="W16" s="632"/>
      <c r="X16" s="1263"/>
      <c r="Y16" s="3675"/>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75"/>
      <c r="Q17" s="1262" t="str">
        <f>B17</f>
        <v>交通便捷度</v>
      </c>
      <c r="R17" s="631" t="s">
        <v>25</v>
      </c>
      <c r="S17" s="632">
        <f>F17</f>
        <v>100</v>
      </c>
      <c r="T17" s="631" t="s">
        <v>25</v>
      </c>
      <c r="U17" s="632">
        <f>H17</f>
        <v>100</v>
      </c>
      <c r="V17" s="631" t="s">
        <v>25</v>
      </c>
      <c r="W17" s="632">
        <f>J17</f>
        <v>100</v>
      </c>
      <c r="X17" s="1263"/>
      <c r="Y17" s="3675"/>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75"/>
      <c r="Q18" s="1262"/>
      <c r="R18" s="631"/>
      <c r="S18" s="632"/>
      <c r="T18" s="631"/>
      <c r="U18" s="632"/>
      <c r="V18" s="631"/>
      <c r="W18" s="632"/>
      <c r="X18" s="1263"/>
      <c r="Y18" s="3675"/>
      <c r="Z18" s="1264"/>
      <c r="AA18" s="1265">
        <v>1</v>
      </c>
      <c r="AB18" s="1265">
        <v>1</v>
      </c>
      <c r="AC18" s="1265">
        <v>1</v>
      </c>
    </row>
    <row r="19" spans="1:29" ht="42.75">
      <c r="A19" s="318"/>
      <c r="B19" s="513" t="s">
        <v>2145</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75"/>
      <c r="Q19" s="1262" t="str">
        <f>B19</f>
        <v>公共配套设施</v>
      </c>
      <c r="R19" s="631" t="s">
        <v>25</v>
      </c>
      <c r="S19" s="632">
        <f>F19</f>
        <v>100</v>
      </c>
      <c r="T19" s="631" t="s">
        <v>25</v>
      </c>
      <c r="U19" s="632">
        <f>H19</f>
        <v>100</v>
      </c>
      <c r="V19" s="631" t="s">
        <v>25</v>
      </c>
      <c r="W19" s="632">
        <f>J19</f>
        <v>100</v>
      </c>
      <c r="X19" s="1263"/>
      <c r="Y19" s="3675"/>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75"/>
      <c r="Q20" s="1262"/>
      <c r="R20" s="631"/>
      <c r="S20" s="632"/>
      <c r="T20" s="631"/>
      <c r="U20" s="632"/>
      <c r="V20" s="631"/>
      <c r="W20" s="632"/>
      <c r="X20" s="1263"/>
      <c r="Y20" s="3675"/>
      <c r="Z20" s="1264"/>
      <c r="AA20" s="1265">
        <v>1</v>
      </c>
      <c r="AB20" s="1265">
        <v>1</v>
      </c>
      <c r="AC20" s="1265">
        <v>1</v>
      </c>
    </row>
    <row r="21" spans="1:29" ht="28.5">
      <c r="A21" s="318"/>
      <c r="B21" s="515" t="s">
        <v>2146</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75"/>
      <c r="Q21" s="1262" t="str">
        <f>B21</f>
        <v>基础设施水平</v>
      </c>
      <c r="R21" s="631" t="s">
        <v>25</v>
      </c>
      <c r="S21" s="632">
        <f>F21</f>
        <v>100</v>
      </c>
      <c r="T21" s="631" t="s">
        <v>25</v>
      </c>
      <c r="U21" s="632">
        <f>H21</f>
        <v>100</v>
      </c>
      <c r="V21" s="631" t="s">
        <v>25</v>
      </c>
      <c r="W21" s="632">
        <f>J21</f>
        <v>100</v>
      </c>
      <c r="X21" s="1263"/>
      <c r="Y21" s="3675"/>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75"/>
      <c r="Q22" s="1262"/>
      <c r="R22" s="631"/>
      <c r="S22" s="632"/>
      <c r="T22" s="631"/>
      <c r="U22" s="632"/>
      <c r="V22" s="631"/>
      <c r="W22" s="632"/>
      <c r="X22" s="1263"/>
      <c r="Y22" s="3675"/>
      <c r="Z22" s="1264"/>
      <c r="AA22" s="1265">
        <v>1</v>
      </c>
      <c r="AB22" s="1265">
        <v>1</v>
      </c>
      <c r="AC22" s="1265">
        <v>1</v>
      </c>
    </row>
    <row r="23" spans="1:29" ht="71.25">
      <c r="A23" s="318"/>
      <c r="B23" s="340" t="s">
        <v>2147</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75"/>
      <c r="Q23" s="1262" t="str">
        <f>B23</f>
        <v>环境质量</v>
      </c>
      <c r="R23" s="631" t="s">
        <v>25</v>
      </c>
      <c r="S23" s="632">
        <f>F23</f>
        <v>100</v>
      </c>
      <c r="T23" s="631" t="s">
        <v>25</v>
      </c>
      <c r="U23" s="632">
        <f>H23</f>
        <v>100</v>
      </c>
      <c r="V23" s="631" t="s">
        <v>25</v>
      </c>
      <c r="W23" s="632">
        <f>J23</f>
        <v>100</v>
      </c>
      <c r="X23" s="1263"/>
      <c r="Y23" s="3675"/>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75"/>
      <c r="Q24" s="1262"/>
      <c r="R24" s="631"/>
      <c r="S24" s="632"/>
      <c r="T24" s="631"/>
      <c r="U24" s="632"/>
      <c r="V24" s="631"/>
      <c r="W24" s="632"/>
      <c r="X24" s="1263"/>
      <c r="Y24" s="3675"/>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75"/>
      <c r="Q25" s="1262">
        <f>B25</f>
        <v>111</v>
      </c>
      <c r="R25" s="631" t="s">
        <v>25</v>
      </c>
      <c r="S25" s="632">
        <f>F25</f>
        <v>100</v>
      </c>
      <c r="T25" s="631" t="s">
        <v>25</v>
      </c>
      <c r="U25" s="632">
        <f>H25</f>
        <v>100</v>
      </c>
      <c r="V25" s="631" t="s">
        <v>25</v>
      </c>
      <c r="W25" s="632">
        <f>J25</f>
        <v>100</v>
      </c>
      <c r="X25" s="1263"/>
      <c r="Y25" s="3675"/>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75"/>
      <c r="Q26" s="1262">
        <f t="shared" ref="Q26:Q40" si="11">B26</f>
        <v>111</v>
      </c>
      <c r="R26" s="631" t="s">
        <v>25</v>
      </c>
      <c r="S26" s="632">
        <f>F26</f>
        <v>100</v>
      </c>
      <c r="T26" s="631" t="s">
        <v>25</v>
      </c>
      <c r="U26" s="632">
        <f>H26</f>
        <v>100</v>
      </c>
      <c r="V26" s="631" t="s">
        <v>25</v>
      </c>
      <c r="W26" s="632">
        <f>J26</f>
        <v>100</v>
      </c>
      <c r="X26" s="1263"/>
      <c r="Y26" s="3675"/>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75"/>
      <c r="Q27" s="1255">
        <f t="shared" si="11"/>
        <v>111</v>
      </c>
      <c r="R27" s="627" t="s">
        <v>25</v>
      </c>
      <c r="S27" s="628">
        <f>F27</f>
        <v>100</v>
      </c>
      <c r="T27" s="627" t="s">
        <v>25</v>
      </c>
      <c r="U27" s="628">
        <f>H27</f>
        <v>100</v>
      </c>
      <c r="V27" s="627" t="s">
        <v>25</v>
      </c>
      <c r="W27" s="628">
        <f>J27</f>
        <v>100</v>
      </c>
      <c r="X27" s="629"/>
      <c r="Y27" s="3675"/>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75"/>
      <c r="Q28" s="1262">
        <f t="shared" si="11"/>
        <v>111</v>
      </c>
      <c r="R28" s="631" t="s">
        <v>25</v>
      </c>
      <c r="S28" s="632">
        <f t="shared" ref="S28:S40" si="12">F28</f>
        <v>100</v>
      </c>
      <c r="T28" s="631" t="s">
        <v>25</v>
      </c>
      <c r="U28" s="632">
        <f t="shared" ref="U28:U40" si="13">H28</f>
        <v>100</v>
      </c>
      <c r="V28" s="631" t="s">
        <v>25</v>
      </c>
      <c r="W28" s="632">
        <f t="shared" ref="W28:W40" si="14">J28</f>
        <v>100</v>
      </c>
      <c r="X28" s="1263"/>
      <c r="Y28" s="3675"/>
      <c r="Z28" s="1264">
        <f t="shared" ref="Z28:Z40" si="15">Q28</f>
        <v>111</v>
      </c>
      <c r="AA28" s="1265">
        <f t="shared" si="3"/>
        <v>1</v>
      </c>
      <c r="AB28" s="1265">
        <f t="shared" si="4"/>
        <v>1</v>
      </c>
      <c r="AC28" s="1265">
        <f t="shared" si="5"/>
        <v>1</v>
      </c>
    </row>
    <row r="29" spans="1:29" ht="28.5">
      <c r="A29" s="354" t="s">
        <v>2034</v>
      </c>
      <c r="B29" s="24" t="s">
        <v>2150</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77" t="s">
        <v>2036</v>
      </c>
      <c r="Q29" s="1262" t="str">
        <f t="shared" si="11"/>
        <v>建筑类型</v>
      </c>
      <c r="R29" s="631" t="s">
        <v>25</v>
      </c>
      <c r="S29" s="632">
        <f t="shared" si="12"/>
        <v>100</v>
      </c>
      <c r="T29" s="631" t="s">
        <v>25</v>
      </c>
      <c r="U29" s="632">
        <f t="shared" si="13"/>
        <v>100</v>
      </c>
      <c r="V29" s="631" t="s">
        <v>25</v>
      </c>
      <c r="W29" s="632">
        <f t="shared" si="14"/>
        <v>100</v>
      </c>
      <c r="X29" s="1263"/>
      <c r="Y29" s="3678" t="s">
        <v>2036</v>
      </c>
      <c r="Z29" s="1264" t="str">
        <f t="shared" si="15"/>
        <v>建筑类型</v>
      </c>
      <c r="AA29" s="1265">
        <f t="shared" si="3"/>
        <v>1</v>
      </c>
      <c r="AB29" s="1265">
        <f t="shared" si="4"/>
        <v>1</v>
      </c>
      <c r="AC29" s="1265">
        <f t="shared" si="5"/>
        <v>1</v>
      </c>
    </row>
    <row r="30" spans="1:29" s="359" customFormat="1" ht="15">
      <c r="A30" s="356"/>
      <c r="B30" s="313" t="s">
        <v>2037</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78"/>
      <c r="Q30" s="633" t="str">
        <f t="shared" si="11"/>
        <v>项目建筑规模</v>
      </c>
      <c r="R30" s="634" t="s">
        <v>25</v>
      </c>
      <c r="S30" s="635" t="e">
        <f t="shared" si="12"/>
        <v>#N/A</v>
      </c>
      <c r="T30" s="634" t="s">
        <v>25</v>
      </c>
      <c r="U30" s="635" t="e">
        <f t="shared" si="13"/>
        <v>#N/A</v>
      </c>
      <c r="V30" s="634" t="s">
        <v>25</v>
      </c>
      <c r="W30" s="635" t="e">
        <f t="shared" si="14"/>
        <v>#N/A</v>
      </c>
      <c r="X30" s="636"/>
      <c r="Y30" s="3678"/>
      <c r="Z30" s="637" t="str">
        <f t="shared" si="15"/>
        <v>项目建筑规模</v>
      </c>
      <c r="AA30" s="1265" t="e">
        <f t="shared" si="3"/>
        <v>#N/A</v>
      </c>
      <c r="AB30" s="1265" t="e">
        <f t="shared" si="4"/>
        <v>#N/A</v>
      </c>
      <c r="AC30" s="1265" t="e">
        <f t="shared" si="5"/>
        <v>#N/A</v>
      </c>
    </row>
    <row r="31" spans="1:29" ht="15">
      <c r="A31" s="360"/>
      <c r="B31" s="313" t="s">
        <v>2038</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78"/>
      <c r="Q31" s="1262" t="str">
        <f t="shared" si="11"/>
        <v>建筑结构</v>
      </c>
      <c r="R31" s="631" t="s">
        <v>25</v>
      </c>
      <c r="S31" s="632">
        <f t="shared" si="12"/>
        <v>100</v>
      </c>
      <c r="T31" s="631" t="s">
        <v>25</v>
      </c>
      <c r="U31" s="632">
        <f t="shared" si="13"/>
        <v>100</v>
      </c>
      <c r="V31" s="631" t="s">
        <v>25</v>
      </c>
      <c r="W31" s="632">
        <f t="shared" si="14"/>
        <v>100</v>
      </c>
      <c r="X31" s="1263"/>
      <c r="Y31" s="3678"/>
      <c r="Z31" s="1264" t="str">
        <f t="shared" si="15"/>
        <v>建筑结构</v>
      </c>
      <c r="AA31" s="1265">
        <f t="shared" si="3"/>
        <v>1</v>
      </c>
      <c r="AB31" s="1265">
        <f t="shared" si="4"/>
        <v>1</v>
      </c>
      <c r="AC31" s="1265">
        <f t="shared" si="5"/>
        <v>1</v>
      </c>
    </row>
    <row r="32" spans="1:29" ht="15">
      <c r="A32" s="360"/>
      <c r="B32" s="313" t="s">
        <v>2123</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78"/>
      <c r="Q32" s="1262" t="str">
        <f t="shared" si="11"/>
        <v>公共部分装修</v>
      </c>
      <c r="R32" s="631" t="s">
        <v>25</v>
      </c>
      <c r="S32" s="632">
        <f t="shared" si="12"/>
        <v>100</v>
      </c>
      <c r="T32" s="631" t="s">
        <v>25</v>
      </c>
      <c r="U32" s="632">
        <f t="shared" si="13"/>
        <v>100</v>
      </c>
      <c r="V32" s="631" t="s">
        <v>25</v>
      </c>
      <c r="W32" s="632">
        <f t="shared" si="14"/>
        <v>100</v>
      </c>
      <c r="X32" s="1263"/>
      <c r="Y32" s="3678"/>
      <c r="Z32" s="1264" t="str">
        <f t="shared" si="15"/>
        <v>公共部分装修</v>
      </c>
      <c r="AA32" s="1265">
        <f t="shared" si="3"/>
        <v>1</v>
      </c>
      <c r="AB32" s="1265">
        <f t="shared" si="4"/>
        <v>1</v>
      </c>
      <c r="AC32" s="1265">
        <f t="shared" si="5"/>
        <v>1</v>
      </c>
    </row>
    <row r="33" spans="1:29" ht="15">
      <c r="A33" s="360"/>
      <c r="B33" s="313" t="s">
        <v>2124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78"/>
      <c r="Q33" s="1262" t="str">
        <f t="shared" si="11"/>
        <v>成新度</v>
      </c>
      <c r="R33" s="631" t="s">
        <v>25</v>
      </c>
      <c r="S33" s="632" t="e">
        <f t="shared" si="12"/>
        <v>#N/A</v>
      </c>
      <c r="T33" s="631" t="s">
        <v>25</v>
      </c>
      <c r="U33" s="632" t="e">
        <f t="shared" si="13"/>
        <v>#N/A</v>
      </c>
      <c r="V33" s="631" t="s">
        <v>25</v>
      </c>
      <c r="W33" s="632" t="e">
        <f t="shared" si="14"/>
        <v>#N/A</v>
      </c>
      <c r="X33" s="1263"/>
      <c r="Y33" s="3678"/>
      <c r="Z33" s="1264" t="str">
        <f t="shared" si="15"/>
        <v>成新度</v>
      </c>
      <c r="AA33" s="1265" t="e">
        <f t="shared" si="3"/>
        <v>#N/A</v>
      </c>
      <c r="AB33" s="1265" t="e">
        <f t="shared" si="4"/>
        <v>#N/A</v>
      </c>
      <c r="AC33" s="1265" t="e">
        <f t="shared" si="5"/>
        <v>#N/A</v>
      </c>
    </row>
    <row r="34" spans="1:29" s="25" customFormat="1" ht="15">
      <c r="A34" s="361"/>
      <c r="B34" s="313" t="s">
        <v>2152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78"/>
      <c r="Q34" s="1255" t="str">
        <f t="shared" si="11"/>
        <v>物业管理</v>
      </c>
      <c r="R34" s="627" t="s">
        <v>25</v>
      </c>
      <c r="S34" s="628">
        <f t="shared" si="12"/>
        <v>100</v>
      </c>
      <c r="T34" s="627" t="s">
        <v>25</v>
      </c>
      <c r="U34" s="628">
        <f t="shared" si="13"/>
        <v>100</v>
      </c>
      <c r="V34" s="627" t="s">
        <v>25</v>
      </c>
      <c r="W34" s="628">
        <f t="shared" si="14"/>
        <v>100</v>
      </c>
      <c r="X34" s="629"/>
      <c r="Y34" s="3678"/>
      <c r="Z34" s="19" t="str">
        <f t="shared" si="15"/>
        <v>物业管理</v>
      </c>
      <c r="AA34" s="630">
        <f t="shared" si="3"/>
        <v>1</v>
      </c>
      <c r="AB34" s="630">
        <f t="shared" si="4"/>
        <v>1</v>
      </c>
      <c r="AC34" s="630">
        <f t="shared" si="5"/>
        <v>1</v>
      </c>
    </row>
    <row r="35" spans="1:29" ht="15">
      <c r="A35" s="360"/>
      <c r="B35" s="313" t="s">
        <v>2125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78" t="s">
        <v>2036</v>
      </c>
      <c r="Q35" s="1262" t="str">
        <f t="shared" si="11"/>
        <v>市政基础设施</v>
      </c>
      <c r="R35" s="631" t="s">
        <v>25</v>
      </c>
      <c r="S35" s="632">
        <f t="shared" si="12"/>
        <v>100</v>
      </c>
      <c r="T35" s="631" t="s">
        <v>25</v>
      </c>
      <c r="U35" s="632">
        <f t="shared" si="13"/>
        <v>100</v>
      </c>
      <c r="V35" s="631" t="s">
        <v>25</v>
      </c>
      <c r="W35" s="632">
        <f t="shared" si="14"/>
        <v>100</v>
      </c>
      <c r="X35" s="1263"/>
      <c r="Y35" s="3678" t="s">
        <v>2036</v>
      </c>
      <c r="Z35" s="1264" t="str">
        <f t="shared" si="15"/>
        <v>市政基础设施</v>
      </c>
      <c r="AA35" s="1265">
        <f t="shared" si="3"/>
        <v>1</v>
      </c>
      <c r="AB35" s="1265">
        <f t="shared" si="4"/>
        <v>1</v>
      </c>
      <c r="AC35" s="1265">
        <f t="shared" si="5"/>
        <v>1</v>
      </c>
    </row>
    <row r="36" spans="1:29" ht="15">
      <c r="A36" s="360"/>
      <c r="B36" s="313" t="s">
        <v>2130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78"/>
      <c r="Q36" s="1262" t="str">
        <f t="shared" si="11"/>
        <v>内部装修</v>
      </c>
      <c r="R36" s="631" t="s">
        <v>25</v>
      </c>
      <c r="S36" s="632">
        <f t="shared" si="12"/>
        <v>100</v>
      </c>
      <c r="T36" s="631" t="s">
        <v>25</v>
      </c>
      <c r="U36" s="632">
        <f t="shared" si="13"/>
        <v>100</v>
      </c>
      <c r="V36" s="631" t="s">
        <v>25</v>
      </c>
      <c r="W36" s="632">
        <f t="shared" si="14"/>
        <v>100</v>
      </c>
      <c r="X36" s="1263"/>
      <c r="Y36" s="3678"/>
      <c r="Z36" s="1264" t="str">
        <f t="shared" si="15"/>
        <v>内部装修</v>
      </c>
      <c r="AA36" s="1265">
        <f t="shared" si="3"/>
        <v>1</v>
      </c>
      <c r="AB36" s="1265">
        <f t="shared" si="4"/>
        <v>1</v>
      </c>
      <c r="AC36" s="1265">
        <f t="shared" si="5"/>
        <v>1</v>
      </c>
    </row>
    <row r="37" spans="1:29" ht="15">
      <c r="A37" s="360"/>
      <c r="B37" s="313" t="s">
        <v>2162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78"/>
      <c r="Q37" s="1262" t="str">
        <f t="shared" si="11"/>
        <v>内部装修状况</v>
      </c>
      <c r="R37" s="631" t="s">
        <v>25</v>
      </c>
      <c r="S37" s="632">
        <f t="shared" si="12"/>
        <v>100</v>
      </c>
      <c r="T37" s="631" t="s">
        <v>25</v>
      </c>
      <c r="U37" s="632">
        <f t="shared" si="13"/>
        <v>100</v>
      </c>
      <c r="V37" s="631" t="s">
        <v>25</v>
      </c>
      <c r="W37" s="632">
        <f t="shared" si="14"/>
        <v>100</v>
      </c>
      <c r="X37" s="1263"/>
      <c r="Y37" s="3678"/>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78"/>
      <c r="Q38" s="633">
        <f t="shared" si="11"/>
        <v>111</v>
      </c>
      <c r="R38" s="634" t="s">
        <v>25</v>
      </c>
      <c r="S38" s="635">
        <f t="shared" si="12"/>
        <v>100</v>
      </c>
      <c r="T38" s="634" t="s">
        <v>25</v>
      </c>
      <c r="U38" s="635">
        <f t="shared" si="13"/>
        <v>100</v>
      </c>
      <c r="V38" s="634" t="s">
        <v>25</v>
      </c>
      <c r="W38" s="635">
        <f t="shared" si="14"/>
        <v>100</v>
      </c>
      <c r="X38" s="636"/>
      <c r="Y38" s="3678"/>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78"/>
      <c r="Q39" s="1262">
        <f t="shared" si="11"/>
        <v>111</v>
      </c>
      <c r="R39" s="631" t="s">
        <v>25</v>
      </c>
      <c r="S39" s="632">
        <f t="shared" si="12"/>
        <v>100</v>
      </c>
      <c r="T39" s="631" t="s">
        <v>25</v>
      </c>
      <c r="U39" s="632">
        <f t="shared" si="13"/>
        <v>100</v>
      </c>
      <c r="V39" s="631" t="s">
        <v>25</v>
      </c>
      <c r="W39" s="632">
        <f t="shared" si="14"/>
        <v>100</v>
      </c>
      <c r="X39" s="1263"/>
      <c r="Y39" s="3678"/>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9"/>
      <c r="Q40" s="1262">
        <f t="shared" si="11"/>
        <v>111</v>
      </c>
      <c r="R40" s="631" t="s">
        <v>25</v>
      </c>
      <c r="S40" s="632">
        <f t="shared" si="12"/>
        <v>100</v>
      </c>
      <c r="T40" s="631" t="s">
        <v>25</v>
      </c>
      <c r="U40" s="632">
        <f t="shared" si="13"/>
        <v>100</v>
      </c>
      <c r="V40" s="631" t="s">
        <v>25</v>
      </c>
      <c r="W40" s="632">
        <f t="shared" si="14"/>
        <v>100</v>
      </c>
      <c r="X40" s="1263"/>
      <c r="Y40" s="3679"/>
      <c r="Z40" s="1264">
        <f t="shared" si="15"/>
        <v>111</v>
      </c>
      <c r="AA40" s="1265">
        <f t="shared" si="3"/>
        <v>1</v>
      </c>
      <c r="AB40" s="1265">
        <f t="shared" si="4"/>
        <v>1</v>
      </c>
      <c r="AC40" s="1265">
        <f t="shared" si="5"/>
        <v>1</v>
      </c>
    </row>
    <row r="41" spans="1:29" ht="15">
      <c r="A41" s="367" t="s">
        <v>2048</v>
      </c>
      <c r="B41" s="368"/>
      <c r="C41" s="1082" t="s">
        <v>1</v>
      </c>
      <c r="D41" s="1083"/>
      <c r="E41" s="1084"/>
      <c r="F41" s="1085"/>
      <c r="G41" s="1086"/>
      <c r="H41" s="1087"/>
      <c r="I41" s="1084"/>
      <c r="J41" s="1087"/>
      <c r="K41" s="640"/>
      <c r="L41" s="2955"/>
      <c r="N41" s="2944"/>
      <c r="P41" s="3646" t="str">
        <f>A41</f>
        <v>成交单价（元/平方米）</v>
      </c>
      <c r="Q41" s="3646"/>
      <c r="R41" s="3680">
        <f>E41</f>
        <v>0</v>
      </c>
      <c r="S41" s="3680"/>
      <c r="T41" s="3680">
        <f>G41</f>
        <v>0</v>
      </c>
      <c r="U41" s="3680"/>
      <c r="V41" s="3680">
        <f>I41</f>
        <v>0</v>
      </c>
      <c r="W41" s="3680"/>
      <c r="X41" s="618"/>
      <c r="Y41" s="638"/>
      <c r="Z41" s="618"/>
      <c r="AA41" s="618"/>
      <c r="AB41" s="618"/>
      <c r="AC41" s="618"/>
    </row>
    <row r="42" spans="1:29" ht="15.75" thickBot="1">
      <c r="A42" s="374" t="s">
        <v>2131</v>
      </c>
      <c r="B42" s="375"/>
      <c r="C42" s="1088" t="e">
        <f>R43</f>
        <v>#DIV/0!</v>
      </c>
      <c r="D42" s="1725" t="s">
        <v>2502</v>
      </c>
      <c r="E42" s="1089" t="e">
        <f>R42</f>
        <v>#DIV/0!</v>
      </c>
      <c r="F42" s="1727"/>
      <c r="G42" s="1088" t="e">
        <f>T42</f>
        <v>#DIV/0!</v>
      </c>
      <c r="H42" s="1727"/>
      <c r="I42" s="1089" t="e">
        <f>V42</f>
        <v>#DIV/0!</v>
      </c>
      <c r="J42" s="1727"/>
      <c r="K42" s="2429">
        <f>F42+H42+J42</f>
        <v>0</v>
      </c>
      <c r="L42" s="2955"/>
      <c r="N42" s="2944"/>
      <c r="P42" s="3646" t="str">
        <f>A42</f>
        <v>比较价值（元/平方米）</v>
      </c>
      <c r="Q42" s="3646"/>
      <c r="R42" s="3680" t="e">
        <f>IF(E1="售价",ROUND(PRODUCT(R41,AA7:AA40),0),ROUND(PRODUCT(R41,AA7:AA40),1))</f>
        <v>#DIV/0!</v>
      </c>
      <c r="S42" s="3680"/>
      <c r="T42" s="3680" t="e">
        <f>IF(E1="售价",ROUND(PRODUCT(T41,AB7:AB40),0),ROUND(PRODUCT(T41,AB7:AB40),1))</f>
        <v>#DIV/0!</v>
      </c>
      <c r="U42" s="3680"/>
      <c r="V42" s="3680" t="e">
        <f>IF(E1="售价",ROUND(PRODUCT(V41,AC7:AC40),0),ROUND(PRODUCT(V41,AC7:AC40),1))</f>
        <v>#DIV/0!</v>
      </c>
      <c r="W42" s="3680"/>
      <c r="X42" s="618"/>
      <c r="Y42" s="618"/>
      <c r="Z42" s="618"/>
      <c r="AA42" s="618"/>
      <c r="AB42" s="618"/>
      <c r="AC42" s="618"/>
    </row>
    <row r="43" spans="1:29" ht="15.75" thickBot="1">
      <c r="A43" s="378" t="s">
        <v>2154</v>
      </c>
      <c r="B43" s="379"/>
      <c r="C43" s="1090" t="e">
        <f>R43</f>
        <v>#DIV/0!</v>
      </c>
      <c r="D43" s="1090"/>
      <c r="E43" s="1090"/>
      <c r="F43" s="1090"/>
      <c r="G43" s="1090"/>
      <c r="H43" s="1090"/>
      <c r="I43" s="1090"/>
      <c r="J43" s="1090"/>
      <c r="K43" s="641"/>
      <c r="L43" s="2955"/>
      <c r="P43" s="3681" t="str">
        <f>A43</f>
        <v>估价对象XX用房的比较价值（楼面单价，元/平方米）</v>
      </c>
      <c r="Q43" s="3682"/>
      <c r="R43" s="3683" t="e">
        <f>IF(E1="售价",ROUND(IF(D42="简单平均",AVERAGE(R42:V42),R42*F42+T42*H42+V42*J42),0),ROUND(IF(D42="简单平均",AVERAGE(R42:V42),R42*F42+T42*H42+V42*J42),1))</f>
        <v>#DIV/0!</v>
      </c>
      <c r="S43" s="3683"/>
      <c r="T43" s="3683"/>
      <c r="U43" s="3683"/>
      <c r="V43" s="3683"/>
      <c r="W43" s="3683"/>
      <c r="X43" s="618"/>
      <c r="Y43" s="618"/>
      <c r="Z43" s="618"/>
      <c r="AA43" s="618"/>
      <c r="AB43" s="618"/>
      <c r="AC43" s="618"/>
    </row>
    <row r="44" spans="1:29">
      <c r="G44" s="2958"/>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2136</v>
      </c>
      <c r="B51" s="618"/>
      <c r="C51" s="621"/>
      <c r="D51" s="621"/>
      <c r="E51" s="621"/>
      <c r="F51" s="622"/>
      <c r="G51" s="622"/>
      <c r="H51" s="621"/>
      <c r="I51" s="621"/>
      <c r="J51" s="621"/>
      <c r="K51" s="623"/>
      <c r="L51" s="624"/>
      <c r="M51" s="621"/>
      <c r="N51" s="2961"/>
      <c r="O51" s="2961"/>
      <c r="P51" s="389"/>
      <c r="Q51" s="390"/>
    </row>
    <row r="52" spans="1:17" s="394" customFormat="1" ht="15">
      <c r="A52" s="391" t="s">
        <v>2018</v>
      </c>
      <c r="B52" s="392"/>
      <c r="C52" s="1116" t="str">
        <f>YEAR(C7)&amp;"-"&amp;MONTH(C7)</f>
        <v>2022-7</v>
      </c>
      <c r="D52" s="1117">
        <f>EDATE(C52,-1)</f>
        <v>44713</v>
      </c>
      <c r="E52" s="1118">
        <f t="shared" ref="E52:O52" si="16">EDATE(D52,-1)</f>
        <v>44682</v>
      </c>
      <c r="F52" s="1118">
        <f t="shared" si="16"/>
        <v>44652</v>
      </c>
      <c r="G52" s="1118">
        <f t="shared" si="16"/>
        <v>44621</v>
      </c>
      <c r="H52" s="1118">
        <f t="shared" si="16"/>
        <v>44593</v>
      </c>
      <c r="I52" s="1118">
        <f t="shared" si="16"/>
        <v>44562</v>
      </c>
      <c r="J52" s="1118">
        <f t="shared" si="16"/>
        <v>44531</v>
      </c>
      <c r="K52" s="1118">
        <f t="shared" si="16"/>
        <v>44501</v>
      </c>
      <c r="L52" s="1118">
        <f t="shared" si="16"/>
        <v>44470</v>
      </c>
      <c r="M52" s="1118">
        <f t="shared" si="16"/>
        <v>44440</v>
      </c>
      <c r="N52" s="1118">
        <f t="shared" si="16"/>
        <v>44409</v>
      </c>
      <c r="O52" s="1118">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2056</v>
      </c>
      <c r="B54" s="401"/>
      <c r="C54" s="402"/>
      <c r="D54" s="403"/>
      <c r="E54" s="403"/>
      <c r="F54" s="403"/>
      <c r="G54" s="403"/>
      <c r="H54" s="403"/>
      <c r="I54" s="403"/>
      <c r="J54" s="403"/>
      <c r="K54" s="403"/>
      <c r="L54" s="403"/>
      <c r="M54" s="404"/>
      <c r="N54" s="403"/>
      <c r="O54" s="405"/>
      <c r="P54" s="390"/>
      <c r="Q54" s="390"/>
    </row>
    <row r="55" spans="1:17" s="25" customFormat="1" ht="15">
      <c r="A55" s="406" t="s">
        <v>2020</v>
      </c>
      <c r="B55" s="396"/>
      <c r="C55" s="407" t="s">
        <v>2021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2059</v>
      </c>
      <c r="B57" s="413" t="s">
        <v>2024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2027</v>
      </c>
      <c r="C59" s="426" t="s">
        <v>2060</v>
      </c>
      <c r="D59" s="426" t="s">
        <v>2061</v>
      </c>
      <c r="E59" s="426" t="s">
        <v>2062</v>
      </c>
      <c r="F59" s="426" t="s">
        <v>2063</v>
      </c>
      <c r="G59" s="426" t="s">
        <v>2064</v>
      </c>
      <c r="H59" s="426" t="s">
        <v>2065</v>
      </c>
      <c r="I59" s="426" t="s">
        <v>2066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2029</v>
      </c>
      <c r="B70" s="413" t="s">
        <v>2163</v>
      </c>
      <c r="C70" s="461" t="s">
        <v>2068</v>
      </c>
      <c r="D70" s="461" t="s">
        <v>2069</v>
      </c>
      <c r="E70" s="461" t="s">
        <v>2070</v>
      </c>
      <c r="F70" s="461" t="s">
        <v>2071</v>
      </c>
      <c r="G70" s="461" t="s">
        <v>2072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2073</v>
      </c>
      <c r="C72" s="466" t="s">
        <v>2068</v>
      </c>
      <c r="D72" s="466" t="s">
        <v>2069</v>
      </c>
      <c r="E72" s="466" t="s">
        <v>2070</v>
      </c>
      <c r="F72" s="466" t="s">
        <v>2071</v>
      </c>
      <c r="G72" s="466" t="s">
        <v>2072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2074</v>
      </c>
      <c r="C74" s="466" t="s">
        <v>2068</v>
      </c>
      <c r="D74" s="466" t="s">
        <v>2069</v>
      </c>
      <c r="E74" s="466" t="s">
        <v>2070</v>
      </c>
      <c r="F74" s="466" t="s">
        <v>2071</v>
      </c>
      <c r="G74" s="466" t="s">
        <v>2072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2146</v>
      </c>
      <c r="C76" s="426" t="s">
        <v>2075</v>
      </c>
      <c r="D76" s="426" t="s">
        <v>2076</v>
      </c>
      <c r="E76" s="426" t="s">
        <v>2077</v>
      </c>
      <c r="F76" s="426" t="s">
        <v>2078</v>
      </c>
      <c r="G76" s="426" t="s">
        <v>2079</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2156</v>
      </c>
      <c r="C78" s="466" t="s">
        <v>2068</v>
      </c>
      <c r="D78" s="466" t="s">
        <v>2069</v>
      </c>
      <c r="E78" s="466" t="s">
        <v>2070</v>
      </c>
      <c r="F78" s="466" t="s">
        <v>2071</v>
      </c>
      <c r="G78" s="466" t="s">
        <v>2072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2034</v>
      </c>
      <c r="B88" s="413" t="s">
        <v>2083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2164</v>
      </c>
      <c r="C106" s="466" t="s">
        <v>2068</v>
      </c>
      <c r="D106" s="466" t="s">
        <v>2069</v>
      </c>
      <c r="E106" s="466" t="s">
        <v>2070</v>
      </c>
      <c r="F106" s="466" t="s">
        <v>2071</v>
      </c>
      <c r="G106" s="466" t="s">
        <v>2072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51"/>
      <c r="E1" s="1487"/>
      <c r="F1" s="1152" t="s">
        <v>2003</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2004</v>
      </c>
      <c r="D3" s="292">
        <f>IF(C1="仅计算典型户型",'数据-取费表'!E5,'数据-取费表'!B5)</f>
        <v>182.31</v>
      </c>
      <c r="E3" s="797" t="s">
        <v>2166</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54" t="s">
        <v>2006</v>
      </c>
      <c r="D4" s="3655"/>
      <c r="E4" s="3656" t="s">
        <v>2007</v>
      </c>
      <c r="F4" s="3657"/>
      <c r="G4" s="3654" t="s">
        <v>2008</v>
      </c>
      <c r="H4" s="3655"/>
      <c r="I4" s="3654" t="s">
        <v>2009</v>
      </c>
      <c r="J4" s="3655"/>
      <c r="K4" s="496" t="s">
        <v>2010</v>
      </c>
      <c r="L4" s="2943"/>
      <c r="M4" s="2944"/>
      <c r="N4" s="2944"/>
      <c r="O4" s="2944"/>
      <c r="P4" s="3658" t="s">
        <v>2011</v>
      </c>
      <c r="Q4" s="3659"/>
      <c r="R4" s="3664" t="s">
        <v>2007</v>
      </c>
      <c r="S4" s="3665"/>
      <c r="T4" s="3664" t="s">
        <v>2008</v>
      </c>
      <c r="U4" s="3665"/>
      <c r="V4" s="3670" t="s">
        <v>2009</v>
      </c>
      <c r="W4" s="3670"/>
      <c r="X4" s="1263"/>
      <c r="Y4" s="3664" t="s">
        <v>2011</v>
      </c>
      <c r="Z4" s="3665"/>
      <c r="AA4" s="3651" t="s">
        <v>2007</v>
      </c>
      <c r="AB4" s="3652" t="s">
        <v>2008</v>
      </c>
      <c r="AC4" s="3651" t="s">
        <v>2009</v>
      </c>
    </row>
    <row r="5" spans="1:29" ht="15">
      <c r="A5" s="297"/>
      <c r="B5" s="298"/>
      <c r="C5" s="3647" t="s">
        <v>2012</v>
      </c>
      <c r="D5" s="3648"/>
      <c r="E5" s="3671" t="s">
        <v>2013</v>
      </c>
      <c r="F5" s="3672"/>
      <c r="G5" s="3647" t="s">
        <v>2014</v>
      </c>
      <c r="H5" s="3648"/>
      <c r="I5" s="3647" t="s">
        <v>2015</v>
      </c>
      <c r="J5" s="3648"/>
      <c r="K5" s="496"/>
      <c r="L5" s="2943"/>
      <c r="M5" s="2944"/>
      <c r="N5" s="2944"/>
      <c r="O5" s="2944"/>
      <c r="P5" s="3660"/>
      <c r="Q5" s="3661"/>
      <c r="R5" s="3666"/>
      <c r="S5" s="3667"/>
      <c r="T5" s="3666"/>
      <c r="U5" s="3667"/>
      <c r="V5" s="3670"/>
      <c r="W5" s="3670"/>
      <c r="X5" s="1263"/>
      <c r="Y5" s="3666"/>
      <c r="Z5" s="3667"/>
      <c r="AA5" s="3652"/>
      <c r="AB5" s="3652"/>
      <c r="AC5" s="3652"/>
    </row>
    <row r="6" spans="1:29" ht="15.75" thickBot="1">
      <c r="A6" s="299"/>
      <c r="B6" s="300"/>
      <c r="C6" s="3644" t="s">
        <v>2016</v>
      </c>
      <c r="D6" s="3645"/>
      <c r="E6" s="3642" t="s">
        <v>2016</v>
      </c>
      <c r="F6" s="3643"/>
      <c r="G6" s="3644" t="s">
        <v>2016</v>
      </c>
      <c r="H6" s="3645"/>
      <c r="I6" s="3644" t="s">
        <v>2016</v>
      </c>
      <c r="J6" s="3645"/>
      <c r="K6" s="496" t="s">
        <v>2017</v>
      </c>
      <c r="L6" s="2943"/>
      <c r="M6" s="2944"/>
      <c r="N6" s="2944"/>
      <c r="O6" s="2944"/>
      <c r="P6" s="3662"/>
      <c r="Q6" s="3663"/>
      <c r="R6" s="3666"/>
      <c r="S6" s="3667"/>
      <c r="T6" s="3668"/>
      <c r="U6" s="3669"/>
      <c r="V6" s="3670"/>
      <c r="W6" s="3670"/>
      <c r="X6" s="1263"/>
      <c r="Y6" s="3668"/>
      <c r="Z6" s="3669"/>
      <c r="AA6" s="3653"/>
      <c r="AB6" s="3653"/>
      <c r="AC6" s="3653"/>
    </row>
    <row r="7" spans="1:29" s="25" customFormat="1" ht="15.75" thickBot="1">
      <c r="A7" s="301" t="s">
        <v>2018</v>
      </c>
      <c r="B7" s="302"/>
      <c r="C7" s="303">
        <f>'数据-取费表'!B2</f>
        <v>44763</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9" t="s">
        <v>2019</v>
      </c>
      <c r="Q7" s="3673"/>
      <c r="R7" s="627" t="s">
        <v>25</v>
      </c>
      <c r="S7" s="628">
        <f t="shared" ref="S7:S14" si="0">F7</f>
        <v>0</v>
      </c>
      <c r="T7" s="627" t="s">
        <v>25</v>
      </c>
      <c r="U7" s="628">
        <f t="shared" ref="U7:U14" si="1">H7</f>
        <v>0</v>
      </c>
      <c r="V7" s="627" t="s">
        <v>25</v>
      </c>
      <c r="W7" s="628">
        <f t="shared" ref="W7:W14" si="2">J7</f>
        <v>0</v>
      </c>
      <c r="X7" s="629"/>
      <c r="Y7" s="3649" t="s">
        <v>2019</v>
      </c>
      <c r="Z7" s="3650"/>
      <c r="AA7" s="630" t="e">
        <f>D7/F7</f>
        <v>#DIV/0!</v>
      </c>
      <c r="AB7" s="630" t="e">
        <f>D7/H7</f>
        <v>#DIV/0!</v>
      </c>
      <c r="AC7" s="630" t="e">
        <f>D7/J7</f>
        <v>#DIV/0!</v>
      </c>
    </row>
    <row r="8" spans="1:29" s="25" customFormat="1" ht="15.75" thickBot="1">
      <c r="A8" s="301" t="s">
        <v>2020</v>
      </c>
      <c r="B8" s="302"/>
      <c r="C8" s="307" t="s">
        <v>2021</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9" t="s">
        <v>2022</v>
      </c>
      <c r="Q8" s="3650"/>
      <c r="R8" s="627" t="s">
        <v>25</v>
      </c>
      <c r="S8" s="628">
        <f t="shared" si="0"/>
        <v>0</v>
      </c>
      <c r="T8" s="627" t="s">
        <v>25</v>
      </c>
      <c r="U8" s="628">
        <f t="shared" si="1"/>
        <v>0</v>
      </c>
      <c r="V8" s="627" t="s">
        <v>25</v>
      </c>
      <c r="W8" s="628">
        <f t="shared" si="2"/>
        <v>0</v>
      </c>
      <c r="X8" s="629"/>
      <c r="Y8" s="3649" t="s">
        <v>2022</v>
      </c>
      <c r="Z8" s="3650"/>
      <c r="AA8" s="630" t="e">
        <f t="shared" ref="AA8:AA36" si="3">D8/F8</f>
        <v>#DIV/0!</v>
      </c>
      <c r="AB8" s="630" t="e">
        <f t="shared" ref="AB8:AB36" si="4">D8/H8</f>
        <v>#DIV/0!</v>
      </c>
      <c r="AC8" s="630" t="e">
        <f t="shared" ref="AC8:AC36" si="5">D8/J8</f>
        <v>#DIV/0!</v>
      </c>
    </row>
    <row r="9" spans="1:29" s="25" customFormat="1">
      <c r="A9" s="21" t="s">
        <v>2023</v>
      </c>
      <c r="B9" s="522" t="s">
        <v>2024</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6" t="s">
        <v>2025</v>
      </c>
      <c r="Q9" s="1255" t="str">
        <f t="shared" ref="Q9:Q14" si="6">B9</f>
        <v>用途</v>
      </c>
      <c r="R9" s="627" t="s">
        <v>25</v>
      </c>
      <c r="S9" s="628">
        <f t="shared" si="0"/>
        <v>100</v>
      </c>
      <c r="T9" s="627" t="s">
        <v>25</v>
      </c>
      <c r="U9" s="628">
        <f t="shared" si="1"/>
        <v>100</v>
      </c>
      <c r="V9" s="627" t="s">
        <v>25</v>
      </c>
      <c r="W9" s="628">
        <f t="shared" si="2"/>
        <v>100</v>
      </c>
      <c r="X9" s="629"/>
      <c r="Y9" s="3676" t="s">
        <v>2026</v>
      </c>
      <c r="Z9" s="19" t="str">
        <f t="shared" ref="Z9:Z14" si="7">Q9</f>
        <v>用途</v>
      </c>
      <c r="AA9" s="630">
        <f t="shared" si="3"/>
        <v>1</v>
      </c>
      <c r="AB9" s="630">
        <f t="shared" si="4"/>
        <v>1</v>
      </c>
      <c r="AC9" s="630">
        <f t="shared" si="5"/>
        <v>1</v>
      </c>
    </row>
    <row r="10" spans="1:29" s="317" customFormat="1" ht="27">
      <c r="A10" s="523"/>
      <c r="B10" s="524" t="s">
        <v>2027</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6"/>
      <c r="Q10" s="1255" t="str">
        <f t="shared" si="6"/>
        <v>土地使用年限（年）</v>
      </c>
      <c r="R10" s="627" t="s">
        <v>25</v>
      </c>
      <c r="S10" s="628">
        <f t="shared" si="0"/>
        <v>100</v>
      </c>
      <c r="T10" s="627" t="s">
        <v>25</v>
      </c>
      <c r="U10" s="628">
        <f t="shared" si="1"/>
        <v>100</v>
      </c>
      <c r="V10" s="627" t="s">
        <v>25</v>
      </c>
      <c r="W10" s="628">
        <f t="shared" si="2"/>
        <v>100</v>
      </c>
      <c r="X10" s="629"/>
      <c r="Y10" s="367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6"/>
      <c r="Q11" s="1255">
        <f t="shared" si="6"/>
        <v>111</v>
      </c>
      <c r="R11" s="627" t="s">
        <v>25</v>
      </c>
      <c r="S11" s="628">
        <f t="shared" si="0"/>
        <v>100</v>
      </c>
      <c r="T11" s="627" t="s">
        <v>25</v>
      </c>
      <c r="U11" s="628">
        <f t="shared" si="1"/>
        <v>100</v>
      </c>
      <c r="V11" s="627" t="s">
        <v>25</v>
      </c>
      <c r="W11" s="628">
        <f t="shared" si="2"/>
        <v>100</v>
      </c>
      <c r="X11" s="629"/>
      <c r="Y11" s="367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6"/>
      <c r="Q12" s="1255">
        <f t="shared" si="6"/>
        <v>111</v>
      </c>
      <c r="R12" s="627" t="s">
        <v>25</v>
      </c>
      <c r="S12" s="628">
        <f t="shared" si="0"/>
        <v>100</v>
      </c>
      <c r="T12" s="627" t="s">
        <v>25</v>
      </c>
      <c r="U12" s="628">
        <f t="shared" si="1"/>
        <v>100</v>
      </c>
      <c r="V12" s="627" t="s">
        <v>25</v>
      </c>
      <c r="W12" s="628">
        <f t="shared" si="2"/>
        <v>100</v>
      </c>
      <c r="X12" s="629"/>
      <c r="Y12" s="367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6"/>
      <c r="Q13" s="1255">
        <f t="shared" si="6"/>
        <v>111</v>
      </c>
      <c r="R13" s="627" t="s">
        <v>25</v>
      </c>
      <c r="S13" s="628">
        <f t="shared" si="0"/>
        <v>100</v>
      </c>
      <c r="T13" s="627" t="s">
        <v>25</v>
      </c>
      <c r="U13" s="628">
        <f t="shared" si="1"/>
        <v>100</v>
      </c>
      <c r="V13" s="627" t="s">
        <v>25</v>
      </c>
      <c r="W13" s="628">
        <f t="shared" si="2"/>
        <v>100</v>
      </c>
      <c r="X13" s="629"/>
      <c r="Y13" s="3676"/>
      <c r="Z13" s="19">
        <f t="shared" si="7"/>
        <v>111</v>
      </c>
      <c r="AA13" s="630">
        <f t="shared" si="3"/>
        <v>1</v>
      </c>
      <c r="AB13" s="630">
        <f t="shared" si="4"/>
        <v>1</v>
      </c>
      <c r="AC13" s="630">
        <f t="shared" si="5"/>
        <v>1</v>
      </c>
    </row>
    <row r="14" spans="1:29" ht="15">
      <c r="A14" s="294" t="s">
        <v>2029</v>
      </c>
      <c r="B14" s="511" t="s">
        <v>2167</v>
      </c>
      <c r="C14" s="1072" t="str">
        <f>IF(B1="工业",估价对象房地状况!G4,估价对象房地状况!C6)</f>
        <v>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74" t="s">
        <v>2030</v>
      </c>
      <c r="Q14" s="1262" t="str">
        <f t="shared" si="6"/>
        <v>交通便捷度</v>
      </c>
      <c r="R14" s="631" t="s">
        <v>25</v>
      </c>
      <c r="S14" s="632">
        <f t="shared" si="0"/>
        <v>100</v>
      </c>
      <c r="T14" s="631" t="s">
        <v>25</v>
      </c>
      <c r="U14" s="632">
        <f t="shared" si="1"/>
        <v>100</v>
      </c>
      <c r="V14" s="631" t="s">
        <v>25</v>
      </c>
      <c r="W14" s="632">
        <f t="shared" si="2"/>
        <v>100</v>
      </c>
      <c r="X14" s="1263"/>
      <c r="Y14" s="3674" t="s">
        <v>2030</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75"/>
      <c r="Q15" s="1262"/>
      <c r="R15" s="631"/>
      <c r="S15" s="632"/>
      <c r="T15" s="631"/>
      <c r="U15" s="632"/>
      <c r="V15" s="631"/>
      <c r="W15" s="632"/>
      <c r="X15" s="1263"/>
      <c r="Y15" s="3675"/>
      <c r="Z15" s="1264"/>
      <c r="AA15" s="1265">
        <v>1</v>
      </c>
      <c r="AB15" s="1265">
        <v>1</v>
      </c>
      <c r="AC15" s="1265">
        <v>1</v>
      </c>
    </row>
    <row r="16" spans="1:29" ht="15">
      <c r="A16" s="297"/>
      <c r="B16" s="513" t="s">
        <v>2145</v>
      </c>
      <c r="C16" s="1074" t="str">
        <f>IF(B1="工业",估价对象房地状况!G5,估价对象房地状况!C7)</f>
        <v>较好</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75"/>
      <c r="Q16" s="1262" t="str">
        <f>B16</f>
        <v>公共配套设施</v>
      </c>
      <c r="R16" s="631" t="s">
        <v>25</v>
      </c>
      <c r="S16" s="632">
        <f>F16</f>
        <v>100</v>
      </c>
      <c r="T16" s="631" t="s">
        <v>25</v>
      </c>
      <c r="U16" s="632">
        <f>H16</f>
        <v>100</v>
      </c>
      <c r="V16" s="631" t="s">
        <v>25</v>
      </c>
      <c r="W16" s="632">
        <f>J16</f>
        <v>100</v>
      </c>
      <c r="X16" s="1263"/>
      <c r="Y16" s="3675"/>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75"/>
      <c r="Q17" s="1262"/>
      <c r="R17" s="631"/>
      <c r="S17" s="632"/>
      <c r="T17" s="631"/>
      <c r="U17" s="632"/>
      <c r="V17" s="631"/>
      <c r="W17" s="632"/>
      <c r="X17" s="1263"/>
      <c r="Y17" s="3675"/>
      <c r="Z17" s="1264"/>
      <c r="AA17" s="1265">
        <v>1</v>
      </c>
      <c r="AB17" s="1265">
        <v>1</v>
      </c>
      <c r="AC17" s="1265">
        <v>1</v>
      </c>
    </row>
    <row r="18" spans="1:29" ht="15">
      <c r="A18" s="297"/>
      <c r="B18" s="515" t="s">
        <v>2146</v>
      </c>
      <c r="C18" s="1074" t="str">
        <f>IF(B1="工业",估价对象房地状况!G6,估价对象房地状况!C8)</f>
        <v>七通</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75"/>
      <c r="Q18" s="1262" t="str">
        <f>B18</f>
        <v>基础设施水平</v>
      </c>
      <c r="R18" s="631" t="s">
        <v>25</v>
      </c>
      <c r="S18" s="632">
        <f>F18</f>
        <v>100</v>
      </c>
      <c r="T18" s="631" t="s">
        <v>25</v>
      </c>
      <c r="U18" s="632">
        <f>H18</f>
        <v>100</v>
      </c>
      <c r="V18" s="631" t="s">
        <v>25</v>
      </c>
      <c r="W18" s="632">
        <f>J18</f>
        <v>100</v>
      </c>
      <c r="X18" s="1263"/>
      <c r="Y18" s="3675"/>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75"/>
      <c r="Q19" s="1262"/>
      <c r="R19" s="631"/>
      <c r="S19" s="632"/>
      <c r="T19" s="631"/>
      <c r="U19" s="632"/>
      <c r="V19" s="631"/>
      <c r="W19" s="632"/>
      <c r="X19" s="1263"/>
      <c r="Y19" s="3675"/>
      <c r="Z19" s="1264"/>
      <c r="AA19" s="1265">
        <v>1</v>
      </c>
      <c r="AB19" s="1265">
        <v>1</v>
      </c>
      <c r="AC19" s="1265">
        <v>1</v>
      </c>
    </row>
    <row r="20" spans="1:29" ht="15">
      <c r="A20" s="297"/>
      <c r="B20" s="513" t="s">
        <v>2168</v>
      </c>
      <c r="C20" s="1074" t="str">
        <f>IF(B1="工业",估价对象房地状况!G7,估价对象房地状况!C9)</f>
        <v>较好</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75"/>
      <c r="Q20" s="1262" t="str">
        <f>B20</f>
        <v>自然及人文环境</v>
      </c>
      <c r="R20" s="631" t="s">
        <v>25</v>
      </c>
      <c r="S20" s="632">
        <f>F20</f>
        <v>100</v>
      </c>
      <c r="T20" s="631" t="s">
        <v>25</v>
      </c>
      <c r="U20" s="632">
        <f>H20</f>
        <v>100</v>
      </c>
      <c r="V20" s="631" t="s">
        <v>25</v>
      </c>
      <c r="W20" s="632">
        <f>J20</f>
        <v>100</v>
      </c>
      <c r="X20" s="1263"/>
      <c r="Y20" s="3675"/>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75"/>
      <c r="Q21" s="1262"/>
      <c r="R21" s="631"/>
      <c r="S21" s="632"/>
      <c r="T21" s="631"/>
      <c r="U21" s="632"/>
      <c r="V21" s="631"/>
      <c r="W21" s="632"/>
      <c r="X21" s="1263"/>
      <c r="Y21" s="3675"/>
      <c r="Z21" s="1264"/>
      <c r="AA21" s="1265">
        <v>1</v>
      </c>
      <c r="AB21" s="1265">
        <v>1</v>
      </c>
      <c r="AC21" s="1265">
        <v>1</v>
      </c>
    </row>
    <row r="22" spans="1:29" ht="15">
      <c r="A22" s="297"/>
      <c r="B22" s="513" t="s">
        <v>2169</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75"/>
      <c r="Q22" s="1262" t="str">
        <f>B22</f>
        <v>楼层</v>
      </c>
      <c r="R22" s="631" t="s">
        <v>25</v>
      </c>
      <c r="S22" s="632">
        <f>F22</f>
        <v>100</v>
      </c>
      <c r="T22" s="631" t="s">
        <v>25</v>
      </c>
      <c r="U22" s="632">
        <f>H22</f>
        <v>100</v>
      </c>
      <c r="V22" s="631" t="s">
        <v>25</v>
      </c>
      <c r="W22" s="632">
        <f>J22</f>
        <v>100</v>
      </c>
      <c r="X22" s="1263"/>
      <c r="Y22" s="3675"/>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75"/>
      <c r="Q23" s="1262">
        <f>B23</f>
        <v>111</v>
      </c>
      <c r="R23" s="631" t="s">
        <v>25</v>
      </c>
      <c r="S23" s="632">
        <f>F23</f>
        <v>100</v>
      </c>
      <c r="T23" s="631" t="s">
        <v>25</v>
      </c>
      <c r="U23" s="632">
        <f>H23</f>
        <v>100</v>
      </c>
      <c r="V23" s="631" t="s">
        <v>25</v>
      </c>
      <c r="W23" s="632">
        <f>J23</f>
        <v>100</v>
      </c>
      <c r="X23" s="1263"/>
      <c r="Y23" s="3675"/>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75"/>
      <c r="Q24" s="1262">
        <f t="shared" ref="Q24:Q36" si="11">B24</f>
        <v>111</v>
      </c>
      <c r="R24" s="631" t="s">
        <v>25</v>
      </c>
      <c r="S24" s="632">
        <f>F24</f>
        <v>100</v>
      </c>
      <c r="T24" s="631" t="s">
        <v>25</v>
      </c>
      <c r="U24" s="632">
        <f>H24</f>
        <v>100</v>
      </c>
      <c r="V24" s="631" t="s">
        <v>25</v>
      </c>
      <c r="W24" s="632">
        <f>J24</f>
        <v>100</v>
      </c>
      <c r="X24" s="1263"/>
      <c r="Y24" s="3675"/>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75"/>
      <c r="Q25" s="1255">
        <f t="shared" si="11"/>
        <v>111</v>
      </c>
      <c r="R25" s="627" t="s">
        <v>25</v>
      </c>
      <c r="S25" s="628">
        <f>F25</f>
        <v>100</v>
      </c>
      <c r="T25" s="627" t="s">
        <v>25</v>
      </c>
      <c r="U25" s="628">
        <f>H25</f>
        <v>100</v>
      </c>
      <c r="V25" s="627" t="s">
        <v>25</v>
      </c>
      <c r="W25" s="628">
        <f>J25</f>
        <v>100</v>
      </c>
      <c r="X25" s="629"/>
      <c r="Y25" s="3675"/>
      <c r="Z25" s="19">
        <f>Q25</f>
        <v>111</v>
      </c>
      <c r="AA25" s="1265">
        <f>D25/F25</f>
        <v>1</v>
      </c>
      <c r="AB25" s="1265">
        <f>D25/H25</f>
        <v>1</v>
      </c>
      <c r="AC25" s="1265">
        <f>D25/J25</f>
        <v>1</v>
      </c>
    </row>
    <row r="26" spans="1:29" ht="28.5">
      <c r="A26" s="533" t="s">
        <v>2034</v>
      </c>
      <c r="B26" s="23" t="s">
        <v>2170</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77" t="s">
        <v>2036</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8" t="s">
        <v>2036</v>
      </c>
      <c r="Z26" s="1264" t="str">
        <f t="shared" ref="Z26:Z36" si="15">Q26</f>
        <v>配套类型</v>
      </c>
      <c r="AA26" s="1265">
        <f t="shared" si="3"/>
        <v>1</v>
      </c>
      <c r="AB26" s="1265">
        <f t="shared" si="4"/>
        <v>1</v>
      </c>
      <c r="AC26" s="1265">
        <f t="shared" si="5"/>
        <v>1</v>
      </c>
    </row>
    <row r="27" spans="1:29" s="359" customFormat="1" ht="15">
      <c r="A27" s="534"/>
      <c r="B27" s="535" t="s">
        <v>2171</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78"/>
      <c r="Q27" s="633" t="str">
        <f t="shared" si="11"/>
        <v>项目停车位配比</v>
      </c>
      <c r="R27" s="634" t="s">
        <v>25</v>
      </c>
      <c r="S27" s="635">
        <f t="shared" si="12"/>
        <v>100</v>
      </c>
      <c r="T27" s="634" t="s">
        <v>25</v>
      </c>
      <c r="U27" s="635">
        <f t="shared" si="13"/>
        <v>100</v>
      </c>
      <c r="V27" s="634" t="s">
        <v>25</v>
      </c>
      <c r="W27" s="635">
        <f t="shared" si="14"/>
        <v>100</v>
      </c>
      <c r="X27" s="636"/>
      <c r="Y27" s="3678"/>
      <c r="Z27" s="637" t="str">
        <f t="shared" si="15"/>
        <v>项目停车位配比</v>
      </c>
      <c r="AA27" s="1265">
        <f t="shared" si="3"/>
        <v>1</v>
      </c>
      <c r="AB27" s="1265">
        <f t="shared" si="4"/>
        <v>1</v>
      </c>
      <c r="AC27" s="1265">
        <f t="shared" si="5"/>
        <v>1</v>
      </c>
    </row>
    <row r="28" spans="1:29" ht="15">
      <c r="A28" s="537"/>
      <c r="B28" s="535" t="s">
        <v>2172</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78"/>
      <c r="Q28" s="1262" t="str">
        <f t="shared" si="11"/>
        <v>公共部分装修</v>
      </c>
      <c r="R28" s="631" t="s">
        <v>25</v>
      </c>
      <c r="S28" s="632">
        <f t="shared" si="12"/>
        <v>100</v>
      </c>
      <c r="T28" s="631" t="s">
        <v>25</v>
      </c>
      <c r="U28" s="632">
        <f t="shared" si="13"/>
        <v>100</v>
      </c>
      <c r="V28" s="631" t="s">
        <v>25</v>
      </c>
      <c r="W28" s="632">
        <f t="shared" si="14"/>
        <v>100</v>
      </c>
      <c r="X28" s="1263"/>
      <c r="Y28" s="3678"/>
      <c r="Z28" s="1264" t="str">
        <f t="shared" si="15"/>
        <v>公共部分装修</v>
      </c>
      <c r="AA28" s="1265">
        <f t="shared" si="3"/>
        <v>1</v>
      </c>
      <c r="AB28" s="1265">
        <f t="shared" si="4"/>
        <v>1</v>
      </c>
      <c r="AC28" s="1265">
        <f t="shared" si="5"/>
        <v>1</v>
      </c>
    </row>
    <row r="29" spans="1:29" ht="15">
      <c r="A29" s="537"/>
      <c r="B29" s="535" t="s">
        <v>2173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78"/>
      <c r="Q29" s="1262" t="str">
        <f t="shared" si="11"/>
        <v>成新率</v>
      </c>
      <c r="R29" s="631" t="s">
        <v>25</v>
      </c>
      <c r="S29" s="632" t="e">
        <f t="shared" si="12"/>
        <v>#N/A</v>
      </c>
      <c r="T29" s="631" t="s">
        <v>25</v>
      </c>
      <c r="U29" s="632" t="e">
        <f t="shared" si="13"/>
        <v>#N/A</v>
      </c>
      <c r="V29" s="631" t="s">
        <v>25</v>
      </c>
      <c r="W29" s="632" t="e">
        <f t="shared" si="14"/>
        <v>#N/A</v>
      </c>
      <c r="X29" s="1263"/>
      <c r="Y29" s="3678"/>
      <c r="Z29" s="1264" t="str">
        <f t="shared" si="15"/>
        <v>成新率</v>
      </c>
      <c r="AA29" s="1265" t="e">
        <f t="shared" si="3"/>
        <v>#N/A</v>
      </c>
      <c r="AB29" s="1265" t="e">
        <f t="shared" si="4"/>
        <v>#N/A</v>
      </c>
      <c r="AC29" s="1265" t="e">
        <f t="shared" si="5"/>
        <v>#N/A</v>
      </c>
    </row>
    <row r="30" spans="1:29" ht="15">
      <c r="A30" s="537"/>
      <c r="B30" s="535" t="s">
        <v>2174</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78"/>
      <c r="Q30" s="1262" t="str">
        <f t="shared" si="11"/>
        <v>物业等级</v>
      </c>
      <c r="R30" s="631" t="s">
        <v>25</v>
      </c>
      <c r="S30" s="632">
        <f t="shared" si="12"/>
        <v>100</v>
      </c>
      <c r="T30" s="631" t="s">
        <v>25</v>
      </c>
      <c r="U30" s="632">
        <f t="shared" si="13"/>
        <v>100</v>
      </c>
      <c r="V30" s="631" t="s">
        <v>25</v>
      </c>
      <c r="W30" s="632">
        <f t="shared" si="14"/>
        <v>100</v>
      </c>
      <c r="X30" s="1263"/>
      <c r="Y30" s="3678"/>
      <c r="Z30" s="1264" t="str">
        <f t="shared" si="15"/>
        <v>物业等级</v>
      </c>
      <c r="AA30" s="1265">
        <f t="shared" si="3"/>
        <v>1</v>
      </c>
      <c r="AB30" s="1265">
        <f t="shared" si="4"/>
        <v>1</v>
      </c>
      <c r="AC30" s="1265">
        <f t="shared" si="5"/>
        <v>1</v>
      </c>
    </row>
    <row r="31" spans="1:29" s="25" customFormat="1" ht="15">
      <c r="A31" s="539"/>
      <c r="B31" s="535" t="s">
        <v>2175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78"/>
      <c r="Q31" s="1255" t="str">
        <f t="shared" si="11"/>
        <v>停车位面积</v>
      </c>
      <c r="R31" s="627" t="s">
        <v>25</v>
      </c>
      <c r="S31" s="628" t="e">
        <f t="shared" si="12"/>
        <v>#N/A</v>
      </c>
      <c r="T31" s="627" t="s">
        <v>25</v>
      </c>
      <c r="U31" s="628" t="e">
        <f t="shared" si="13"/>
        <v>#N/A</v>
      </c>
      <c r="V31" s="627" t="s">
        <v>25</v>
      </c>
      <c r="W31" s="628" t="e">
        <f t="shared" si="14"/>
        <v>#N/A</v>
      </c>
      <c r="X31" s="629"/>
      <c r="Y31" s="3678"/>
      <c r="Z31" s="19" t="str">
        <f t="shared" si="15"/>
        <v>停车位面积</v>
      </c>
      <c r="AA31" s="630" t="e">
        <f t="shared" si="3"/>
        <v>#N/A</v>
      </c>
      <c r="AB31" s="630" t="e">
        <f t="shared" si="4"/>
        <v>#N/A</v>
      </c>
      <c r="AC31" s="630" t="e">
        <f t="shared" si="5"/>
        <v>#N/A</v>
      </c>
    </row>
    <row r="32" spans="1:29" ht="15">
      <c r="A32" s="537"/>
      <c r="B32" s="535" t="s">
        <v>2176</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78" t="s">
        <v>2036</v>
      </c>
      <c r="Q32" s="1262" t="str">
        <f t="shared" si="11"/>
        <v>车位类型</v>
      </c>
      <c r="R32" s="631" t="s">
        <v>25</v>
      </c>
      <c r="S32" s="632">
        <f t="shared" si="12"/>
        <v>100</v>
      </c>
      <c r="T32" s="631" t="s">
        <v>25</v>
      </c>
      <c r="U32" s="632">
        <f t="shared" si="13"/>
        <v>100</v>
      </c>
      <c r="V32" s="631" t="s">
        <v>25</v>
      </c>
      <c r="W32" s="632">
        <f t="shared" si="14"/>
        <v>100</v>
      </c>
      <c r="X32" s="1263"/>
      <c r="Y32" s="3678" t="s">
        <v>2036</v>
      </c>
      <c r="Z32" s="1264" t="str">
        <f t="shared" si="15"/>
        <v>车位类型</v>
      </c>
      <c r="AA32" s="1265">
        <f t="shared" si="3"/>
        <v>1</v>
      </c>
      <c r="AB32" s="1265">
        <f t="shared" si="4"/>
        <v>1</v>
      </c>
      <c r="AC32" s="1265">
        <f t="shared" si="5"/>
        <v>1</v>
      </c>
    </row>
    <row r="33" spans="1:29" ht="15">
      <c r="A33" s="537"/>
      <c r="B33" s="535" t="s">
        <v>2177</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78"/>
      <c r="Q33" s="1262" t="str">
        <f t="shared" si="11"/>
        <v>是否直接入户</v>
      </c>
      <c r="R33" s="631" t="s">
        <v>25</v>
      </c>
      <c r="S33" s="632">
        <f t="shared" si="12"/>
        <v>100</v>
      </c>
      <c r="T33" s="631" t="s">
        <v>25</v>
      </c>
      <c r="U33" s="632">
        <f t="shared" si="13"/>
        <v>100</v>
      </c>
      <c r="V33" s="631" t="s">
        <v>25</v>
      </c>
      <c r="W33" s="632">
        <f t="shared" si="14"/>
        <v>100</v>
      </c>
      <c r="X33" s="1263"/>
      <c r="Y33" s="3678"/>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78"/>
      <c r="Q34" s="1262">
        <f t="shared" si="11"/>
        <v>111</v>
      </c>
      <c r="R34" s="631" t="s">
        <v>25</v>
      </c>
      <c r="S34" s="632">
        <f t="shared" si="12"/>
        <v>100</v>
      </c>
      <c r="T34" s="631" t="s">
        <v>25</v>
      </c>
      <c r="U34" s="632">
        <f t="shared" si="13"/>
        <v>100</v>
      </c>
      <c r="V34" s="631" t="s">
        <v>25</v>
      </c>
      <c r="W34" s="632">
        <f t="shared" si="14"/>
        <v>100</v>
      </c>
      <c r="X34" s="1263"/>
      <c r="Y34" s="3678"/>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78"/>
      <c r="Q35" s="633">
        <f t="shared" si="11"/>
        <v>111</v>
      </c>
      <c r="R35" s="634" t="s">
        <v>25</v>
      </c>
      <c r="S35" s="635">
        <f t="shared" si="12"/>
        <v>100</v>
      </c>
      <c r="T35" s="634" t="s">
        <v>25</v>
      </c>
      <c r="U35" s="635">
        <f t="shared" si="13"/>
        <v>100</v>
      </c>
      <c r="V35" s="634" t="s">
        <v>25</v>
      </c>
      <c r="W35" s="635">
        <f t="shared" si="14"/>
        <v>100</v>
      </c>
      <c r="X35" s="636"/>
      <c r="Y35" s="3678"/>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78"/>
      <c r="Q36" s="1262">
        <f t="shared" si="11"/>
        <v>111</v>
      </c>
      <c r="R36" s="631" t="s">
        <v>25</v>
      </c>
      <c r="S36" s="632">
        <f t="shared" si="12"/>
        <v>100</v>
      </c>
      <c r="T36" s="631" t="s">
        <v>25</v>
      </c>
      <c r="U36" s="632">
        <f t="shared" si="13"/>
        <v>100</v>
      </c>
      <c r="V36" s="631" t="s">
        <v>25</v>
      </c>
      <c r="W36" s="632">
        <f t="shared" si="14"/>
        <v>100</v>
      </c>
      <c r="X36" s="1263"/>
      <c r="Y36" s="3678"/>
      <c r="Z36" s="1264">
        <f t="shared" si="15"/>
        <v>111</v>
      </c>
      <c r="AA36" s="1265">
        <f t="shared" si="3"/>
        <v>1</v>
      </c>
      <c r="AB36" s="1265">
        <f t="shared" si="4"/>
        <v>1</v>
      </c>
      <c r="AC36" s="1265">
        <f t="shared" si="5"/>
        <v>1</v>
      </c>
    </row>
    <row r="37" spans="1:29" ht="15">
      <c r="A37" s="367" t="s">
        <v>2178</v>
      </c>
      <c r="B37" s="798" t="s">
        <v>2179</v>
      </c>
      <c r="C37" s="1082" t="s">
        <v>1</v>
      </c>
      <c r="D37" s="1083"/>
      <c r="E37" s="1084"/>
      <c r="F37" s="1085"/>
      <c r="G37" s="1086"/>
      <c r="H37" s="1087"/>
      <c r="I37" s="1084"/>
      <c r="J37" s="1087"/>
      <c r="K37" s="503"/>
      <c r="L37" s="2955"/>
      <c r="N37" s="2944"/>
      <c r="P37" s="3646" t="str">
        <f>A37</f>
        <v>成交单价</v>
      </c>
      <c r="Q37" s="3646"/>
      <c r="R37" s="3680">
        <f>E37</f>
        <v>0</v>
      </c>
      <c r="S37" s="3680"/>
      <c r="T37" s="3680">
        <f>G37</f>
        <v>0</v>
      </c>
      <c r="U37" s="3680"/>
      <c r="V37" s="3680">
        <f>I37</f>
        <v>0</v>
      </c>
      <c r="W37" s="3680"/>
      <c r="X37" s="618"/>
      <c r="Y37" s="638"/>
      <c r="Z37" s="618"/>
      <c r="AA37" s="618"/>
      <c r="AB37" s="618"/>
      <c r="AC37" s="618"/>
    </row>
    <row r="38" spans="1:29" ht="15.75" thickBot="1">
      <c r="A38" s="374" t="s">
        <v>2180</v>
      </c>
      <c r="B38" s="375" t="str">
        <f>B37</f>
        <v>元/平方米</v>
      </c>
      <c r="C38" s="1088" t="e">
        <f>R39</f>
        <v>#DIV/0!</v>
      </c>
      <c r="D38" s="1725" t="s">
        <v>2502</v>
      </c>
      <c r="E38" s="1089" t="e">
        <f>R38</f>
        <v>#DIV/0!</v>
      </c>
      <c r="F38" s="1727"/>
      <c r="G38" s="1088" t="e">
        <f>T38</f>
        <v>#DIV/0!</v>
      </c>
      <c r="H38" s="1727"/>
      <c r="I38" s="1089" t="e">
        <f>V38</f>
        <v>#DIV/0!</v>
      </c>
      <c r="J38" s="1727"/>
      <c r="K38" s="2429">
        <f>F38+H38+J38</f>
        <v>0</v>
      </c>
      <c r="L38" s="2955"/>
      <c r="P38" s="3646" t="str">
        <f>A38</f>
        <v>比较价值</v>
      </c>
      <c r="Q38" s="3646"/>
      <c r="R38" s="3680" t="e">
        <f>IF(E1="售价",ROUND(PRODUCT(R37,AA7:AA36),0),ROUND(PRODUCT(R37,AA7:AA36),1))</f>
        <v>#DIV/0!</v>
      </c>
      <c r="S38" s="3680"/>
      <c r="T38" s="3680" t="e">
        <f>IF(E1="售价",ROUND(PRODUCT(T37,AB7:AB36),0),ROUND(PRODUCT(T37,AB7:AB36),1))</f>
        <v>#DIV/0!</v>
      </c>
      <c r="U38" s="3680"/>
      <c r="V38" s="3680" t="e">
        <f>IF(E1="售价",ROUND(PRODUCT(V37,AC7:AC36),0),ROUND(PRODUCT(V37,AC7:AC36),1))</f>
        <v>#DIV/0!</v>
      </c>
      <c r="W38" s="3680"/>
      <c r="X38" s="618"/>
      <c r="Y38" s="618"/>
      <c r="Z38" s="618"/>
      <c r="AA38" s="618"/>
      <c r="AB38" s="618"/>
      <c r="AC38" s="618"/>
    </row>
    <row r="39" spans="1:29" ht="15.75" thickBot="1">
      <c r="A39" s="378" t="s">
        <v>2181</v>
      </c>
      <c r="B39" s="379"/>
      <c r="C39" s="1090" t="e">
        <f>R39</f>
        <v>#DIV/0!</v>
      </c>
      <c r="D39" s="1090"/>
      <c r="E39" s="1090"/>
      <c r="F39" s="1090"/>
      <c r="G39" s="1090"/>
      <c r="H39" s="1090"/>
      <c r="I39" s="1090"/>
      <c r="J39" s="1090"/>
      <c r="K39" s="504"/>
      <c r="L39" s="2955"/>
      <c r="P39" s="3681" t="str">
        <f>A39</f>
        <v>估价对象XX用房的比较价值（楼面单价，元/平方米）</v>
      </c>
      <c r="Q39" s="3682"/>
      <c r="R39" s="3683" t="e">
        <f>IF(E1="售价",ROUND(IF(D38="简单平均",AVERAGE(R38:W38),R38*F38+T38*H38+V38*J38),0),ROUND(IF(D38="简单平均",AVERAGE(R38:V38),R38*F38+T38*H38+V38*J38),1))</f>
        <v>#DIV/0!</v>
      </c>
      <c r="S39" s="3683"/>
      <c r="T39" s="3683"/>
      <c r="U39" s="3683"/>
      <c r="V39" s="3683"/>
      <c r="W39" s="3683"/>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2185</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2186</v>
      </c>
      <c r="B48" s="392"/>
      <c r="C48" s="1116" t="str">
        <f>YEAR(C7)&amp;"-"&amp;MONTH(C7)</f>
        <v>2022-7</v>
      </c>
      <c r="D48" s="1117">
        <f>EDATE(C48,-1)</f>
        <v>44713</v>
      </c>
      <c r="E48" s="1117">
        <f t="shared" ref="E48:O48" si="16">EDATE(D48,-1)</f>
        <v>44682</v>
      </c>
      <c r="F48" s="1117">
        <f t="shared" si="16"/>
        <v>44652</v>
      </c>
      <c r="G48" s="1117">
        <f t="shared" si="16"/>
        <v>44621</v>
      </c>
      <c r="H48" s="1117">
        <f t="shared" si="16"/>
        <v>44593</v>
      </c>
      <c r="I48" s="1117">
        <f t="shared" si="16"/>
        <v>44562</v>
      </c>
      <c r="J48" s="1117">
        <f t="shared" si="16"/>
        <v>44531</v>
      </c>
      <c r="K48" s="1117">
        <f t="shared" si="16"/>
        <v>44501</v>
      </c>
      <c r="L48" s="1117">
        <f t="shared" si="16"/>
        <v>44470</v>
      </c>
      <c r="M48" s="1117">
        <f t="shared" si="16"/>
        <v>44440</v>
      </c>
      <c r="N48" s="1117">
        <f t="shared" si="16"/>
        <v>44409</v>
      </c>
      <c r="O48" s="1117">
        <f t="shared" si="16"/>
        <v>44378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2056</v>
      </c>
      <c r="B50" s="401"/>
      <c r="C50" s="402"/>
      <c r="D50" s="403"/>
      <c r="E50" s="403"/>
      <c r="F50" s="403"/>
      <c r="G50" s="403"/>
      <c r="H50" s="403"/>
      <c r="I50" s="403"/>
      <c r="J50" s="403"/>
      <c r="K50" s="403"/>
      <c r="L50" s="403"/>
      <c r="M50" s="404"/>
      <c r="N50" s="403"/>
      <c r="O50" s="405"/>
      <c r="P50" s="390"/>
      <c r="Q50" s="390"/>
    </row>
    <row r="51" spans="1:17" s="25" customFormat="1" ht="15">
      <c r="A51" s="406" t="s">
        <v>2020</v>
      </c>
      <c r="B51" s="396"/>
      <c r="C51" s="407" t="s">
        <v>2021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2059</v>
      </c>
      <c r="B53" s="413" t="s">
        <v>2024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2027</v>
      </c>
      <c r="C55" s="426" t="s">
        <v>2060</v>
      </c>
      <c r="D55" s="426" t="s">
        <v>2061</v>
      </c>
      <c r="E55" s="426" t="s">
        <v>2062</v>
      </c>
      <c r="F55" s="426" t="s">
        <v>2063</v>
      </c>
      <c r="G55" s="426" t="s">
        <v>2064</v>
      </c>
      <c r="H55" s="426" t="s">
        <v>2065</v>
      </c>
      <c r="I55" s="426" t="s">
        <v>2066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2029</v>
      </c>
      <c r="B63" s="413" t="s">
        <v>2073</v>
      </c>
      <c r="C63" s="461" t="s">
        <v>2068</v>
      </c>
      <c r="D63" s="461" t="s">
        <v>2069</v>
      </c>
      <c r="E63" s="461" t="s">
        <v>2070</v>
      </c>
      <c r="F63" s="461" t="s">
        <v>2071</v>
      </c>
      <c r="G63" s="461" t="s">
        <v>2072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2074</v>
      </c>
      <c r="C65" s="466" t="s">
        <v>2068</v>
      </c>
      <c r="D65" s="466" t="s">
        <v>2069</v>
      </c>
      <c r="E65" s="466" t="s">
        <v>2070</v>
      </c>
      <c r="F65" s="466" t="s">
        <v>2071</v>
      </c>
      <c r="G65" s="466" t="s">
        <v>2072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2146</v>
      </c>
      <c r="C67" s="426" t="s">
        <v>2075</v>
      </c>
      <c r="D67" s="426" t="s">
        <v>2076</v>
      </c>
      <c r="E67" s="426" t="s">
        <v>2077</v>
      </c>
      <c r="F67" s="426" t="s">
        <v>2078</v>
      </c>
      <c r="G67" s="426" t="s">
        <v>2079</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2080</v>
      </c>
      <c r="C69" s="466" t="s">
        <v>2068</v>
      </c>
      <c r="D69" s="466" t="s">
        <v>2069</v>
      </c>
      <c r="E69" s="466" t="s">
        <v>2070</v>
      </c>
      <c r="F69" s="466" t="s">
        <v>2071</v>
      </c>
      <c r="G69" s="466" t="s">
        <v>2072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2034</v>
      </c>
      <c r="B79" s="413" t="s">
        <v>2188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60"/>
      <c r="E1" s="1487" t="s">
        <v>2503</v>
      </c>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2004</v>
      </c>
      <c r="D3" s="292">
        <f>IF(C1="仅计算典型户型",'数据-取费表'!E5,'数据-取费表'!B5)</f>
        <v>182.31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54" t="s">
        <v>2006</v>
      </c>
      <c r="D4" s="3655"/>
      <c r="E4" s="3656" t="s">
        <v>2007</v>
      </c>
      <c r="F4" s="3657"/>
      <c r="G4" s="3654" t="s">
        <v>2008</v>
      </c>
      <c r="H4" s="3655"/>
      <c r="I4" s="3654" t="s">
        <v>2009</v>
      </c>
      <c r="J4" s="3655"/>
      <c r="K4" s="496" t="s">
        <v>2010</v>
      </c>
      <c r="L4" s="2943"/>
      <c r="M4" s="2944"/>
      <c r="N4" s="2944"/>
      <c r="O4" s="2944"/>
      <c r="P4" s="3658" t="s">
        <v>2011</v>
      </c>
      <c r="Q4" s="3659"/>
      <c r="R4" s="3664" t="s">
        <v>2007</v>
      </c>
      <c r="S4" s="3665"/>
      <c r="T4" s="3664" t="s">
        <v>2008</v>
      </c>
      <c r="U4" s="3665"/>
      <c r="V4" s="3670" t="s">
        <v>2009</v>
      </c>
      <c r="W4" s="3670"/>
      <c r="X4" s="1263"/>
      <c r="Y4" s="3664" t="s">
        <v>2011</v>
      </c>
      <c r="Z4" s="3665"/>
      <c r="AA4" s="3651" t="s">
        <v>2007</v>
      </c>
      <c r="AB4" s="3652" t="s">
        <v>2008</v>
      </c>
      <c r="AC4" s="3651" t="s">
        <v>2009</v>
      </c>
    </row>
    <row r="5" spans="1:29" ht="15">
      <c r="A5" s="297"/>
      <c r="B5" s="298"/>
      <c r="C5" s="3647" t="s">
        <v>2012</v>
      </c>
      <c r="D5" s="3648"/>
      <c r="E5" s="3671" t="s">
        <v>2013</v>
      </c>
      <c r="F5" s="3672"/>
      <c r="G5" s="3647" t="s">
        <v>2014</v>
      </c>
      <c r="H5" s="3648"/>
      <c r="I5" s="3647" t="s">
        <v>2015</v>
      </c>
      <c r="J5" s="3648"/>
      <c r="K5" s="496"/>
      <c r="L5" s="2943"/>
      <c r="M5" s="2944"/>
      <c r="N5" s="2944"/>
      <c r="O5" s="2944"/>
      <c r="P5" s="3660"/>
      <c r="Q5" s="3661"/>
      <c r="R5" s="3666"/>
      <c r="S5" s="3667"/>
      <c r="T5" s="3666"/>
      <c r="U5" s="3667"/>
      <c r="V5" s="3670"/>
      <c r="W5" s="3670"/>
      <c r="X5" s="1263"/>
      <c r="Y5" s="3666"/>
      <c r="Z5" s="3667"/>
      <c r="AA5" s="3652"/>
      <c r="AB5" s="3652"/>
      <c r="AC5" s="3652"/>
    </row>
    <row r="6" spans="1:29" ht="15.75" thickBot="1">
      <c r="A6" s="299"/>
      <c r="B6" s="300"/>
      <c r="C6" s="3644" t="s">
        <v>2016</v>
      </c>
      <c r="D6" s="3645"/>
      <c r="E6" s="3642" t="s">
        <v>2016</v>
      </c>
      <c r="F6" s="3643"/>
      <c r="G6" s="3644" t="s">
        <v>2016</v>
      </c>
      <c r="H6" s="3645"/>
      <c r="I6" s="3644" t="s">
        <v>2016</v>
      </c>
      <c r="J6" s="3645"/>
      <c r="K6" s="496" t="s">
        <v>2017</v>
      </c>
      <c r="L6" s="2943"/>
      <c r="M6" s="2944"/>
      <c r="N6" s="2944"/>
      <c r="O6" s="2944"/>
      <c r="P6" s="3662"/>
      <c r="Q6" s="3663"/>
      <c r="R6" s="3666"/>
      <c r="S6" s="3667"/>
      <c r="T6" s="3668"/>
      <c r="U6" s="3669"/>
      <c r="V6" s="3670"/>
      <c r="W6" s="3670"/>
      <c r="X6" s="1263"/>
      <c r="Y6" s="3668"/>
      <c r="Z6" s="3669"/>
      <c r="AA6" s="3653"/>
      <c r="AB6" s="3653"/>
      <c r="AC6" s="3653"/>
    </row>
    <row r="7" spans="1:29" s="25" customFormat="1" ht="15.75" thickBot="1">
      <c r="A7" s="301" t="s">
        <v>2018</v>
      </c>
      <c r="B7" s="302"/>
      <c r="C7" s="303">
        <f>'数据-取费表'!B2</f>
        <v>44763</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9" t="s">
        <v>2019</v>
      </c>
      <c r="Q7" s="3673"/>
      <c r="R7" s="627" t="s">
        <v>25</v>
      </c>
      <c r="S7" s="628">
        <f t="shared" ref="S7:S14" si="0">F7</f>
        <v>0</v>
      </c>
      <c r="T7" s="627" t="s">
        <v>25</v>
      </c>
      <c r="U7" s="628">
        <f t="shared" ref="U7:U14" si="1">H7</f>
        <v>0</v>
      </c>
      <c r="V7" s="627" t="s">
        <v>25</v>
      </c>
      <c r="W7" s="628">
        <f t="shared" ref="W7:W14" si="2">J7</f>
        <v>0</v>
      </c>
      <c r="X7" s="629"/>
      <c r="Y7" s="3649" t="s">
        <v>2019</v>
      </c>
      <c r="Z7" s="3650"/>
      <c r="AA7" s="630" t="e">
        <f>D7/F7</f>
        <v>#DIV/0!</v>
      </c>
      <c r="AB7" s="630" t="e">
        <f>D7/H7</f>
        <v>#DIV/0!</v>
      </c>
      <c r="AC7" s="630" t="e">
        <f>D7/J7</f>
        <v>#DIV/0!</v>
      </c>
    </row>
    <row r="8" spans="1:29" s="25" customFormat="1" ht="15.75" thickBot="1">
      <c r="A8" s="301" t="s">
        <v>2020</v>
      </c>
      <c r="B8" s="302"/>
      <c r="C8" s="307" t="s">
        <v>2021</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9" t="s">
        <v>2022</v>
      </c>
      <c r="Q8" s="3650"/>
      <c r="R8" s="627" t="s">
        <v>25</v>
      </c>
      <c r="S8" s="628">
        <f t="shared" si="0"/>
        <v>0</v>
      </c>
      <c r="T8" s="627" t="s">
        <v>25</v>
      </c>
      <c r="U8" s="628">
        <f t="shared" si="1"/>
        <v>0</v>
      </c>
      <c r="V8" s="627" t="s">
        <v>25</v>
      </c>
      <c r="W8" s="628">
        <f t="shared" si="2"/>
        <v>0</v>
      </c>
      <c r="X8" s="629"/>
      <c r="Y8" s="3649" t="s">
        <v>2022</v>
      </c>
      <c r="Z8" s="3650"/>
      <c r="AA8" s="630" t="e">
        <f t="shared" ref="AA8:AA34" si="3">D8/F8</f>
        <v>#DIV/0!</v>
      </c>
      <c r="AB8" s="630" t="e">
        <f t="shared" ref="AB8:AB34" si="4">D8/H8</f>
        <v>#DIV/0!</v>
      </c>
      <c r="AC8" s="630" t="e">
        <f t="shared" ref="AC8:AC34" si="5">D8/J8</f>
        <v>#DIV/0!</v>
      </c>
    </row>
    <row r="9" spans="1:29" s="25" customFormat="1">
      <c r="A9" s="308" t="s">
        <v>2023</v>
      </c>
      <c r="B9" s="24" t="s">
        <v>2024</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6" t="s">
        <v>2025</v>
      </c>
      <c r="Q9" s="1255" t="str">
        <f t="shared" ref="Q9:Q14" si="6">B9</f>
        <v>用途</v>
      </c>
      <c r="R9" s="627" t="s">
        <v>25</v>
      </c>
      <c r="S9" s="628">
        <f t="shared" si="0"/>
        <v>100</v>
      </c>
      <c r="T9" s="627" t="s">
        <v>25</v>
      </c>
      <c r="U9" s="628">
        <f t="shared" si="1"/>
        <v>100</v>
      </c>
      <c r="V9" s="627" t="s">
        <v>25</v>
      </c>
      <c r="W9" s="628">
        <f t="shared" si="2"/>
        <v>100</v>
      </c>
      <c r="X9" s="629"/>
      <c r="Y9" s="3676" t="s">
        <v>2026</v>
      </c>
      <c r="Z9" s="19" t="str">
        <f t="shared" ref="Z9:Z14" si="7">Q9</f>
        <v>用途</v>
      </c>
      <c r="AA9" s="630">
        <f t="shared" si="3"/>
        <v>1</v>
      </c>
      <c r="AB9" s="630">
        <f t="shared" si="4"/>
        <v>1</v>
      </c>
      <c r="AC9" s="630">
        <f t="shared" si="5"/>
        <v>1</v>
      </c>
    </row>
    <row r="10" spans="1:29" s="317" customFormat="1" ht="27">
      <c r="A10" s="312"/>
      <c r="B10" s="313" t="s">
        <v>2027</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6"/>
      <c r="Q10" s="1255" t="str">
        <f t="shared" si="6"/>
        <v>土地使用年限（年）</v>
      </c>
      <c r="R10" s="627" t="s">
        <v>25</v>
      </c>
      <c r="S10" s="628">
        <f t="shared" si="0"/>
        <v>100</v>
      </c>
      <c r="T10" s="627" t="s">
        <v>25</v>
      </c>
      <c r="U10" s="628">
        <f t="shared" si="1"/>
        <v>100</v>
      </c>
      <c r="V10" s="627" t="s">
        <v>25</v>
      </c>
      <c r="W10" s="628">
        <f t="shared" si="2"/>
        <v>100</v>
      </c>
      <c r="X10" s="629"/>
      <c r="Y10" s="3676"/>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6"/>
      <c r="Q11" s="1255">
        <f t="shared" si="6"/>
        <v>111</v>
      </c>
      <c r="R11" s="627" t="s">
        <v>25</v>
      </c>
      <c r="S11" s="628">
        <f t="shared" si="0"/>
        <v>100</v>
      </c>
      <c r="T11" s="627" t="s">
        <v>25</v>
      </c>
      <c r="U11" s="628">
        <f t="shared" si="1"/>
        <v>100</v>
      </c>
      <c r="V11" s="627" t="s">
        <v>25</v>
      </c>
      <c r="W11" s="628">
        <f t="shared" si="2"/>
        <v>100</v>
      </c>
      <c r="X11" s="629"/>
      <c r="Y11" s="3676"/>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6"/>
      <c r="Q12" s="1255">
        <f t="shared" si="6"/>
        <v>111</v>
      </c>
      <c r="R12" s="627" t="s">
        <v>25</v>
      </c>
      <c r="S12" s="628">
        <f t="shared" si="0"/>
        <v>100</v>
      </c>
      <c r="T12" s="627" t="s">
        <v>25</v>
      </c>
      <c r="U12" s="628">
        <f t="shared" si="1"/>
        <v>100</v>
      </c>
      <c r="V12" s="627" t="s">
        <v>25</v>
      </c>
      <c r="W12" s="628">
        <f t="shared" si="2"/>
        <v>100</v>
      </c>
      <c r="X12" s="629"/>
      <c r="Y12" s="3676"/>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6"/>
      <c r="Q13" s="1255">
        <f t="shared" si="6"/>
        <v>111</v>
      </c>
      <c r="R13" s="627" t="s">
        <v>25</v>
      </c>
      <c r="S13" s="628">
        <f t="shared" si="0"/>
        <v>100</v>
      </c>
      <c r="T13" s="627" t="s">
        <v>25</v>
      </c>
      <c r="U13" s="628">
        <f t="shared" si="1"/>
        <v>100</v>
      </c>
      <c r="V13" s="627" t="s">
        <v>25</v>
      </c>
      <c r="W13" s="628">
        <f t="shared" si="2"/>
        <v>100</v>
      </c>
      <c r="X13" s="629"/>
      <c r="Y13" s="3676"/>
      <c r="Z13" s="19">
        <f t="shared" si="7"/>
        <v>111</v>
      </c>
      <c r="AA13" s="630">
        <f t="shared" si="3"/>
        <v>1</v>
      </c>
      <c r="AB13" s="630">
        <f t="shared" si="4"/>
        <v>1</v>
      </c>
      <c r="AC13" s="630">
        <f t="shared" si="5"/>
        <v>1</v>
      </c>
    </row>
    <row r="14" spans="1:29" ht="15">
      <c r="A14" s="329" t="s">
        <v>2029</v>
      </c>
      <c r="B14" s="22" t="s">
        <v>2167</v>
      </c>
      <c r="C14" s="1509"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74" t="s">
        <v>2030</v>
      </c>
      <c r="Q14" s="1262" t="str">
        <f t="shared" si="6"/>
        <v>交通便捷度</v>
      </c>
      <c r="R14" s="631" t="s">
        <v>25</v>
      </c>
      <c r="S14" s="632">
        <f t="shared" si="0"/>
        <v>100</v>
      </c>
      <c r="T14" s="631" t="s">
        <v>25</v>
      </c>
      <c r="U14" s="632">
        <f t="shared" si="1"/>
        <v>100</v>
      </c>
      <c r="V14" s="631" t="s">
        <v>25</v>
      </c>
      <c r="W14" s="632">
        <f t="shared" si="2"/>
        <v>100</v>
      </c>
      <c r="X14" s="1263"/>
      <c r="Y14" s="3674" t="s">
        <v>2030</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75"/>
      <c r="Q15" s="1262"/>
      <c r="R15" s="631"/>
      <c r="S15" s="632"/>
      <c r="T15" s="631"/>
      <c r="U15" s="632"/>
      <c r="V15" s="631"/>
      <c r="W15" s="632"/>
      <c r="X15" s="1263"/>
      <c r="Y15" s="3675"/>
      <c r="Z15" s="1264"/>
      <c r="AA15" s="1265">
        <v>1</v>
      </c>
      <c r="AB15" s="1265">
        <v>1</v>
      </c>
      <c r="AC15" s="1265">
        <v>1</v>
      </c>
    </row>
    <row r="16" spans="1:29" ht="15">
      <c r="A16" s="318"/>
      <c r="B16" s="513" t="s">
        <v>2145</v>
      </c>
      <c r="C16" s="1495"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75"/>
      <c r="Q16" s="1262" t="str">
        <f>B16</f>
        <v>公共配套设施</v>
      </c>
      <c r="R16" s="631" t="s">
        <v>25</v>
      </c>
      <c r="S16" s="632">
        <f>F16</f>
        <v>100</v>
      </c>
      <c r="T16" s="631" t="s">
        <v>25</v>
      </c>
      <c r="U16" s="632">
        <f>H16</f>
        <v>100</v>
      </c>
      <c r="V16" s="631" t="s">
        <v>25</v>
      </c>
      <c r="W16" s="632">
        <f>J16</f>
        <v>100</v>
      </c>
      <c r="X16" s="1263"/>
      <c r="Y16" s="3675"/>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75"/>
      <c r="Q17" s="1262"/>
      <c r="R17" s="631"/>
      <c r="S17" s="632"/>
      <c r="T17" s="631"/>
      <c r="U17" s="632"/>
      <c r="V17" s="631"/>
      <c r="W17" s="632"/>
      <c r="X17" s="1263"/>
      <c r="Y17" s="3675"/>
      <c r="Z17" s="1264"/>
      <c r="AA17" s="1265">
        <v>1</v>
      </c>
      <c r="AB17" s="1265">
        <v>1</v>
      </c>
      <c r="AC17" s="1265">
        <v>1</v>
      </c>
    </row>
    <row r="18" spans="1:29" ht="15">
      <c r="A18" s="318"/>
      <c r="B18" s="515" t="s">
        <v>2146</v>
      </c>
      <c r="C18" s="1495"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75"/>
      <c r="Q18" s="1262" t="str">
        <f>B18</f>
        <v>基础设施水平</v>
      </c>
      <c r="R18" s="631" t="s">
        <v>25</v>
      </c>
      <c r="S18" s="632">
        <f>F18</f>
        <v>100</v>
      </c>
      <c r="T18" s="631" t="s">
        <v>25</v>
      </c>
      <c r="U18" s="632">
        <f>H18</f>
        <v>100</v>
      </c>
      <c r="V18" s="631" t="s">
        <v>25</v>
      </c>
      <c r="W18" s="632">
        <f>J18</f>
        <v>100</v>
      </c>
      <c r="X18" s="1263"/>
      <c r="Y18" s="3675"/>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75"/>
      <c r="Q19" s="1262"/>
      <c r="R19" s="631"/>
      <c r="S19" s="632"/>
      <c r="T19" s="631"/>
      <c r="U19" s="632"/>
      <c r="V19" s="631"/>
      <c r="W19" s="632"/>
      <c r="X19" s="1263"/>
      <c r="Y19" s="3675"/>
      <c r="Z19" s="1264"/>
      <c r="AA19" s="1265">
        <v>1</v>
      </c>
      <c r="AB19" s="1265">
        <v>1</v>
      </c>
      <c r="AC19" s="1265">
        <v>1</v>
      </c>
    </row>
    <row r="20" spans="1:29" ht="15">
      <c r="A20" s="318"/>
      <c r="B20" s="340" t="s">
        <v>2168</v>
      </c>
      <c r="C20" s="1495" t="str">
        <f>IF(B1="工业",估价对象房地状况!G7,估价对象房地状况!C9)</f>
        <v>较好</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75"/>
      <c r="Q20" s="1262" t="str">
        <f>B20</f>
        <v>自然及人文环境</v>
      </c>
      <c r="R20" s="631" t="s">
        <v>25</v>
      </c>
      <c r="S20" s="632">
        <f>F20</f>
        <v>100</v>
      </c>
      <c r="T20" s="631" t="s">
        <v>25</v>
      </c>
      <c r="U20" s="632">
        <f>H20</f>
        <v>100</v>
      </c>
      <c r="V20" s="631" t="s">
        <v>25</v>
      </c>
      <c r="W20" s="632">
        <f>J20</f>
        <v>100</v>
      </c>
      <c r="X20" s="1263"/>
      <c r="Y20" s="3675"/>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75"/>
      <c r="Q21" s="1262"/>
      <c r="R21" s="631"/>
      <c r="S21" s="632"/>
      <c r="T21" s="631"/>
      <c r="U21" s="632"/>
      <c r="V21" s="631"/>
      <c r="W21" s="632"/>
      <c r="X21" s="1263"/>
      <c r="Y21" s="3675"/>
      <c r="Z21" s="1264"/>
      <c r="AA21" s="1265">
        <v>1</v>
      </c>
      <c r="AB21" s="1265">
        <v>1</v>
      </c>
      <c r="AC21" s="1265">
        <v>1</v>
      </c>
    </row>
    <row r="22" spans="1:29" ht="15">
      <c r="A22" s="318"/>
      <c r="B22" s="340" t="s">
        <v>2169</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75"/>
      <c r="Q22" s="1262" t="str">
        <f>B22</f>
        <v>楼层</v>
      </c>
      <c r="R22" s="631" t="s">
        <v>25</v>
      </c>
      <c r="S22" s="632">
        <f>F22</f>
        <v>100</v>
      </c>
      <c r="T22" s="631" t="s">
        <v>25</v>
      </c>
      <c r="U22" s="632">
        <f>H22</f>
        <v>100</v>
      </c>
      <c r="V22" s="631" t="s">
        <v>25</v>
      </c>
      <c r="W22" s="632">
        <f>J22</f>
        <v>100</v>
      </c>
      <c r="X22" s="1263"/>
      <c r="Y22" s="3675"/>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75"/>
      <c r="Q23" s="1262">
        <f>B23</f>
        <v>111</v>
      </c>
      <c r="R23" s="631" t="s">
        <v>25</v>
      </c>
      <c r="S23" s="632">
        <f>F23</f>
        <v>100</v>
      </c>
      <c r="T23" s="631" t="s">
        <v>25</v>
      </c>
      <c r="U23" s="632">
        <f>H23</f>
        <v>100</v>
      </c>
      <c r="V23" s="631" t="s">
        <v>25</v>
      </c>
      <c r="W23" s="632">
        <f>J23</f>
        <v>100</v>
      </c>
      <c r="X23" s="1263"/>
      <c r="Y23" s="3675"/>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75"/>
      <c r="Q24" s="1262">
        <f t="shared" ref="Q24:Q34" si="11">B24</f>
        <v>111</v>
      </c>
      <c r="R24" s="631" t="s">
        <v>25</v>
      </c>
      <c r="S24" s="632">
        <f>F24</f>
        <v>100</v>
      </c>
      <c r="T24" s="631" t="s">
        <v>25</v>
      </c>
      <c r="U24" s="632">
        <f>H24</f>
        <v>100</v>
      </c>
      <c r="V24" s="631" t="s">
        <v>25</v>
      </c>
      <c r="W24" s="632">
        <f>J24</f>
        <v>100</v>
      </c>
      <c r="X24" s="1263"/>
      <c r="Y24" s="3675"/>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75"/>
      <c r="Q25" s="1255">
        <f t="shared" si="11"/>
        <v>111</v>
      </c>
      <c r="R25" s="627" t="s">
        <v>25</v>
      </c>
      <c r="S25" s="628">
        <f>F25</f>
        <v>100</v>
      </c>
      <c r="T25" s="627" t="s">
        <v>25</v>
      </c>
      <c r="U25" s="628">
        <f>H25</f>
        <v>100</v>
      </c>
      <c r="V25" s="627" t="s">
        <v>25</v>
      </c>
      <c r="W25" s="628">
        <f>J25</f>
        <v>100</v>
      </c>
      <c r="X25" s="629"/>
      <c r="Y25" s="3675"/>
      <c r="Z25" s="19">
        <f>Q25</f>
        <v>111</v>
      </c>
      <c r="AA25" s="1265">
        <f>D25/F25</f>
        <v>1</v>
      </c>
      <c r="AB25" s="1265">
        <f>D25/H25</f>
        <v>1</v>
      </c>
      <c r="AC25" s="1265">
        <f>D25/J25</f>
        <v>1</v>
      </c>
    </row>
    <row r="26" spans="1:29" ht="28.5">
      <c r="A26" s="354" t="s">
        <v>2034</v>
      </c>
      <c r="B26" s="24" t="s">
        <v>2172</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77" t="s">
        <v>2036</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8" t="s">
        <v>2036</v>
      </c>
      <c r="Z26" s="1264" t="str">
        <f t="shared" ref="Z26:Z34" si="15">Q26</f>
        <v>公共部分装修</v>
      </c>
      <c r="AA26" s="1265">
        <f t="shared" si="3"/>
        <v>1</v>
      </c>
      <c r="AB26" s="1265">
        <f t="shared" si="4"/>
        <v>1</v>
      </c>
      <c r="AC26" s="1265">
        <f t="shared" si="5"/>
        <v>1</v>
      </c>
    </row>
    <row r="27" spans="1:29" s="359" customFormat="1" ht="15">
      <c r="A27" s="356"/>
      <c r="B27" s="313" t="s">
        <v>2173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78"/>
      <c r="Q27" s="633" t="str">
        <f t="shared" si="11"/>
        <v>成新率</v>
      </c>
      <c r="R27" s="634" t="s">
        <v>25</v>
      </c>
      <c r="S27" s="635" t="e">
        <f t="shared" si="12"/>
        <v>#N/A</v>
      </c>
      <c r="T27" s="634" t="s">
        <v>25</v>
      </c>
      <c r="U27" s="635" t="e">
        <f t="shared" si="13"/>
        <v>#N/A</v>
      </c>
      <c r="V27" s="634" t="s">
        <v>25</v>
      </c>
      <c r="W27" s="635" t="e">
        <f t="shared" si="14"/>
        <v>#N/A</v>
      </c>
      <c r="X27" s="636"/>
      <c r="Y27" s="3678"/>
      <c r="Z27" s="637" t="str">
        <f t="shared" si="15"/>
        <v>成新率</v>
      </c>
      <c r="AA27" s="1265" t="e">
        <f t="shared" si="3"/>
        <v>#N/A</v>
      </c>
      <c r="AB27" s="1265" t="e">
        <f t="shared" si="4"/>
        <v>#N/A</v>
      </c>
      <c r="AC27" s="1265" t="e">
        <f t="shared" si="5"/>
        <v>#N/A</v>
      </c>
    </row>
    <row r="28" spans="1:29" ht="15">
      <c r="A28" s="360"/>
      <c r="B28" s="313" t="s">
        <v>2174</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78"/>
      <c r="Q28" s="1262" t="str">
        <f t="shared" si="11"/>
        <v>物业等级</v>
      </c>
      <c r="R28" s="631" t="s">
        <v>25</v>
      </c>
      <c r="S28" s="632">
        <f t="shared" si="12"/>
        <v>100</v>
      </c>
      <c r="T28" s="631" t="s">
        <v>25</v>
      </c>
      <c r="U28" s="632">
        <f t="shared" si="13"/>
        <v>100</v>
      </c>
      <c r="V28" s="631" t="s">
        <v>25</v>
      </c>
      <c r="W28" s="632">
        <f t="shared" si="14"/>
        <v>100</v>
      </c>
      <c r="X28" s="1263"/>
      <c r="Y28" s="3678"/>
      <c r="Z28" s="1264" t="str">
        <f t="shared" si="15"/>
        <v>物业等级</v>
      </c>
      <c r="AA28" s="1265">
        <f t="shared" si="3"/>
        <v>1</v>
      </c>
      <c r="AB28" s="1265">
        <f t="shared" si="4"/>
        <v>1</v>
      </c>
      <c r="AC28" s="1265">
        <f t="shared" si="5"/>
        <v>1</v>
      </c>
    </row>
    <row r="29" spans="1:29" ht="15">
      <c r="A29" s="360"/>
      <c r="B29" s="313" t="s">
        <v>2195</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78"/>
      <c r="Q29" s="1262" t="str">
        <f t="shared" si="11"/>
        <v>有无电梯</v>
      </c>
      <c r="R29" s="631" t="s">
        <v>25</v>
      </c>
      <c r="S29" s="632">
        <f t="shared" si="12"/>
        <v>100</v>
      </c>
      <c r="T29" s="631" t="s">
        <v>25</v>
      </c>
      <c r="U29" s="632">
        <f t="shared" si="13"/>
        <v>100</v>
      </c>
      <c r="V29" s="631" t="s">
        <v>25</v>
      </c>
      <c r="W29" s="632">
        <f t="shared" si="14"/>
        <v>100</v>
      </c>
      <c r="X29" s="1263"/>
      <c r="Y29" s="3678"/>
      <c r="Z29" s="1264" t="str">
        <f t="shared" si="15"/>
        <v>有无电梯</v>
      </c>
      <c r="AA29" s="1265">
        <f t="shared" si="3"/>
        <v>1</v>
      </c>
      <c r="AB29" s="1265">
        <f t="shared" si="4"/>
        <v>1</v>
      </c>
      <c r="AC29" s="1265">
        <f t="shared" si="5"/>
        <v>1</v>
      </c>
    </row>
    <row r="30" spans="1:29" ht="15">
      <c r="A30" s="360"/>
      <c r="B30" s="313" t="s">
        <v>2196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78"/>
      <c r="Q30" s="1262" t="str">
        <f t="shared" si="11"/>
        <v>建筑面积</v>
      </c>
      <c r="R30" s="631" t="s">
        <v>25</v>
      </c>
      <c r="S30" s="632" t="e">
        <f t="shared" si="12"/>
        <v>#N/A</v>
      </c>
      <c r="T30" s="631" t="s">
        <v>25</v>
      </c>
      <c r="U30" s="632" t="e">
        <f t="shared" si="13"/>
        <v>#N/A</v>
      </c>
      <c r="V30" s="631" t="s">
        <v>25</v>
      </c>
      <c r="W30" s="632" t="e">
        <f t="shared" si="14"/>
        <v>#N/A</v>
      </c>
      <c r="X30" s="1263"/>
      <c r="Y30" s="3678"/>
      <c r="Z30" s="1264" t="str">
        <f t="shared" si="15"/>
        <v>建筑面积</v>
      </c>
      <c r="AA30" s="1265" t="e">
        <f t="shared" si="3"/>
        <v>#N/A</v>
      </c>
      <c r="AB30" s="1265" t="e">
        <f t="shared" si="4"/>
        <v>#N/A</v>
      </c>
      <c r="AC30" s="1265" t="e">
        <f t="shared" si="5"/>
        <v>#N/A</v>
      </c>
    </row>
    <row r="31" spans="1:29" s="25" customFormat="1" ht="15">
      <c r="A31" s="361"/>
      <c r="B31" s="313" t="s">
        <v>2197</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78"/>
      <c r="Q31" s="1255" t="str">
        <f t="shared" si="11"/>
        <v>是否封闭</v>
      </c>
      <c r="R31" s="627" t="s">
        <v>25</v>
      </c>
      <c r="S31" s="628">
        <f t="shared" si="12"/>
        <v>100</v>
      </c>
      <c r="T31" s="627" t="s">
        <v>25</v>
      </c>
      <c r="U31" s="628">
        <f t="shared" si="13"/>
        <v>100</v>
      </c>
      <c r="V31" s="627" t="s">
        <v>25</v>
      </c>
      <c r="W31" s="628">
        <f t="shared" si="14"/>
        <v>100</v>
      </c>
      <c r="X31" s="629"/>
      <c r="Y31" s="3678"/>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78" t="s">
        <v>2036</v>
      </c>
      <c r="Q32" s="1262">
        <f t="shared" si="11"/>
        <v>111</v>
      </c>
      <c r="R32" s="631" t="s">
        <v>25</v>
      </c>
      <c r="S32" s="632">
        <f t="shared" si="12"/>
        <v>100</v>
      </c>
      <c r="T32" s="631" t="s">
        <v>25</v>
      </c>
      <c r="U32" s="632">
        <f t="shared" si="13"/>
        <v>100</v>
      </c>
      <c r="V32" s="631" t="s">
        <v>25</v>
      </c>
      <c r="W32" s="632">
        <f t="shared" si="14"/>
        <v>100</v>
      </c>
      <c r="X32" s="1263"/>
      <c r="Y32" s="3678" t="s">
        <v>2036</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78"/>
      <c r="Q33" s="1262">
        <f t="shared" si="11"/>
        <v>111</v>
      </c>
      <c r="R33" s="631" t="s">
        <v>25</v>
      </c>
      <c r="S33" s="632">
        <f t="shared" si="12"/>
        <v>100</v>
      </c>
      <c r="T33" s="631" t="s">
        <v>25</v>
      </c>
      <c r="U33" s="632">
        <f t="shared" si="13"/>
        <v>100</v>
      </c>
      <c r="V33" s="631" t="s">
        <v>25</v>
      </c>
      <c r="W33" s="632">
        <f t="shared" si="14"/>
        <v>100</v>
      </c>
      <c r="X33" s="1263"/>
      <c r="Y33" s="3678"/>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78"/>
      <c r="Q34" s="1262">
        <f t="shared" si="11"/>
        <v>111</v>
      </c>
      <c r="R34" s="631" t="s">
        <v>25</v>
      </c>
      <c r="S34" s="632">
        <f t="shared" si="12"/>
        <v>100</v>
      </c>
      <c r="T34" s="631" t="s">
        <v>25</v>
      </c>
      <c r="U34" s="632">
        <f t="shared" si="13"/>
        <v>100</v>
      </c>
      <c r="V34" s="631" t="s">
        <v>25</v>
      </c>
      <c r="W34" s="632">
        <f t="shared" si="14"/>
        <v>100</v>
      </c>
      <c r="X34" s="1263"/>
      <c r="Y34" s="3678"/>
      <c r="Z34" s="1264">
        <f t="shared" si="15"/>
        <v>111</v>
      </c>
      <c r="AA34" s="1265">
        <f t="shared" si="3"/>
        <v>1</v>
      </c>
      <c r="AB34" s="1265">
        <f t="shared" si="4"/>
        <v>1</v>
      </c>
      <c r="AC34" s="1265">
        <f t="shared" si="5"/>
        <v>1</v>
      </c>
    </row>
    <row r="35" spans="1:29" ht="15">
      <c r="A35" s="367" t="s">
        <v>2048</v>
      </c>
      <c r="B35" s="368"/>
      <c r="C35" s="1082" t="s">
        <v>1</v>
      </c>
      <c r="D35" s="1083"/>
      <c r="E35" s="1084"/>
      <c r="F35" s="1085"/>
      <c r="G35" s="1086"/>
      <c r="H35" s="1087"/>
      <c r="I35" s="1084"/>
      <c r="J35" s="1087"/>
      <c r="K35" s="640"/>
      <c r="L35" s="2955"/>
      <c r="N35" s="2944"/>
      <c r="P35" s="3646" t="str">
        <f>A35</f>
        <v>成交单价（元/平方米）</v>
      </c>
      <c r="Q35" s="3646"/>
      <c r="R35" s="3680">
        <f>E35</f>
        <v>0</v>
      </c>
      <c r="S35" s="3680"/>
      <c r="T35" s="3680">
        <f>G35</f>
        <v>0</v>
      </c>
      <c r="U35" s="3680"/>
      <c r="V35" s="3680">
        <f>I35</f>
        <v>0</v>
      </c>
      <c r="W35" s="3680"/>
      <c r="X35" s="618"/>
      <c r="Y35" s="638"/>
      <c r="Z35" s="618"/>
      <c r="AA35" s="618"/>
      <c r="AB35" s="618"/>
      <c r="AC35" s="618"/>
    </row>
    <row r="36" spans="1:29" ht="15.75" thickBot="1">
      <c r="A36" s="374" t="s">
        <v>2131</v>
      </c>
      <c r="B36" s="375"/>
      <c r="C36" s="1088" t="e">
        <f>R37</f>
        <v>#DIV/0!</v>
      </c>
      <c r="D36" s="1725" t="s">
        <v>2502</v>
      </c>
      <c r="E36" s="1089" t="e">
        <f>R36</f>
        <v>#DIV/0!</v>
      </c>
      <c r="F36" s="1727"/>
      <c r="G36" s="1088" t="e">
        <f>T36</f>
        <v>#DIV/0!</v>
      </c>
      <c r="H36" s="1727"/>
      <c r="I36" s="1089" t="e">
        <f>V36</f>
        <v>#DIV/0!</v>
      </c>
      <c r="J36" s="1727"/>
      <c r="K36" s="2429">
        <f>F36+H36+J36</f>
        <v>0</v>
      </c>
      <c r="L36" s="2955"/>
      <c r="N36" s="2944"/>
      <c r="P36" s="3646" t="str">
        <f>A36</f>
        <v>比较价值（元/平方米）</v>
      </c>
      <c r="Q36" s="3646"/>
      <c r="R36" s="3680" t="e">
        <f>IF(E1="售价",ROUND(PRODUCT(R35,AA7:AA34),0),ROUND(PRODUCT(R35,AA7:AA34),1))</f>
        <v>#DIV/0!</v>
      </c>
      <c r="S36" s="3680"/>
      <c r="T36" s="3680" t="e">
        <f>IF(E1="售价",ROUND(PRODUCT(T35,AB7:AB34),0),ROUND(PRODUCT(T35,AB7:AB34),1))</f>
        <v>#DIV/0!</v>
      </c>
      <c r="U36" s="3680"/>
      <c r="V36" s="3680" t="e">
        <f>IF(E1="售价",ROUND(PRODUCT(V35,AC7:AC34),0),ROUND(PRODUCT(V35,AC7:AC34),1))</f>
        <v>#DIV/0!</v>
      </c>
      <c r="W36" s="3680"/>
      <c r="X36" s="618"/>
      <c r="Y36" s="618"/>
      <c r="Z36" s="618"/>
      <c r="AA36" s="618"/>
      <c r="AB36" s="618"/>
      <c r="AC36" s="618"/>
    </row>
    <row r="37" spans="1:29" ht="15.75" thickBot="1">
      <c r="A37" s="378" t="s">
        <v>2154</v>
      </c>
      <c r="B37" s="379"/>
      <c r="C37" s="1090" t="e">
        <f>R37</f>
        <v>#DIV/0!</v>
      </c>
      <c r="D37" s="1090"/>
      <c r="E37" s="1090"/>
      <c r="F37" s="1090"/>
      <c r="G37" s="1090"/>
      <c r="H37" s="1090"/>
      <c r="I37" s="1090"/>
      <c r="J37" s="1090"/>
      <c r="K37" s="641"/>
      <c r="L37" s="2955"/>
      <c r="P37" s="3681" t="str">
        <f>A37</f>
        <v>估价对象XX用房的比较价值（楼面单价，元/平方米）</v>
      </c>
      <c r="Q37" s="3682"/>
      <c r="R37" s="3683" t="e">
        <f>IF(E1="售价",ROUND(IF(D36="简单平均",AVERAGE(R36:W36),R36*F36+T36*H36+V36*J36),0),ROUND(IF(D36="简单平均",AVERAGE(R36:V36),R36*F36+T36*H36+V36*J36),1))</f>
        <v>#DIV/0!</v>
      </c>
      <c r="S37" s="3683"/>
      <c r="T37" s="3683"/>
      <c r="U37" s="3683"/>
      <c r="V37" s="3683"/>
      <c r="W37" s="3683"/>
      <c r="X37" s="618"/>
      <c r="Y37" s="618"/>
      <c r="Z37" s="618"/>
      <c r="AA37" s="618"/>
      <c r="AB37" s="618"/>
      <c r="AC37" s="618"/>
    </row>
    <row r="38" spans="1:29">
      <c r="G38" s="2958"/>
    </row>
    <row r="40" spans="1:29" ht="13.5" customHeight="1">
      <c r="C40" s="383" t="s">
        <v>2133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2136</v>
      </c>
      <c r="B45" s="618"/>
      <c r="C45" s="621"/>
      <c r="D45" s="621"/>
      <c r="E45" s="621"/>
      <c r="F45" s="622"/>
      <c r="G45" s="622"/>
      <c r="H45" s="621"/>
      <c r="I45" s="621"/>
      <c r="J45" s="621"/>
      <c r="K45" s="623"/>
      <c r="L45" s="624"/>
      <c r="M45" s="621"/>
      <c r="N45" s="2961"/>
      <c r="O45" s="2961"/>
      <c r="P45" s="389"/>
      <c r="Q45" s="390"/>
    </row>
    <row r="46" spans="1:29" s="394" customFormat="1" ht="15">
      <c r="A46" s="391" t="s">
        <v>2018</v>
      </c>
      <c r="B46" s="392"/>
      <c r="C46" s="1116" t="str">
        <f>YEAR(C7)&amp;"-"&amp;MONTH(C7)</f>
        <v>2022-7</v>
      </c>
      <c r="D46" s="1117">
        <f>EDATE(C46,-1)</f>
        <v>44713</v>
      </c>
      <c r="E46" s="1117">
        <f t="shared" ref="E46:O46" si="16">EDATE(D46,-1)</f>
        <v>44682</v>
      </c>
      <c r="F46" s="1117">
        <f t="shared" si="16"/>
        <v>44652</v>
      </c>
      <c r="G46" s="1117">
        <f t="shared" si="16"/>
        <v>44621</v>
      </c>
      <c r="H46" s="1117">
        <f t="shared" si="16"/>
        <v>44593</v>
      </c>
      <c r="I46" s="1117">
        <f t="shared" si="16"/>
        <v>44562</v>
      </c>
      <c r="J46" s="1117">
        <f t="shared" si="16"/>
        <v>44531</v>
      </c>
      <c r="K46" s="1117">
        <f t="shared" si="16"/>
        <v>44501</v>
      </c>
      <c r="L46" s="1117">
        <f t="shared" si="16"/>
        <v>44470</v>
      </c>
      <c r="M46" s="1117">
        <f t="shared" si="16"/>
        <v>44440</v>
      </c>
      <c r="N46" s="1117">
        <f t="shared" si="16"/>
        <v>44409</v>
      </c>
      <c r="O46" s="1117">
        <f t="shared" si="16"/>
        <v>44378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2056</v>
      </c>
      <c r="B48" s="401"/>
      <c r="C48" s="402"/>
      <c r="D48" s="403"/>
      <c r="E48" s="403"/>
      <c r="F48" s="403"/>
      <c r="G48" s="403"/>
      <c r="H48" s="403"/>
      <c r="I48" s="403"/>
      <c r="J48" s="403"/>
      <c r="K48" s="403"/>
      <c r="L48" s="403"/>
      <c r="M48" s="404"/>
      <c r="N48" s="403"/>
      <c r="O48" s="405"/>
      <c r="P48" s="390"/>
      <c r="Q48" s="390"/>
    </row>
    <row r="49" spans="1:17" s="25" customFormat="1" ht="15">
      <c r="A49" s="406" t="s">
        <v>2020</v>
      </c>
      <c r="B49" s="396"/>
      <c r="C49" s="407" t="s">
        <v>2021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2059</v>
      </c>
      <c r="B51" s="413" t="s">
        <v>2024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2027</v>
      </c>
      <c r="C53" s="426" t="s">
        <v>2060</v>
      </c>
      <c r="D53" s="426" t="s">
        <v>2061</v>
      </c>
      <c r="E53" s="426" t="s">
        <v>2062</v>
      </c>
      <c r="F53" s="426" t="s">
        <v>2063</v>
      </c>
      <c r="G53" s="426" t="s">
        <v>2064</v>
      </c>
      <c r="H53" s="426" t="s">
        <v>2065</v>
      </c>
      <c r="I53" s="426" t="s">
        <v>2066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2029</v>
      </c>
      <c r="B61" s="413" t="s">
        <v>2073</v>
      </c>
      <c r="C61" s="461" t="s">
        <v>2068</v>
      </c>
      <c r="D61" s="461" t="s">
        <v>2069</v>
      </c>
      <c r="E61" s="461" t="s">
        <v>2070</v>
      </c>
      <c r="F61" s="461" t="s">
        <v>2071</v>
      </c>
      <c r="G61" s="461" t="s">
        <v>2072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2074</v>
      </c>
      <c r="C63" s="466" t="s">
        <v>2068</v>
      </c>
      <c r="D63" s="466" t="s">
        <v>2069</v>
      </c>
      <c r="E63" s="466" t="s">
        <v>2070</v>
      </c>
      <c r="F63" s="466" t="s">
        <v>2071</v>
      </c>
      <c r="G63" s="466" t="s">
        <v>2072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2146</v>
      </c>
      <c r="C65" s="426" t="s">
        <v>2075</v>
      </c>
      <c r="D65" s="426" t="s">
        <v>2076</v>
      </c>
      <c r="E65" s="426" t="s">
        <v>2077</v>
      </c>
      <c r="F65" s="426" t="s">
        <v>2078</v>
      </c>
      <c r="G65" s="426" t="s">
        <v>2079</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2080</v>
      </c>
      <c r="C67" s="466" t="s">
        <v>2068</v>
      </c>
      <c r="D67" s="466" t="s">
        <v>2069</v>
      </c>
      <c r="E67" s="466" t="s">
        <v>2070</v>
      </c>
      <c r="F67" s="466" t="s">
        <v>2071</v>
      </c>
      <c r="G67" s="466" t="s">
        <v>2072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2034</v>
      </c>
      <c r="B77" s="413" t="s">
        <v>2087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53" sqref="G53"/>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2201</v>
      </c>
      <c r="B1" s="1880"/>
      <c r="C1" s="1881" t="s">
        <v>2202</v>
      </c>
      <c r="D1" s="1880"/>
      <c r="E1" s="1880"/>
      <c r="F1" s="1882" t="s">
        <v>2003</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2203</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2204</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2005</v>
      </c>
      <c r="B4" s="1592"/>
      <c r="C4" s="3573" t="s">
        <v>2006</v>
      </c>
      <c r="D4" s="3574"/>
      <c r="E4" s="3575" t="s">
        <v>2007</v>
      </c>
      <c r="F4" s="3576"/>
      <c r="G4" s="3573" t="s">
        <v>2008</v>
      </c>
      <c r="H4" s="3574"/>
      <c r="I4" s="3573" t="s">
        <v>2009</v>
      </c>
      <c r="J4" s="3574"/>
      <c r="K4" s="1894" t="s">
        <v>2010</v>
      </c>
      <c r="L4" s="2915"/>
      <c r="M4" s="2916"/>
      <c r="N4" s="2916"/>
      <c r="O4" s="2916"/>
      <c r="P4" s="3577" t="s">
        <v>2011</v>
      </c>
      <c r="Q4" s="3578"/>
      <c r="R4" s="3583" t="s">
        <v>2007</v>
      </c>
      <c r="S4" s="3584"/>
      <c r="T4" s="3583" t="s">
        <v>2008</v>
      </c>
      <c r="U4" s="3584"/>
      <c r="V4" s="3589" t="s">
        <v>2009</v>
      </c>
      <c r="W4" s="3589"/>
      <c r="X4" s="1594"/>
      <c r="Y4" s="3583" t="s">
        <v>2011</v>
      </c>
      <c r="Z4" s="3584"/>
      <c r="AA4" s="3570" t="s">
        <v>2007</v>
      </c>
      <c r="AB4" s="3571" t="s">
        <v>2008</v>
      </c>
      <c r="AC4" s="3570" t="s">
        <v>2009</v>
      </c>
    </row>
    <row r="5" spans="1:30" ht="15">
      <c r="A5" s="1596"/>
      <c r="B5" s="1597"/>
      <c r="C5" s="3590" t="s">
        <v>2012</v>
      </c>
      <c r="D5" s="3591"/>
      <c r="E5" s="3633" t="s">
        <v>2013</v>
      </c>
      <c r="F5" s="3567"/>
      <c r="G5" s="3590" t="s">
        <v>2014</v>
      </c>
      <c r="H5" s="3591"/>
      <c r="I5" s="3590" t="s">
        <v>2015</v>
      </c>
      <c r="J5" s="3591"/>
      <c r="K5" s="1894"/>
      <c r="L5" s="2915"/>
      <c r="M5" s="2916"/>
      <c r="N5" s="2916"/>
      <c r="O5" s="2916"/>
      <c r="P5" s="3579"/>
      <c r="Q5" s="3580"/>
      <c r="R5" s="3585"/>
      <c r="S5" s="3586"/>
      <c r="T5" s="3585"/>
      <c r="U5" s="3586"/>
      <c r="V5" s="3589"/>
      <c r="W5" s="3589"/>
      <c r="X5" s="1594"/>
      <c r="Y5" s="3585"/>
      <c r="Z5" s="3586"/>
      <c r="AA5" s="3571"/>
      <c r="AB5" s="3571"/>
      <c r="AC5" s="3571"/>
    </row>
    <row r="6" spans="1:30" ht="15.75" thickBot="1">
      <c r="A6" s="1599"/>
      <c r="B6" s="1600"/>
      <c r="C6" s="3563" t="s">
        <v>2016</v>
      </c>
      <c r="D6" s="3564"/>
      <c r="E6" s="3561" t="s">
        <v>2016</v>
      </c>
      <c r="F6" s="3562"/>
      <c r="G6" s="3563" t="s">
        <v>2016</v>
      </c>
      <c r="H6" s="3564"/>
      <c r="I6" s="3563" t="s">
        <v>2016</v>
      </c>
      <c r="J6" s="3564"/>
      <c r="K6" s="1894" t="s">
        <v>2017</v>
      </c>
      <c r="L6" s="2915"/>
      <c r="M6" s="2916"/>
      <c r="N6" s="2916"/>
      <c r="O6" s="2916"/>
      <c r="P6" s="3581"/>
      <c r="Q6" s="3582"/>
      <c r="R6" s="3585"/>
      <c r="S6" s="3586"/>
      <c r="T6" s="3587"/>
      <c r="U6" s="3588"/>
      <c r="V6" s="3589"/>
      <c r="W6" s="3589"/>
      <c r="X6" s="1594"/>
      <c r="Y6" s="3587"/>
      <c r="Z6" s="3588"/>
      <c r="AA6" s="3572"/>
      <c r="AB6" s="3572"/>
      <c r="AC6" s="3572"/>
    </row>
    <row r="7" spans="1:30" s="1613" customFormat="1" ht="15.75" thickBot="1">
      <c r="A7" s="1601" t="s">
        <v>2018</v>
      </c>
      <c r="B7" s="1602"/>
      <c r="C7" s="1603">
        <f>'数据-取费表'!B2</f>
        <v>44763</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68" t="s">
        <v>2019</v>
      </c>
      <c r="Q7" s="3593"/>
      <c r="R7" s="1609" t="s">
        <v>25</v>
      </c>
      <c r="S7" s="1610">
        <f t="shared" ref="S7:S15" si="0">F7</f>
        <v>0</v>
      </c>
      <c r="T7" s="1609" t="s">
        <v>25</v>
      </c>
      <c r="U7" s="1610">
        <f t="shared" ref="U7:U15" si="1">H7</f>
        <v>0</v>
      </c>
      <c r="V7" s="1609" t="s">
        <v>25</v>
      </c>
      <c r="W7" s="1610">
        <f t="shared" ref="W7:W15" si="2">J7</f>
        <v>0</v>
      </c>
      <c r="X7" s="1611"/>
      <c r="Y7" s="3568" t="s">
        <v>2019</v>
      </c>
      <c r="Z7" s="3569"/>
      <c r="AA7" s="1612" t="e">
        <f>D7/F7</f>
        <v>#DIV/0!</v>
      </c>
      <c r="AB7" s="1612" t="e">
        <f>D7/H7</f>
        <v>#DIV/0!</v>
      </c>
      <c r="AC7" s="1612" t="e">
        <f>D7/J7</f>
        <v>#DIV/0!</v>
      </c>
    </row>
    <row r="8" spans="1:30" s="1613" customFormat="1" ht="15.75" thickBot="1">
      <c r="A8" s="1601" t="s">
        <v>2020</v>
      </c>
      <c r="B8" s="1602"/>
      <c r="C8" s="1614" t="s">
        <v>2205</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68" t="s">
        <v>2022</v>
      </c>
      <c r="Q8" s="3569"/>
      <c r="R8" s="1609" t="s">
        <v>25</v>
      </c>
      <c r="S8" s="1610">
        <f t="shared" si="0"/>
        <v>0</v>
      </c>
      <c r="T8" s="1609" t="s">
        <v>25</v>
      </c>
      <c r="U8" s="1610">
        <f t="shared" si="1"/>
        <v>0</v>
      </c>
      <c r="V8" s="1609" t="s">
        <v>25</v>
      </c>
      <c r="W8" s="1610">
        <f t="shared" si="2"/>
        <v>0</v>
      </c>
      <c r="X8" s="1611"/>
      <c r="Y8" s="3568" t="s">
        <v>2022</v>
      </c>
      <c r="Z8" s="3569"/>
      <c r="AA8" s="1612" t="e">
        <f t="shared" ref="AA8:AA45" si="3">D8/F8</f>
        <v>#DIV/0!</v>
      </c>
      <c r="AB8" s="1612" t="e">
        <f t="shared" ref="AB8:AB45" si="4">D8/H8</f>
        <v>#DIV/0!</v>
      </c>
      <c r="AC8" s="1612" t="e">
        <f t="shared" ref="AC8:AC45" si="5">D8/J8</f>
        <v>#DIV/0!</v>
      </c>
    </row>
    <row r="9" spans="1:30" s="1613" customFormat="1">
      <c r="A9" s="1564" t="s">
        <v>2023</v>
      </c>
      <c r="B9" s="1616" t="s">
        <v>2024</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65" t="s">
        <v>2025</v>
      </c>
      <c r="Q9" s="1563" t="str">
        <f t="shared" ref="Q9:Q15" si="6">B9</f>
        <v>用途</v>
      </c>
      <c r="R9" s="1609" t="s">
        <v>25</v>
      </c>
      <c r="S9" s="1610">
        <f t="shared" si="0"/>
        <v>100</v>
      </c>
      <c r="T9" s="1609" t="s">
        <v>25</v>
      </c>
      <c r="U9" s="1610">
        <f t="shared" si="1"/>
        <v>100</v>
      </c>
      <c r="V9" s="1609" t="s">
        <v>25</v>
      </c>
      <c r="W9" s="1610">
        <f t="shared" si="2"/>
        <v>100</v>
      </c>
      <c r="X9" s="1611"/>
      <c r="Y9" s="3494" t="s">
        <v>2026</v>
      </c>
      <c r="Z9" s="1622" t="str">
        <f t="shared" ref="Z9:Z15" si="7">Q9</f>
        <v>用途</v>
      </c>
      <c r="AA9" s="1612">
        <f t="shared" si="3"/>
        <v>1</v>
      </c>
      <c r="AB9" s="1612">
        <f t="shared" si="4"/>
        <v>1</v>
      </c>
      <c r="AC9" s="1612">
        <f t="shared" si="5"/>
        <v>1</v>
      </c>
    </row>
    <row r="10" spans="1:30" s="1630" customFormat="1" ht="27">
      <c r="A10" s="1623"/>
      <c r="B10" s="1624" t="s">
        <v>2027</v>
      </c>
      <c r="C10" s="1636"/>
      <c r="D10" s="1626">
        <v>100</v>
      </c>
      <c r="E10" s="1688"/>
      <c r="F10" s="1626">
        <f>ROUND(100/'数据-取费表'!B14,0)</f>
        <v>111</v>
      </c>
      <c r="G10" s="1686"/>
      <c r="H10" s="1626">
        <f>ROUND(100/'数据-取费表'!B14,0)</f>
        <v>111</v>
      </c>
      <c r="I10" s="1686"/>
      <c r="J10" s="1626">
        <f>ROUND(100/'数据-取费表'!B14,0)</f>
        <v>111</v>
      </c>
      <c r="K10" s="1898"/>
      <c r="L10" s="2917"/>
      <c r="M10" s="2918"/>
      <c r="N10" s="2918"/>
      <c r="O10" s="2963"/>
      <c r="P10" s="3565"/>
      <c r="Q10" s="1563" t="str">
        <f t="shared" si="6"/>
        <v>土地使用年限（年）</v>
      </c>
      <c r="R10" s="1609" t="s">
        <v>25</v>
      </c>
      <c r="S10" s="1610">
        <f t="shared" si="0"/>
        <v>111</v>
      </c>
      <c r="T10" s="1609" t="s">
        <v>25</v>
      </c>
      <c r="U10" s="1610">
        <f t="shared" si="1"/>
        <v>111</v>
      </c>
      <c r="V10" s="1609" t="s">
        <v>25</v>
      </c>
      <c r="W10" s="1610">
        <f t="shared" si="2"/>
        <v>111</v>
      </c>
      <c r="X10" s="1611"/>
      <c r="Y10" s="3494"/>
      <c r="Z10" s="1622" t="str">
        <f t="shared" si="7"/>
        <v>土地使用年限（年）</v>
      </c>
      <c r="AA10" s="1612">
        <f t="shared" si="3"/>
        <v>0.90090090090090091</v>
      </c>
      <c r="AB10" s="1612">
        <f t="shared" si="4"/>
        <v>0.90090090090090091</v>
      </c>
      <c r="AC10" s="1612">
        <f t="shared" si="5"/>
        <v>0.90090090090090091</v>
      </c>
    </row>
    <row r="11" spans="1:30" ht="15">
      <c r="A11" s="1631"/>
      <c r="B11" s="1624" t="s">
        <v>2028</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65"/>
      <c r="Q11" s="1563" t="str">
        <f t="shared" si="6"/>
        <v>容积率</v>
      </c>
      <c r="R11" s="1609" t="s">
        <v>25</v>
      </c>
      <c r="S11" s="1610" t="e">
        <f t="shared" si="0"/>
        <v>#N/A</v>
      </c>
      <c r="T11" s="1609" t="s">
        <v>25</v>
      </c>
      <c r="U11" s="1610" t="e">
        <f t="shared" si="1"/>
        <v>#N/A</v>
      </c>
      <c r="V11" s="1609" t="s">
        <v>25</v>
      </c>
      <c r="W11" s="1610" t="e">
        <f t="shared" si="2"/>
        <v>#N/A</v>
      </c>
      <c r="X11" s="1611"/>
      <c r="Y11" s="3494"/>
      <c r="Z11" s="1622" t="str">
        <f t="shared" si="7"/>
        <v>容积率</v>
      </c>
      <c r="AA11" s="1612" t="e">
        <f t="shared" si="3"/>
        <v>#N/A</v>
      </c>
      <c r="AB11" s="1612" t="e">
        <f t="shared" si="4"/>
        <v>#N/A</v>
      </c>
      <c r="AC11" s="1612" t="e">
        <f t="shared" si="5"/>
        <v>#N/A</v>
      </c>
    </row>
    <row r="12" spans="1:30" s="1613" customFormat="1" ht="15">
      <c r="A12" s="1634"/>
      <c r="B12" s="1635" t="s">
        <v>2206</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65"/>
      <c r="Q12" s="1563" t="str">
        <f t="shared" si="6"/>
        <v>配建</v>
      </c>
      <c r="R12" s="1609" t="s">
        <v>25</v>
      </c>
      <c r="S12" s="1610">
        <f t="shared" si="0"/>
        <v>100</v>
      </c>
      <c r="T12" s="1609" t="s">
        <v>25</v>
      </c>
      <c r="U12" s="1610">
        <f t="shared" si="1"/>
        <v>100</v>
      </c>
      <c r="V12" s="1609" t="s">
        <v>25</v>
      </c>
      <c r="W12" s="1610">
        <f t="shared" si="2"/>
        <v>100</v>
      </c>
      <c r="X12" s="1611"/>
      <c r="Y12" s="3494"/>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65"/>
      <c r="Q13" s="1563">
        <f t="shared" si="6"/>
        <v>111</v>
      </c>
      <c r="R13" s="1609" t="s">
        <v>25</v>
      </c>
      <c r="S13" s="1610">
        <f t="shared" si="0"/>
        <v>100</v>
      </c>
      <c r="T13" s="1609" t="s">
        <v>25</v>
      </c>
      <c r="U13" s="1610">
        <f t="shared" si="1"/>
        <v>100</v>
      </c>
      <c r="V13" s="1609" t="s">
        <v>25</v>
      </c>
      <c r="W13" s="1610">
        <f t="shared" si="2"/>
        <v>100</v>
      </c>
      <c r="X13" s="1611"/>
      <c r="Y13" s="3494"/>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65"/>
      <c r="Q14" s="1563">
        <f t="shared" si="6"/>
        <v>111</v>
      </c>
      <c r="R14" s="1609" t="s">
        <v>25</v>
      </c>
      <c r="S14" s="1610">
        <f t="shared" si="0"/>
        <v>100</v>
      </c>
      <c r="T14" s="1609" t="s">
        <v>25</v>
      </c>
      <c r="U14" s="1610">
        <f t="shared" si="1"/>
        <v>100</v>
      </c>
      <c r="V14" s="1609" t="s">
        <v>25</v>
      </c>
      <c r="W14" s="1610">
        <f t="shared" si="2"/>
        <v>100</v>
      </c>
      <c r="X14" s="1611"/>
      <c r="Y14" s="3494"/>
      <c r="Z14" s="1622">
        <f t="shared" si="7"/>
        <v>111</v>
      </c>
      <c r="AA14" s="1612">
        <f>D14/F14</f>
        <v>1</v>
      </c>
      <c r="AB14" s="1612">
        <f>D14/H14</f>
        <v>1</v>
      </c>
      <c r="AC14" s="1612">
        <f>D14/J14</f>
        <v>1</v>
      </c>
    </row>
    <row r="15" spans="1:30" ht="15">
      <c r="A15" s="1591" t="s">
        <v>2029</v>
      </c>
      <c r="B15" s="1901" t="s">
        <v>1464</v>
      </c>
      <c r="C15" s="1902">
        <f>估价对象房地状况!C15</f>
        <v>0</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4" t="s">
        <v>2030</v>
      </c>
      <c r="Q15" s="1544" t="str">
        <f t="shared" si="6"/>
        <v>居住社区成熟度</v>
      </c>
      <c r="R15" s="1654" t="s">
        <v>25</v>
      </c>
      <c r="S15" s="1655">
        <f t="shared" si="0"/>
        <v>100</v>
      </c>
      <c r="T15" s="1654" t="s">
        <v>25</v>
      </c>
      <c r="U15" s="1655">
        <f t="shared" si="1"/>
        <v>100</v>
      </c>
      <c r="V15" s="1654" t="s">
        <v>25</v>
      </c>
      <c r="W15" s="1655">
        <f t="shared" si="2"/>
        <v>100</v>
      </c>
      <c r="X15" s="1594"/>
      <c r="Y15" s="3594" t="s">
        <v>2030</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5"/>
      <c r="Q16" s="1544"/>
      <c r="R16" s="1654"/>
      <c r="S16" s="1655"/>
      <c r="T16" s="1654"/>
      <c r="U16" s="1655"/>
      <c r="V16" s="1654"/>
      <c r="W16" s="1655"/>
      <c r="X16" s="1594"/>
      <c r="Y16" s="3595"/>
      <c r="Z16" s="1656"/>
      <c r="AA16" s="1657">
        <v>1</v>
      </c>
      <c r="AB16" s="1657">
        <v>1</v>
      </c>
      <c r="AC16" s="1657">
        <v>1</v>
      </c>
    </row>
    <row r="17" spans="1:29" ht="15">
      <c r="A17" s="1596"/>
      <c r="B17" s="1905" t="s">
        <v>2115</v>
      </c>
      <c r="C17" s="1906">
        <f>估价对象房地状况!C16</f>
        <v>0</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5"/>
      <c r="Q17" s="1544" t="str">
        <f>B17</f>
        <v>商业繁华度</v>
      </c>
      <c r="R17" s="1654" t="s">
        <v>25</v>
      </c>
      <c r="S17" s="1655">
        <f>F17</f>
        <v>100</v>
      </c>
      <c r="T17" s="1654" t="s">
        <v>25</v>
      </c>
      <c r="U17" s="1655">
        <f>H17</f>
        <v>100</v>
      </c>
      <c r="V17" s="1654" t="s">
        <v>25</v>
      </c>
      <c r="W17" s="1655">
        <f>J17</f>
        <v>100</v>
      </c>
      <c r="X17" s="1594"/>
      <c r="Y17" s="3595"/>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5"/>
      <c r="Q18" s="1544"/>
      <c r="R18" s="1654"/>
      <c r="S18" s="1655"/>
      <c r="T18" s="1654"/>
      <c r="U18" s="1655"/>
      <c r="V18" s="1654"/>
      <c r="W18" s="1655"/>
      <c r="X18" s="1594"/>
      <c r="Y18" s="3595"/>
      <c r="Z18" s="1656"/>
      <c r="AA18" s="1657">
        <v>1</v>
      </c>
      <c r="AB18" s="1657">
        <v>1</v>
      </c>
      <c r="AC18" s="1657">
        <v>1</v>
      </c>
    </row>
    <row r="19" spans="1:29" ht="15">
      <c r="A19" s="1596"/>
      <c r="B19" s="1905" t="s">
        <v>2144</v>
      </c>
      <c r="C19" s="1906" t="str">
        <f>估价对象房地状况!C17</f>
        <v>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5"/>
      <c r="Q19" s="1544" t="str">
        <f>B19</f>
        <v>办公集聚程度</v>
      </c>
      <c r="R19" s="1654" t="s">
        <v>25</v>
      </c>
      <c r="S19" s="1655">
        <f>F19</f>
        <v>100</v>
      </c>
      <c r="T19" s="1654" t="s">
        <v>25</v>
      </c>
      <c r="U19" s="1655">
        <f>H19</f>
        <v>100</v>
      </c>
      <c r="V19" s="1654" t="s">
        <v>25</v>
      </c>
      <c r="W19" s="1655">
        <f>J19</f>
        <v>100</v>
      </c>
      <c r="X19" s="1594"/>
      <c r="Y19" s="3595"/>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5"/>
      <c r="Q20" s="1544"/>
      <c r="R20" s="1654"/>
      <c r="S20" s="1655"/>
      <c r="T20" s="1654"/>
      <c r="U20" s="1655"/>
      <c r="V20" s="1654"/>
      <c r="W20" s="1655"/>
      <c r="X20" s="1594"/>
      <c r="Y20" s="3595"/>
      <c r="Z20" s="1656"/>
      <c r="AA20" s="1657">
        <v>1</v>
      </c>
      <c r="AB20" s="1657">
        <v>1</v>
      </c>
      <c r="AC20" s="1657">
        <v>1</v>
      </c>
    </row>
    <row r="21" spans="1:29" ht="15">
      <c r="A21" s="1596"/>
      <c r="B21" s="1905" t="s">
        <v>2167</v>
      </c>
      <c r="C21" s="1909" t="str">
        <f>估价对象房地状况!C18</f>
        <v>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5"/>
      <c r="Q21" s="1544" t="str">
        <f>B21</f>
        <v>交通便捷度</v>
      </c>
      <c r="R21" s="1654" t="s">
        <v>25</v>
      </c>
      <c r="S21" s="1655">
        <f>F21</f>
        <v>100</v>
      </c>
      <c r="T21" s="1654" t="s">
        <v>25</v>
      </c>
      <c r="U21" s="1655">
        <f>H21</f>
        <v>100</v>
      </c>
      <c r="V21" s="1654" t="s">
        <v>25</v>
      </c>
      <c r="W21" s="1655">
        <f>J21</f>
        <v>100</v>
      </c>
      <c r="X21" s="1594"/>
      <c r="Y21" s="3595"/>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5"/>
      <c r="Q22" s="1544"/>
      <c r="R22" s="1654"/>
      <c r="S22" s="1655"/>
      <c r="T22" s="1654"/>
      <c r="U22" s="1655"/>
      <c r="V22" s="1654"/>
      <c r="W22" s="1655"/>
      <c r="X22" s="1594"/>
      <c r="Y22" s="3595"/>
      <c r="Z22" s="1656"/>
      <c r="AA22" s="1657">
        <v>1</v>
      </c>
      <c r="AB22" s="1657">
        <v>1</v>
      </c>
      <c r="AC22" s="1657">
        <v>1</v>
      </c>
    </row>
    <row r="23" spans="1:29" ht="15">
      <c r="A23" s="1596"/>
      <c r="B23" s="1386" t="s">
        <v>2207</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5"/>
      <c r="Q23" s="1544" t="str">
        <f t="shared" ref="Q23:Q37" si="8">B23</f>
        <v>区域土地利用方向</v>
      </c>
      <c r="R23" s="1654" t="s">
        <v>25</v>
      </c>
      <c r="S23" s="1655">
        <f>F23</f>
        <v>100</v>
      </c>
      <c r="T23" s="1654" t="s">
        <v>25</v>
      </c>
      <c r="U23" s="1655">
        <f>H23</f>
        <v>100</v>
      </c>
      <c r="V23" s="1654" t="s">
        <v>25</v>
      </c>
      <c r="W23" s="1655">
        <f>J23</f>
        <v>100</v>
      </c>
      <c r="X23" s="1594"/>
      <c r="Y23" s="3595"/>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5"/>
      <c r="Q24" s="1544"/>
      <c r="R24" s="1654"/>
      <c r="S24" s="1655"/>
      <c r="T24" s="1654"/>
      <c r="U24" s="1655"/>
      <c r="V24" s="1654"/>
      <c r="W24" s="1655"/>
      <c r="X24" s="1594"/>
      <c r="Y24" s="3595"/>
      <c r="Z24" s="1656"/>
      <c r="AA24" s="1657"/>
      <c r="AB24" s="1657"/>
      <c r="AC24" s="1657"/>
    </row>
    <row r="25" spans="1:29" ht="27">
      <c r="A25" s="1596"/>
      <c r="B25" s="1910" t="s">
        <v>2208</v>
      </c>
      <c r="C25" s="1906" t="str">
        <f>估价对象房地状况!C20</f>
        <v>较好</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5"/>
      <c r="Q25" s="1544" t="str">
        <f t="shared" si="8"/>
        <v>自然及人文环境状况</v>
      </c>
      <c r="R25" s="1654" t="s">
        <v>25</v>
      </c>
      <c r="S25" s="1655">
        <f>F25</f>
        <v>100</v>
      </c>
      <c r="T25" s="1654" t="s">
        <v>25</v>
      </c>
      <c r="U25" s="1655">
        <f>H25</f>
        <v>100</v>
      </c>
      <c r="V25" s="1654" t="s">
        <v>25</v>
      </c>
      <c r="W25" s="1655">
        <f>J25</f>
        <v>100</v>
      </c>
      <c r="X25" s="1594"/>
      <c r="Y25" s="3595"/>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5"/>
      <c r="Q26" s="1544"/>
      <c r="R26" s="1654"/>
      <c r="S26" s="1655"/>
      <c r="T26" s="1654"/>
      <c r="U26" s="1655"/>
      <c r="V26" s="1654"/>
      <c r="W26" s="1655"/>
      <c r="X26" s="1594"/>
      <c r="Y26" s="3595"/>
      <c r="Z26" s="1656"/>
      <c r="AA26" s="1657">
        <v>1</v>
      </c>
      <c r="AB26" s="1657">
        <v>1</v>
      </c>
      <c r="AC26" s="1657">
        <v>1</v>
      </c>
    </row>
    <row r="27" spans="1:29" ht="15">
      <c r="A27" s="1596"/>
      <c r="B27" s="1910" t="s">
        <v>2116</v>
      </c>
      <c r="C27" s="1909" t="str">
        <f>估价对象房地状况!C21</f>
        <v>较好</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5"/>
      <c r="Q27" s="1563" t="str">
        <f t="shared" ref="Q27" si="9">B27</f>
        <v>公共配套设施</v>
      </c>
      <c r="R27" s="1609" t="s">
        <v>25</v>
      </c>
      <c r="S27" s="1610">
        <f>F27</f>
        <v>100</v>
      </c>
      <c r="T27" s="1609" t="s">
        <v>25</v>
      </c>
      <c r="U27" s="1610">
        <f>H27</f>
        <v>100</v>
      </c>
      <c r="V27" s="1609" t="s">
        <v>25</v>
      </c>
      <c r="W27" s="1610">
        <f>J27</f>
        <v>100</v>
      </c>
      <c r="X27" s="1594"/>
      <c r="Y27" s="3595"/>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5"/>
      <c r="Q28" s="1544"/>
      <c r="R28" s="1654"/>
      <c r="S28" s="1655"/>
      <c r="T28" s="1654"/>
      <c r="U28" s="1655"/>
      <c r="V28" s="1654"/>
      <c r="W28" s="1655"/>
      <c r="X28" s="1594"/>
      <c r="Y28" s="3595"/>
      <c r="Z28" s="1622"/>
      <c r="AA28" s="1657">
        <v>1</v>
      </c>
      <c r="AB28" s="1657">
        <v>1</v>
      </c>
      <c r="AC28" s="1657">
        <v>1</v>
      </c>
    </row>
    <row r="29" spans="1:29" s="1613" customFormat="1" ht="15">
      <c r="A29" s="1916"/>
      <c r="B29" s="1910" t="s">
        <v>2117</v>
      </c>
      <c r="C29" s="1917" t="str">
        <f>估价对象房地状况!C22</f>
        <v>七通</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5"/>
      <c r="Q29" s="1563" t="str">
        <f t="shared" si="8"/>
        <v>基础设施水平</v>
      </c>
      <c r="R29" s="1609" t="s">
        <v>25</v>
      </c>
      <c r="S29" s="1610">
        <f>F29</f>
        <v>100</v>
      </c>
      <c r="T29" s="1609" t="s">
        <v>25</v>
      </c>
      <c r="U29" s="1610">
        <f>H29</f>
        <v>100</v>
      </c>
      <c r="V29" s="1609" t="s">
        <v>25</v>
      </c>
      <c r="W29" s="1610">
        <f>J29</f>
        <v>100</v>
      </c>
      <c r="X29" s="1611"/>
      <c r="Y29" s="3595"/>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5"/>
      <c r="Q30" s="1563"/>
      <c r="R30" s="1609"/>
      <c r="S30" s="1610"/>
      <c r="T30" s="1609"/>
      <c r="U30" s="1610"/>
      <c r="V30" s="1609"/>
      <c r="W30" s="1610"/>
      <c r="X30" s="1611"/>
      <c r="Y30" s="3595"/>
      <c r="Z30" s="1622"/>
      <c r="AA30" s="1657">
        <v>1</v>
      </c>
      <c r="AB30" s="1657">
        <v>1</v>
      </c>
      <c r="AC30" s="1657">
        <v>1</v>
      </c>
    </row>
    <row r="31" spans="1:29" ht="15">
      <c r="A31" s="1596"/>
      <c r="B31" s="1907" t="s">
        <v>2118</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5"/>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5"/>
      <c r="Z31" s="1656" t="str">
        <f t="shared" ref="Z31:Z45" si="13">Q31</f>
        <v>临街状况</v>
      </c>
      <c r="AA31" s="1657">
        <f t="shared" si="3"/>
        <v>1</v>
      </c>
      <c r="AB31" s="1657">
        <f t="shared" si="4"/>
        <v>1</v>
      </c>
      <c r="AC31" s="1657">
        <f t="shared" si="5"/>
        <v>1</v>
      </c>
    </row>
    <row r="32" spans="1:29" ht="27">
      <c r="A32" s="1596"/>
      <c r="B32" s="1910" t="s">
        <v>2148</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5"/>
      <c r="Q32" s="1544" t="str">
        <f t="shared" si="8"/>
        <v>毗邻道路的类型与等级</v>
      </c>
      <c r="R32" s="1654" t="s">
        <v>25</v>
      </c>
      <c r="S32" s="1655">
        <f t="shared" si="10"/>
        <v>100</v>
      </c>
      <c r="T32" s="1654" t="s">
        <v>25</v>
      </c>
      <c r="U32" s="1655">
        <f t="shared" si="11"/>
        <v>100</v>
      </c>
      <c r="V32" s="1654" t="s">
        <v>25</v>
      </c>
      <c r="W32" s="1655">
        <f t="shared" si="12"/>
        <v>100</v>
      </c>
      <c r="X32" s="1594"/>
      <c r="Y32" s="3595"/>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5"/>
      <c r="Q33" s="1544"/>
      <c r="R33" s="1654"/>
      <c r="S33" s="1655"/>
      <c r="T33" s="1654"/>
      <c r="U33" s="1655"/>
      <c r="V33" s="1654"/>
      <c r="W33" s="1655"/>
      <c r="X33" s="1594"/>
      <c r="Y33" s="3595"/>
      <c r="Z33" s="1656"/>
      <c r="AA33" s="1657">
        <v>1</v>
      </c>
      <c r="AB33" s="1657">
        <v>1</v>
      </c>
      <c r="AC33" s="1657">
        <v>1</v>
      </c>
    </row>
    <row r="34" spans="1:29" ht="15">
      <c r="A34" s="1596"/>
      <c r="B34" s="1919" t="s">
        <v>2209</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5"/>
      <c r="Q34" s="1544" t="str">
        <f t="shared" si="8"/>
        <v>土地级别</v>
      </c>
      <c r="R34" s="1654" t="s">
        <v>25</v>
      </c>
      <c r="S34" s="1655">
        <f t="shared" si="10"/>
        <v>100</v>
      </c>
      <c r="T34" s="1654" t="s">
        <v>25</v>
      </c>
      <c r="U34" s="1655">
        <f t="shared" si="11"/>
        <v>100</v>
      </c>
      <c r="V34" s="1654" t="s">
        <v>25</v>
      </c>
      <c r="W34" s="1655">
        <f t="shared" si="12"/>
        <v>100</v>
      </c>
      <c r="X34" s="1594"/>
      <c r="Y34" s="3595"/>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5"/>
      <c r="Q35" s="1544">
        <f t="shared" si="8"/>
        <v>111</v>
      </c>
      <c r="R35" s="1654" t="s">
        <v>25</v>
      </c>
      <c r="S35" s="1655">
        <f t="shared" si="10"/>
        <v>100</v>
      </c>
      <c r="T35" s="1654" t="s">
        <v>25</v>
      </c>
      <c r="U35" s="1655">
        <f t="shared" si="11"/>
        <v>100</v>
      </c>
      <c r="V35" s="1654" t="s">
        <v>25</v>
      </c>
      <c r="W35" s="1655">
        <f t="shared" si="12"/>
        <v>100</v>
      </c>
      <c r="X35" s="1594"/>
      <c r="Y35" s="3595"/>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596" t="s">
        <v>2036</v>
      </c>
      <c r="Q36" s="1544">
        <f t="shared" si="8"/>
        <v>111</v>
      </c>
      <c r="R36" s="1654" t="s">
        <v>25</v>
      </c>
      <c r="S36" s="1655">
        <f t="shared" si="10"/>
        <v>100</v>
      </c>
      <c r="T36" s="1654" t="s">
        <v>25</v>
      </c>
      <c r="U36" s="1655">
        <f t="shared" si="11"/>
        <v>100</v>
      </c>
      <c r="V36" s="1654" t="s">
        <v>25</v>
      </c>
      <c r="W36" s="1655">
        <f t="shared" si="12"/>
        <v>100</v>
      </c>
      <c r="X36" s="1594"/>
      <c r="Y36" s="3597" t="s">
        <v>2036</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7"/>
      <c r="Q37" s="1544">
        <f t="shared" si="8"/>
        <v>111</v>
      </c>
      <c r="R37" s="1696" t="s">
        <v>25</v>
      </c>
      <c r="S37" s="1697">
        <f t="shared" si="10"/>
        <v>100</v>
      </c>
      <c r="T37" s="1696" t="s">
        <v>25</v>
      </c>
      <c r="U37" s="1697">
        <f t="shared" si="11"/>
        <v>100</v>
      </c>
      <c r="V37" s="1696" t="s">
        <v>25</v>
      </c>
      <c r="W37" s="1697">
        <f t="shared" si="12"/>
        <v>100</v>
      </c>
      <c r="X37" s="1698"/>
      <c r="Y37" s="3597"/>
      <c r="Z37" s="1699">
        <f t="shared" si="13"/>
        <v>111</v>
      </c>
      <c r="AA37" s="1657">
        <f t="shared" si="3"/>
        <v>1</v>
      </c>
      <c r="AB37" s="1657">
        <f t="shared" si="4"/>
        <v>1</v>
      </c>
      <c r="AC37" s="1657">
        <f t="shared" si="5"/>
        <v>1</v>
      </c>
    </row>
    <row r="38" spans="1:29" ht="15">
      <c r="A38" s="1591" t="s">
        <v>2034</v>
      </c>
      <c r="B38" s="1672" t="s">
        <v>2210</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7"/>
      <c r="Q38" s="1544" t="str">
        <f>B38</f>
        <v>宗地面积</v>
      </c>
      <c r="R38" s="1654" t="s">
        <v>25</v>
      </c>
      <c r="S38" s="1655" t="e">
        <f t="shared" si="10"/>
        <v>#N/A</v>
      </c>
      <c r="T38" s="1654" t="s">
        <v>25</v>
      </c>
      <c r="U38" s="1655" t="e">
        <f t="shared" si="11"/>
        <v>#N/A</v>
      </c>
      <c r="V38" s="1654" t="s">
        <v>25</v>
      </c>
      <c r="W38" s="1655" t="e">
        <f t="shared" si="12"/>
        <v>#N/A</v>
      </c>
      <c r="X38" s="1594"/>
      <c r="Y38" s="3597"/>
      <c r="Z38" s="1656" t="str">
        <f t="shared" si="13"/>
        <v>宗地面积</v>
      </c>
      <c r="AA38" s="1657" t="e">
        <f t="shared" si="3"/>
        <v>#N/A</v>
      </c>
      <c r="AB38" s="1657" t="e">
        <f t="shared" si="4"/>
        <v>#N/A</v>
      </c>
      <c r="AC38" s="1657" t="e">
        <f t="shared" si="5"/>
        <v>#N/A</v>
      </c>
    </row>
    <row r="39" spans="1:29" ht="15">
      <c r="A39" s="1701"/>
      <c r="B39" s="1624" t="s">
        <v>2211</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7"/>
      <c r="Q39" s="1544" t="str">
        <f t="shared" ref="Q39:Q45" si="14">B39</f>
        <v>宗地形状</v>
      </c>
      <c r="R39" s="1654" t="s">
        <v>25</v>
      </c>
      <c r="S39" s="1655">
        <f t="shared" si="10"/>
        <v>100</v>
      </c>
      <c r="T39" s="1654" t="s">
        <v>25</v>
      </c>
      <c r="U39" s="1655">
        <f t="shared" si="11"/>
        <v>100</v>
      </c>
      <c r="V39" s="1654" t="s">
        <v>25</v>
      </c>
      <c r="W39" s="1655">
        <f t="shared" si="12"/>
        <v>100</v>
      </c>
      <c r="X39" s="1594"/>
      <c r="Y39" s="3597"/>
      <c r="Z39" s="1656" t="str">
        <f t="shared" si="13"/>
        <v>宗地形状</v>
      </c>
      <c r="AA39" s="1657">
        <f t="shared" si="3"/>
        <v>1</v>
      </c>
      <c r="AB39" s="1657">
        <f t="shared" si="4"/>
        <v>1</v>
      </c>
      <c r="AC39" s="1657">
        <f t="shared" si="5"/>
        <v>1</v>
      </c>
    </row>
    <row r="40" spans="1:29" ht="15">
      <c r="A40" s="1701"/>
      <c r="B40" s="1624" t="s">
        <v>2212</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7"/>
      <c r="Q40" s="1544" t="str">
        <f t="shared" si="14"/>
        <v>临街宽度及深度</v>
      </c>
      <c r="R40" s="1654" t="s">
        <v>25</v>
      </c>
      <c r="S40" s="1655">
        <f t="shared" si="10"/>
        <v>100</v>
      </c>
      <c r="T40" s="1654" t="s">
        <v>25</v>
      </c>
      <c r="U40" s="1655">
        <f t="shared" si="11"/>
        <v>100</v>
      </c>
      <c r="V40" s="1654" t="s">
        <v>25</v>
      </c>
      <c r="W40" s="1655">
        <f t="shared" si="12"/>
        <v>100</v>
      </c>
      <c r="X40" s="1594"/>
      <c r="Y40" s="3597"/>
      <c r="Z40" s="1656" t="str">
        <f t="shared" si="13"/>
        <v>临街宽度及深度</v>
      </c>
      <c r="AA40" s="1657">
        <f t="shared" si="3"/>
        <v>1</v>
      </c>
      <c r="AB40" s="1657">
        <f t="shared" si="4"/>
        <v>1</v>
      </c>
      <c r="AC40" s="1657">
        <f t="shared" si="5"/>
        <v>1</v>
      </c>
    </row>
    <row r="41" spans="1:29" s="1613" customFormat="1" ht="15">
      <c r="A41" s="1704"/>
      <c r="B41" s="1624" t="s">
        <v>2213</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7"/>
      <c r="Q41" s="1544" t="str">
        <f t="shared" si="14"/>
        <v>宗地开发程度</v>
      </c>
      <c r="R41" s="1609" t="s">
        <v>25</v>
      </c>
      <c r="S41" s="1610">
        <f t="shared" si="10"/>
        <v>100</v>
      </c>
      <c r="T41" s="1609" t="s">
        <v>25</v>
      </c>
      <c r="U41" s="1610">
        <f t="shared" si="11"/>
        <v>100</v>
      </c>
      <c r="V41" s="1609" t="s">
        <v>25</v>
      </c>
      <c r="W41" s="1610">
        <f t="shared" si="12"/>
        <v>100</v>
      </c>
      <c r="X41" s="1611"/>
      <c r="Y41" s="3597"/>
      <c r="Z41" s="1622" t="str">
        <f t="shared" si="13"/>
        <v>宗地开发程度</v>
      </c>
      <c r="AA41" s="1612">
        <f t="shared" si="3"/>
        <v>1</v>
      </c>
      <c r="AB41" s="1612">
        <f t="shared" si="4"/>
        <v>1</v>
      </c>
      <c r="AC41" s="1612">
        <f t="shared" si="5"/>
        <v>1</v>
      </c>
    </row>
    <row r="42" spans="1:29" ht="15">
      <c r="A42" s="1701"/>
      <c r="B42" s="1624" t="s">
        <v>2214</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7" t="s">
        <v>2036</v>
      </c>
      <c r="Q42" s="1544" t="str">
        <f t="shared" si="14"/>
        <v>工程地质条件</v>
      </c>
      <c r="R42" s="1654" t="s">
        <v>25</v>
      </c>
      <c r="S42" s="1655">
        <f t="shared" si="10"/>
        <v>100</v>
      </c>
      <c r="T42" s="1654" t="s">
        <v>25</v>
      </c>
      <c r="U42" s="1655">
        <f t="shared" si="11"/>
        <v>100</v>
      </c>
      <c r="V42" s="1654" t="s">
        <v>25</v>
      </c>
      <c r="W42" s="1655">
        <f t="shared" si="12"/>
        <v>100</v>
      </c>
      <c r="X42" s="1594"/>
      <c r="Y42" s="3597" t="s">
        <v>2036</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7"/>
      <c r="Q43" s="1544">
        <f t="shared" si="14"/>
        <v>111</v>
      </c>
      <c r="R43" s="1654" t="s">
        <v>25</v>
      </c>
      <c r="S43" s="1655">
        <f t="shared" si="10"/>
        <v>100</v>
      </c>
      <c r="T43" s="1654" t="s">
        <v>25</v>
      </c>
      <c r="U43" s="1655">
        <f t="shared" si="11"/>
        <v>100</v>
      </c>
      <c r="V43" s="1654" t="s">
        <v>25</v>
      </c>
      <c r="W43" s="1655">
        <f t="shared" si="12"/>
        <v>100</v>
      </c>
      <c r="X43" s="1594"/>
      <c r="Y43" s="359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7"/>
      <c r="Q44" s="1544">
        <f t="shared" si="14"/>
        <v>111</v>
      </c>
      <c r="R44" s="1654" t="s">
        <v>25</v>
      </c>
      <c r="S44" s="1655">
        <f t="shared" si="10"/>
        <v>100</v>
      </c>
      <c r="T44" s="1654" t="s">
        <v>25</v>
      </c>
      <c r="U44" s="1655">
        <f t="shared" si="11"/>
        <v>100</v>
      </c>
      <c r="V44" s="1654" t="s">
        <v>25</v>
      </c>
      <c r="W44" s="1655">
        <f t="shared" si="12"/>
        <v>100</v>
      </c>
      <c r="X44" s="1594"/>
      <c r="Y44" s="3597"/>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7"/>
      <c r="Q45" s="1544">
        <f t="shared" si="14"/>
        <v>111</v>
      </c>
      <c r="R45" s="1696" t="s">
        <v>25</v>
      </c>
      <c r="S45" s="1697">
        <f t="shared" si="10"/>
        <v>100</v>
      </c>
      <c r="T45" s="1696" t="s">
        <v>25</v>
      </c>
      <c r="U45" s="1697">
        <f t="shared" si="11"/>
        <v>100</v>
      </c>
      <c r="V45" s="1696" t="s">
        <v>25</v>
      </c>
      <c r="W45" s="1697">
        <f t="shared" si="12"/>
        <v>100</v>
      </c>
      <c r="X45" s="1698"/>
      <c r="Y45" s="3597"/>
      <c r="Z45" s="1699">
        <f t="shared" si="13"/>
        <v>111</v>
      </c>
      <c r="AA45" s="1657">
        <f t="shared" si="3"/>
        <v>1</v>
      </c>
      <c r="AB45" s="1657">
        <f t="shared" si="4"/>
        <v>1</v>
      </c>
      <c r="AC45" s="1657">
        <f t="shared" si="5"/>
        <v>1</v>
      </c>
    </row>
    <row r="46" spans="1:29" ht="15">
      <c r="A46" s="1710" t="s">
        <v>2178</v>
      </c>
      <c r="B46" s="1935" t="s">
        <v>2215</v>
      </c>
      <c r="C46" s="1936" t="s">
        <v>1</v>
      </c>
      <c r="D46" s="1937"/>
      <c r="E46" s="1938"/>
      <c r="F46" s="1939"/>
      <c r="G46" s="1940"/>
      <c r="H46" s="1941"/>
      <c r="I46" s="1938"/>
      <c r="J46" s="1941"/>
      <c r="K46" s="1942"/>
      <c r="L46" s="2921"/>
      <c r="N46" s="2916"/>
      <c r="P46" s="3565" t="str">
        <f>A46</f>
        <v>成交单价</v>
      </c>
      <c r="Q46" s="3565"/>
      <c r="R46" s="3589">
        <f>E46</f>
        <v>0</v>
      </c>
      <c r="S46" s="3589"/>
      <c r="T46" s="3589">
        <f>G46</f>
        <v>0</v>
      </c>
      <c r="U46" s="3589"/>
      <c r="V46" s="3589">
        <f>I46</f>
        <v>0</v>
      </c>
      <c r="W46" s="3589"/>
      <c r="X46" s="1720"/>
      <c r="Y46" s="1721"/>
      <c r="Z46" s="1720"/>
      <c r="AA46" s="1720"/>
      <c r="AB46" s="1720"/>
      <c r="AC46" s="1720"/>
    </row>
    <row r="47" spans="1:29" ht="15.75" thickBot="1">
      <c r="A47" s="1722" t="s">
        <v>2131</v>
      </c>
      <c r="B47" s="1943"/>
      <c r="C47" s="1944" t="e">
        <f>R48</f>
        <v>#DIV/0!</v>
      </c>
      <c r="D47" s="1725" t="s">
        <v>2502</v>
      </c>
      <c r="E47" s="1944" t="e">
        <f>R47</f>
        <v>#DIV/0!</v>
      </c>
      <c r="F47" s="1727"/>
      <c r="G47" s="1945" t="e">
        <f>T47</f>
        <v>#DIV/0!</v>
      </c>
      <c r="H47" s="1727"/>
      <c r="I47" s="1944" t="e">
        <f>V47</f>
        <v>#DIV/0!</v>
      </c>
      <c r="J47" s="1727"/>
      <c r="K47" s="2429">
        <f>F47+H47+J47</f>
        <v>0</v>
      </c>
      <c r="L47" s="2921"/>
      <c r="P47" s="3565" t="str">
        <f>A47</f>
        <v>比较价值（元/平方米）</v>
      </c>
      <c r="Q47" s="3565"/>
      <c r="R47" s="3684" t="e">
        <f>ROUND(PRODUCT(R46,AA7:AA45),0)</f>
        <v>#DIV/0!</v>
      </c>
      <c r="S47" s="3684"/>
      <c r="T47" s="3684" t="e">
        <f>ROUND(PRODUCT(T46,AB7:AB45),0)</f>
        <v>#DIV/0!</v>
      </c>
      <c r="U47" s="3684"/>
      <c r="V47" s="3684" t="e">
        <f>ROUND(PRODUCT(V46,AC7:AC45),0)</f>
        <v>#DIV/0!</v>
      </c>
      <c r="W47" s="3684"/>
      <c r="X47" s="1720"/>
      <c r="Y47" s="1720"/>
      <c r="Z47" s="1720"/>
      <c r="AA47" s="1720"/>
      <c r="AB47" s="1720"/>
      <c r="AC47" s="1720"/>
    </row>
    <row r="48" spans="1:29" ht="15.75" thickBot="1">
      <c r="A48" s="1728" t="s">
        <v>2154</v>
      </c>
      <c r="B48" s="1729"/>
      <c r="C48" s="1946" t="e">
        <f>R48</f>
        <v>#DIV/0!</v>
      </c>
      <c r="D48" s="1946"/>
      <c r="E48" s="1946"/>
      <c r="F48" s="1946"/>
      <c r="G48" s="1946"/>
      <c r="H48" s="1946"/>
      <c r="I48" s="1946"/>
      <c r="J48" s="1946"/>
      <c r="K48" s="1947"/>
      <c r="L48" s="2921"/>
      <c r="P48" s="3600" t="str">
        <f>A48</f>
        <v>估价对象XX用房的比较价值（楼面单价，元/平方米）</v>
      </c>
      <c r="Q48" s="3601"/>
      <c r="R48" s="3685" t="e">
        <f>ROUND(IF(D47="简单平均",AVERAGE(R47:W47),R47*F47+T47*H47+V47*J47),0)</f>
        <v>#DIV/0!</v>
      </c>
      <c r="S48" s="3685"/>
      <c r="T48" s="3685"/>
      <c r="U48" s="3685"/>
      <c r="V48" s="3685"/>
      <c r="W48" s="3685"/>
      <c r="X48" s="1720"/>
      <c r="Y48" s="1720"/>
      <c r="Z48" s="1720"/>
      <c r="AA48" s="1720"/>
      <c r="AB48" s="1720"/>
      <c r="AC48" s="1720"/>
    </row>
    <row r="49" spans="1:14">
      <c r="G49" s="2925"/>
    </row>
    <row r="51" spans="1:14" ht="13.5" customHeight="1">
      <c r="C51" s="383" t="s">
        <v>2133</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2134</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2135</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2216</v>
      </c>
      <c r="B55" s="1948" t="s">
        <v>2217</v>
      </c>
      <c r="C55" s="1949" t="s">
        <v>2218</v>
      </c>
      <c r="D55" s="1950" t="s">
        <v>2219</v>
      </c>
      <c r="E55" s="1951" t="s">
        <v>2220</v>
      </c>
      <c r="F55" s="1952" t="s">
        <v>2221</v>
      </c>
      <c r="G55" s="1847" t="s">
        <v>2222</v>
      </c>
      <c r="H55" s="1847" t="str">
        <f>项目基本情况!G8</f>
        <v>XX</v>
      </c>
      <c r="I55" s="1522" t="s">
        <v>2223</v>
      </c>
      <c r="J55" s="1953"/>
      <c r="K55" s="1734"/>
    </row>
    <row r="56" spans="1:14" s="1960" customFormat="1">
      <c r="A56" s="1954" t="s">
        <v>2224</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2225</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2226</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2227</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2228</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2229</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2230</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2231</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2232</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2233</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2022-7-1</v>
      </c>
      <c r="D67" s="1969">
        <f>EDATE(C67,-3)</f>
        <v>44652</v>
      </c>
      <c r="E67" s="1969">
        <f t="shared" ref="E67:O67" si="18">EDATE(D67,-3)</f>
        <v>44562</v>
      </c>
      <c r="F67" s="1969">
        <f t="shared" si="18"/>
        <v>44470</v>
      </c>
      <c r="G67" s="1969">
        <f t="shared" si="18"/>
        <v>44378</v>
      </c>
      <c r="H67" s="1969">
        <f t="shared" si="18"/>
        <v>44287</v>
      </c>
      <c r="I67" s="1969">
        <f t="shared" si="18"/>
        <v>44197</v>
      </c>
      <c r="J67" s="1969">
        <f t="shared" si="18"/>
        <v>44105</v>
      </c>
      <c r="K67" s="1969">
        <f t="shared" si="18"/>
        <v>44013</v>
      </c>
      <c r="L67" s="1969">
        <f t="shared" si="18"/>
        <v>43922</v>
      </c>
      <c r="M67" s="1969">
        <f t="shared" si="18"/>
        <v>43831</v>
      </c>
      <c r="N67" s="1969">
        <f t="shared" si="18"/>
        <v>43739</v>
      </c>
      <c r="O67" s="1969">
        <f t="shared" si="18"/>
        <v>43647</v>
      </c>
    </row>
    <row r="68" spans="1:17" ht="21.75" thickBot="1">
      <c r="A68" s="1745" t="s">
        <v>2136</v>
      </c>
      <c r="B68" s="1720"/>
      <c r="C68" s="1746"/>
      <c r="D68" s="1746"/>
      <c r="E68" s="1746"/>
      <c r="F68" s="1746"/>
      <c r="G68" s="1746"/>
      <c r="H68" s="1746"/>
      <c r="I68" s="1971"/>
      <c r="J68" s="1971"/>
      <c r="K68" s="1972"/>
      <c r="L68" s="1973"/>
      <c r="M68" s="1971"/>
      <c r="N68" s="1971"/>
      <c r="O68" s="1971"/>
      <c r="P68" s="1974"/>
      <c r="Q68" s="1750"/>
    </row>
    <row r="69" spans="1:17" s="1979" customFormat="1" ht="15">
      <c r="A69" s="1975" t="s">
        <v>2234</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2235</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2056</v>
      </c>
      <c r="B71" s="1764"/>
      <c r="C71" s="1765"/>
      <c r="D71" s="1766"/>
      <c r="E71" s="1766"/>
      <c r="F71" s="1766"/>
      <c r="G71" s="1766"/>
      <c r="H71" s="1766"/>
      <c r="I71" s="1766"/>
      <c r="J71" s="1766"/>
      <c r="K71" s="1766"/>
      <c r="L71" s="1766"/>
      <c r="M71" s="1767"/>
      <c r="N71" s="1766"/>
      <c r="O71" s="1984"/>
      <c r="P71" s="1750"/>
      <c r="Q71" s="1750"/>
    </row>
    <row r="72" spans="1:17" s="1613" customFormat="1" ht="15">
      <c r="A72" s="1768" t="s">
        <v>2020</v>
      </c>
      <c r="B72" s="1758"/>
      <c r="C72" s="1769" t="s">
        <v>2021</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2059</v>
      </c>
      <c r="B74" s="1776" t="s">
        <v>2024</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2027</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2028</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2029</v>
      </c>
      <c r="B87" s="1776" t="s">
        <v>2067</v>
      </c>
      <c r="C87" s="1814" t="s">
        <v>2068</v>
      </c>
      <c r="D87" s="1814" t="s">
        <v>2069</v>
      </c>
      <c r="E87" s="1814" t="s">
        <v>2070</v>
      </c>
      <c r="F87" s="1814" t="s">
        <v>2071</v>
      </c>
      <c r="G87" s="1814" t="s">
        <v>2072</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2236</v>
      </c>
      <c r="C89" s="579" t="s">
        <v>2068</v>
      </c>
      <c r="D89" s="579" t="s">
        <v>2069</v>
      </c>
      <c r="E89" s="579" t="s">
        <v>2070</v>
      </c>
      <c r="F89" s="579" t="s">
        <v>2071</v>
      </c>
      <c r="G89" s="579" t="s">
        <v>2072</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2155</v>
      </c>
      <c r="C91" s="579" t="s">
        <v>2068</v>
      </c>
      <c r="D91" s="579" t="s">
        <v>2069</v>
      </c>
      <c r="E91" s="579" t="s">
        <v>2070</v>
      </c>
      <c r="F91" s="579" t="s">
        <v>2071</v>
      </c>
      <c r="G91" s="579" t="s">
        <v>2072</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2073</v>
      </c>
      <c r="C93" s="579" t="s">
        <v>2068</v>
      </c>
      <c r="D93" s="579" t="s">
        <v>2069</v>
      </c>
      <c r="E93" s="579" t="s">
        <v>2070</v>
      </c>
      <c r="F93" s="579" t="s">
        <v>2071</v>
      </c>
      <c r="G93" s="579" t="s">
        <v>2072</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2237</v>
      </c>
      <c r="C95" s="579" t="s">
        <v>2068</v>
      </c>
      <c r="D95" s="579" t="s">
        <v>2069</v>
      </c>
      <c r="E95" s="579" t="s">
        <v>2070</v>
      </c>
      <c r="F95" s="579" t="s">
        <v>2071</v>
      </c>
      <c r="G95" s="579" t="s">
        <v>2072</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2238</v>
      </c>
      <c r="C97" s="1814" t="s">
        <v>2068</v>
      </c>
      <c r="D97" s="1814" t="s">
        <v>2069</v>
      </c>
      <c r="E97" s="1814" t="s">
        <v>2070</v>
      </c>
      <c r="F97" s="1814" t="s">
        <v>2071</v>
      </c>
      <c r="G97" s="1814" t="s">
        <v>2072</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2116</v>
      </c>
      <c r="C99" s="1814" t="s">
        <v>2068</v>
      </c>
      <c r="D99" s="1814" t="s">
        <v>2069</v>
      </c>
      <c r="E99" s="1814" t="s">
        <v>2070</v>
      </c>
      <c r="F99" s="1814" t="s">
        <v>2071</v>
      </c>
      <c r="G99" s="1814" t="s">
        <v>2072</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2117</v>
      </c>
      <c r="C101" s="1788" t="s">
        <v>2075</v>
      </c>
      <c r="D101" s="1788" t="s">
        <v>2076</v>
      </c>
      <c r="E101" s="1788" t="s">
        <v>2077</v>
      </c>
      <c r="F101" s="1788" t="s">
        <v>2078</v>
      </c>
      <c r="G101" s="1788" t="s">
        <v>2079</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2239</v>
      </c>
      <c r="D103" s="1788" t="s">
        <v>2240</v>
      </c>
      <c r="E103" s="1788" t="s">
        <v>2241</v>
      </c>
      <c r="F103" s="1788" t="s">
        <v>2242</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2148</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2209</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2034</v>
      </c>
      <c r="B115" s="1776" t="s">
        <v>2243</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2244</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2245</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2246</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2247</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估价对象为北京市房地产，为XX所有。根据《》[]，估价对象建筑面积为182.31平方米。根据《》[]，估价对象（分摊）出让国有建设用地使用权面积为平方米。估价对象用途为。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2022年7月21日（评估专业人员实地查勘之日）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本次估价的“房地产价值”是指在正常市场情况下，在价值时点2022年7月21日，估价对象规划用途为，假定未设立法定优先受偿款下的房地产市场价值。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2201</v>
      </c>
      <c r="B1" s="289"/>
      <c r="C1" s="290" t="s">
        <v>2248</v>
      </c>
      <c r="D1" s="614"/>
      <c r="E1" s="614"/>
      <c r="F1" s="613" t="s">
        <v>2003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2203</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2204</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54" t="s">
        <v>2006</v>
      </c>
      <c r="D4" s="3655"/>
      <c r="E4" s="3656" t="s">
        <v>2007</v>
      </c>
      <c r="F4" s="3657"/>
      <c r="G4" s="3654" t="s">
        <v>2008</v>
      </c>
      <c r="H4" s="3655"/>
      <c r="I4" s="3654" t="s">
        <v>2009</v>
      </c>
      <c r="J4" s="3655"/>
      <c r="K4" s="496" t="s">
        <v>2010</v>
      </c>
      <c r="L4" s="2943"/>
      <c r="M4" s="2944"/>
      <c r="N4" s="2944"/>
      <c r="O4" s="2944"/>
      <c r="P4" s="3658" t="s">
        <v>2011</v>
      </c>
      <c r="Q4" s="3659"/>
      <c r="R4" s="3664" t="s">
        <v>2007</v>
      </c>
      <c r="S4" s="3665"/>
      <c r="T4" s="3664" t="s">
        <v>2008</v>
      </c>
      <c r="U4" s="3665"/>
      <c r="V4" s="3670" t="s">
        <v>2009</v>
      </c>
      <c r="W4" s="3670"/>
      <c r="X4" s="1263"/>
      <c r="Y4" s="3664" t="s">
        <v>2011</v>
      </c>
      <c r="Z4" s="3665"/>
      <c r="AA4" s="3651" t="s">
        <v>2007</v>
      </c>
      <c r="AB4" s="3652" t="s">
        <v>2008</v>
      </c>
      <c r="AC4" s="3651" t="s">
        <v>2009</v>
      </c>
    </row>
    <row r="5" spans="1:29" ht="15">
      <c r="A5" s="297"/>
      <c r="B5" s="298"/>
      <c r="C5" s="3647" t="s">
        <v>2012</v>
      </c>
      <c r="D5" s="3648"/>
      <c r="E5" s="3671" t="s">
        <v>2013</v>
      </c>
      <c r="F5" s="3672"/>
      <c r="G5" s="3647" t="s">
        <v>2014</v>
      </c>
      <c r="H5" s="3648"/>
      <c r="I5" s="3647" t="s">
        <v>2015</v>
      </c>
      <c r="J5" s="3648"/>
      <c r="K5" s="496"/>
      <c r="L5" s="2943"/>
      <c r="M5" s="2944"/>
      <c r="N5" s="2944"/>
      <c r="O5" s="2944"/>
      <c r="P5" s="3660"/>
      <c r="Q5" s="3661"/>
      <c r="R5" s="3666"/>
      <c r="S5" s="3667"/>
      <c r="T5" s="3666"/>
      <c r="U5" s="3667"/>
      <c r="V5" s="3670"/>
      <c r="W5" s="3670"/>
      <c r="X5" s="1263"/>
      <c r="Y5" s="3666"/>
      <c r="Z5" s="3667"/>
      <c r="AA5" s="3652"/>
      <c r="AB5" s="3652"/>
      <c r="AC5" s="3652"/>
    </row>
    <row r="6" spans="1:29" ht="15.75" thickBot="1">
      <c r="A6" s="299"/>
      <c r="B6" s="300"/>
      <c r="C6" s="3644" t="s">
        <v>2016</v>
      </c>
      <c r="D6" s="3645"/>
      <c r="E6" s="3642" t="s">
        <v>2016</v>
      </c>
      <c r="F6" s="3643"/>
      <c r="G6" s="3644" t="s">
        <v>2016</v>
      </c>
      <c r="H6" s="3645"/>
      <c r="I6" s="3644" t="s">
        <v>2016</v>
      </c>
      <c r="J6" s="3645"/>
      <c r="K6" s="496" t="s">
        <v>2017</v>
      </c>
      <c r="L6" s="2943"/>
      <c r="M6" s="2944"/>
      <c r="N6" s="2944"/>
      <c r="O6" s="2944"/>
      <c r="P6" s="3662"/>
      <c r="Q6" s="3663"/>
      <c r="R6" s="3666"/>
      <c r="S6" s="3667"/>
      <c r="T6" s="3668"/>
      <c r="U6" s="3669"/>
      <c r="V6" s="3670"/>
      <c r="W6" s="3670"/>
      <c r="X6" s="1263"/>
      <c r="Y6" s="3668"/>
      <c r="Z6" s="3669"/>
      <c r="AA6" s="3653"/>
      <c r="AB6" s="3653"/>
      <c r="AC6" s="3653"/>
    </row>
    <row r="7" spans="1:29" s="25" customFormat="1" ht="15.75" thickBot="1">
      <c r="A7" s="301" t="s">
        <v>2018</v>
      </c>
      <c r="B7" s="302"/>
      <c r="C7" s="303">
        <f>'数据-取费表'!B2</f>
        <v>44763</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9" t="s">
        <v>2019</v>
      </c>
      <c r="Q7" s="3673"/>
      <c r="R7" s="627" t="s">
        <v>25</v>
      </c>
      <c r="S7" s="628">
        <f t="shared" ref="S7:S15" si="0">F7</f>
        <v>0</v>
      </c>
      <c r="T7" s="627" t="s">
        <v>25</v>
      </c>
      <c r="U7" s="628">
        <f t="shared" ref="U7:U15" si="1">H7</f>
        <v>0</v>
      </c>
      <c r="V7" s="627" t="s">
        <v>25</v>
      </c>
      <c r="W7" s="628">
        <f t="shared" ref="W7:W15" si="2">J7</f>
        <v>0</v>
      </c>
      <c r="X7" s="629"/>
      <c r="Y7" s="3649" t="s">
        <v>2019</v>
      </c>
      <c r="Z7" s="3650"/>
      <c r="AA7" s="630" t="e">
        <f>D7/F7</f>
        <v>#DIV/0!</v>
      </c>
      <c r="AB7" s="630" t="e">
        <f>D7/H7</f>
        <v>#DIV/0!</v>
      </c>
      <c r="AC7" s="630" t="e">
        <f>D7/J7</f>
        <v>#DIV/0!</v>
      </c>
    </row>
    <row r="8" spans="1:29" s="25" customFormat="1" ht="15.75" thickBot="1">
      <c r="A8" s="301" t="s">
        <v>2020</v>
      </c>
      <c r="B8" s="302"/>
      <c r="C8" s="307" t="s">
        <v>2205</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9" t="s">
        <v>2022</v>
      </c>
      <c r="Q8" s="3650"/>
      <c r="R8" s="627" t="s">
        <v>25</v>
      </c>
      <c r="S8" s="628">
        <f t="shared" si="0"/>
        <v>0</v>
      </c>
      <c r="T8" s="627" t="s">
        <v>25</v>
      </c>
      <c r="U8" s="628">
        <f t="shared" si="1"/>
        <v>0</v>
      </c>
      <c r="V8" s="627" t="s">
        <v>25</v>
      </c>
      <c r="W8" s="628">
        <f t="shared" si="2"/>
        <v>0</v>
      </c>
      <c r="X8" s="629"/>
      <c r="Y8" s="3649" t="s">
        <v>2022</v>
      </c>
      <c r="Z8" s="3650"/>
      <c r="AA8" s="630" t="e">
        <f t="shared" ref="AA8:AA40" si="3">D8/F8</f>
        <v>#DIV/0!</v>
      </c>
      <c r="AB8" s="630" t="e">
        <f t="shared" ref="AB8:AB40" si="4">D8/H8</f>
        <v>#DIV/0!</v>
      </c>
      <c r="AC8" s="630" t="e">
        <f t="shared" ref="AC8:AC40" si="5">D8/J8</f>
        <v>#DIV/0!</v>
      </c>
    </row>
    <row r="9" spans="1:29" s="25" customFormat="1">
      <c r="A9" s="308" t="s">
        <v>2023</v>
      </c>
      <c r="B9" s="24" t="s">
        <v>2024</v>
      </c>
      <c r="C9" s="1514" t="s">
        <v>2249</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6" t="s">
        <v>2025</v>
      </c>
      <c r="Q9" s="1255" t="str">
        <f t="shared" ref="Q9:Q15" si="6">B9</f>
        <v>用途</v>
      </c>
      <c r="R9" s="627" t="s">
        <v>25</v>
      </c>
      <c r="S9" s="628">
        <f t="shared" si="0"/>
        <v>100</v>
      </c>
      <c r="T9" s="627" t="s">
        <v>25</v>
      </c>
      <c r="U9" s="628">
        <f t="shared" si="1"/>
        <v>100</v>
      </c>
      <c r="V9" s="627" t="s">
        <v>25</v>
      </c>
      <c r="W9" s="628">
        <f t="shared" si="2"/>
        <v>100</v>
      </c>
      <c r="X9" s="629"/>
      <c r="Y9" s="3676" t="s">
        <v>2026</v>
      </c>
      <c r="Z9" s="19" t="str">
        <f t="shared" ref="Z9:Z15" si="7">Q9</f>
        <v>用途</v>
      </c>
      <c r="AA9" s="630">
        <f t="shared" si="3"/>
        <v>1</v>
      </c>
      <c r="AB9" s="630">
        <f t="shared" si="4"/>
        <v>1</v>
      </c>
      <c r="AC9" s="630">
        <f t="shared" si="5"/>
        <v>1</v>
      </c>
    </row>
    <row r="10" spans="1:29" s="317" customFormat="1" ht="27">
      <c r="A10" s="312"/>
      <c r="B10" s="313" t="s">
        <v>2027</v>
      </c>
      <c r="C10" s="322"/>
      <c r="D10" s="29">
        <v>100</v>
      </c>
      <c r="E10" s="322"/>
      <c r="F10" s="29">
        <f>ROUND(100/'数据-取费表'!B14,0)</f>
        <v>111</v>
      </c>
      <c r="G10" s="322"/>
      <c r="H10" s="29">
        <f>ROUND(100/'数据-取费表'!B14,0)</f>
        <v>111</v>
      </c>
      <c r="I10" s="322"/>
      <c r="J10" s="29">
        <f>ROUND(100/'数据-取费表'!B14,0)</f>
        <v>111</v>
      </c>
      <c r="K10" s="553"/>
      <c r="L10" s="2948"/>
      <c r="M10" s="2949"/>
      <c r="N10" s="2949"/>
      <c r="O10" s="2950"/>
      <c r="P10" s="3646"/>
      <c r="Q10" s="1255" t="str">
        <f t="shared" si="6"/>
        <v>土地使用年限（年）</v>
      </c>
      <c r="R10" s="627" t="s">
        <v>25</v>
      </c>
      <c r="S10" s="628">
        <f t="shared" si="0"/>
        <v>111</v>
      </c>
      <c r="T10" s="627" t="s">
        <v>25</v>
      </c>
      <c r="U10" s="628">
        <f t="shared" si="1"/>
        <v>111</v>
      </c>
      <c r="V10" s="627" t="s">
        <v>25</v>
      </c>
      <c r="W10" s="628">
        <f t="shared" si="2"/>
        <v>111</v>
      </c>
      <c r="X10" s="629"/>
      <c r="Y10" s="3676"/>
      <c r="Z10" s="19" t="str">
        <f t="shared" si="7"/>
        <v>土地使用年限（年）</v>
      </c>
      <c r="AA10" s="630">
        <f t="shared" si="3"/>
        <v>0.90090090090090091</v>
      </c>
      <c r="AB10" s="630">
        <f t="shared" si="4"/>
        <v>0.90090090090090091</v>
      </c>
      <c r="AC10" s="630">
        <f t="shared" si="5"/>
        <v>0.90090090090090091</v>
      </c>
    </row>
    <row r="11" spans="1:29" ht="15">
      <c r="A11" s="318"/>
      <c r="B11" s="313" t="s">
        <v>2028</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6"/>
      <c r="Q11" s="1255" t="str">
        <f t="shared" si="6"/>
        <v>容积率</v>
      </c>
      <c r="R11" s="627" t="s">
        <v>25</v>
      </c>
      <c r="S11" s="628" t="e">
        <f t="shared" si="0"/>
        <v>#N/A</v>
      </c>
      <c r="T11" s="627" t="s">
        <v>25</v>
      </c>
      <c r="U11" s="628" t="e">
        <f t="shared" si="1"/>
        <v>#N/A</v>
      </c>
      <c r="V11" s="627" t="s">
        <v>25</v>
      </c>
      <c r="W11" s="628" t="e">
        <f t="shared" si="2"/>
        <v>#N/A</v>
      </c>
      <c r="X11" s="629"/>
      <c r="Y11" s="3676"/>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6"/>
      <c r="Q12" s="1255">
        <f t="shared" si="6"/>
        <v>111</v>
      </c>
      <c r="R12" s="627" t="s">
        <v>25</v>
      </c>
      <c r="S12" s="628">
        <f t="shared" si="0"/>
        <v>100</v>
      </c>
      <c r="T12" s="627" t="s">
        <v>25</v>
      </c>
      <c r="U12" s="628">
        <f t="shared" si="1"/>
        <v>100</v>
      </c>
      <c r="V12" s="627" t="s">
        <v>25</v>
      </c>
      <c r="W12" s="628">
        <f t="shared" si="2"/>
        <v>100</v>
      </c>
      <c r="X12" s="629"/>
      <c r="Y12" s="3676"/>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6"/>
      <c r="Q13" s="1255">
        <f t="shared" si="6"/>
        <v>111</v>
      </c>
      <c r="R13" s="627" t="s">
        <v>25</v>
      </c>
      <c r="S13" s="628">
        <f t="shared" si="0"/>
        <v>100</v>
      </c>
      <c r="T13" s="627" t="s">
        <v>25</v>
      </c>
      <c r="U13" s="628">
        <f t="shared" si="1"/>
        <v>100</v>
      </c>
      <c r="V13" s="627" t="s">
        <v>25</v>
      </c>
      <c r="W13" s="628">
        <f t="shared" si="2"/>
        <v>100</v>
      </c>
      <c r="X13" s="629"/>
      <c r="Y13" s="3676"/>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6"/>
      <c r="Q14" s="1255">
        <f t="shared" si="6"/>
        <v>111</v>
      </c>
      <c r="R14" s="627" t="s">
        <v>25</v>
      </c>
      <c r="S14" s="628">
        <f t="shared" si="0"/>
        <v>100</v>
      </c>
      <c r="T14" s="627" t="s">
        <v>25</v>
      </c>
      <c r="U14" s="628">
        <f t="shared" si="1"/>
        <v>100</v>
      </c>
      <c r="V14" s="627" t="s">
        <v>25</v>
      </c>
      <c r="W14" s="628">
        <f t="shared" si="2"/>
        <v>100</v>
      </c>
      <c r="X14" s="629"/>
      <c r="Y14" s="3676"/>
      <c r="Z14" s="19">
        <f t="shared" si="7"/>
        <v>111</v>
      </c>
      <c r="AA14" s="630">
        <f t="shared" si="3"/>
        <v>1</v>
      </c>
      <c r="AB14" s="630">
        <f t="shared" si="4"/>
        <v>1</v>
      </c>
      <c r="AC14" s="630">
        <f t="shared" si="5"/>
        <v>1</v>
      </c>
    </row>
    <row r="15" spans="1:29" ht="57">
      <c r="A15" s="329" t="s">
        <v>2029</v>
      </c>
      <c r="B15" s="511" t="s">
        <v>2250</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74" t="s">
        <v>2030</v>
      </c>
      <c r="Q15" s="1262" t="str">
        <f t="shared" si="6"/>
        <v>产业集聚程度</v>
      </c>
      <c r="R15" s="631" t="s">
        <v>25</v>
      </c>
      <c r="S15" s="632">
        <f t="shared" si="0"/>
        <v>100</v>
      </c>
      <c r="T15" s="631" t="s">
        <v>25</v>
      </c>
      <c r="U15" s="632">
        <f t="shared" si="1"/>
        <v>100</v>
      </c>
      <c r="V15" s="631" t="s">
        <v>25</v>
      </c>
      <c r="W15" s="632">
        <f t="shared" si="2"/>
        <v>100</v>
      </c>
      <c r="X15" s="1263"/>
      <c r="Y15" s="3674" t="s">
        <v>2030</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75"/>
      <c r="Q16" s="1262"/>
      <c r="R16" s="631"/>
      <c r="S16" s="632"/>
      <c r="T16" s="631"/>
      <c r="U16" s="632"/>
      <c r="V16" s="631"/>
      <c r="W16" s="632"/>
      <c r="X16" s="1263"/>
      <c r="Y16" s="3675"/>
      <c r="Z16" s="1264"/>
      <c r="AA16" s="1265">
        <v>1</v>
      </c>
      <c r="AB16" s="1265">
        <v>1</v>
      </c>
      <c r="AC16" s="1265">
        <v>1</v>
      </c>
    </row>
    <row r="17" spans="1:29" ht="85.5">
      <c r="A17" s="318"/>
      <c r="B17" s="513" t="s">
        <v>2167</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75"/>
      <c r="Q17" s="1262" t="str">
        <f>B17</f>
        <v>交通便捷度</v>
      </c>
      <c r="R17" s="631" t="s">
        <v>25</v>
      </c>
      <c r="S17" s="632">
        <f>F17</f>
        <v>100</v>
      </c>
      <c r="T17" s="631" t="s">
        <v>25</v>
      </c>
      <c r="U17" s="632">
        <f>H17</f>
        <v>100</v>
      </c>
      <c r="V17" s="631" t="s">
        <v>25</v>
      </c>
      <c r="W17" s="632">
        <f>J17</f>
        <v>100</v>
      </c>
      <c r="X17" s="1263"/>
      <c r="Y17" s="3675"/>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75"/>
      <c r="Q18" s="1262"/>
      <c r="R18" s="631"/>
      <c r="S18" s="632"/>
      <c r="T18" s="631"/>
      <c r="U18" s="632"/>
      <c r="V18" s="631"/>
      <c r="W18" s="632"/>
      <c r="X18" s="1263"/>
      <c r="Y18" s="3675"/>
      <c r="Z18" s="1264"/>
      <c r="AA18" s="1265">
        <v>1</v>
      </c>
      <c r="AB18" s="1265">
        <v>1</v>
      </c>
      <c r="AC18" s="1265">
        <v>1</v>
      </c>
    </row>
    <row r="19" spans="1:29" ht="15">
      <c r="A19" s="318"/>
      <c r="B19" s="513" t="s">
        <v>2207</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75"/>
      <c r="Q19" s="1262" t="str">
        <f t="shared" ref="Q19:Q33" si="8">B19</f>
        <v>区域土地利用方向</v>
      </c>
      <c r="R19" s="631" t="s">
        <v>25</v>
      </c>
      <c r="S19" s="632">
        <f>F19</f>
        <v>100</v>
      </c>
      <c r="T19" s="631" t="s">
        <v>25</v>
      </c>
      <c r="U19" s="632">
        <f>H19</f>
        <v>100</v>
      </c>
      <c r="V19" s="631" t="s">
        <v>25</v>
      </c>
      <c r="W19" s="632">
        <f>J19</f>
        <v>100</v>
      </c>
      <c r="X19" s="1263"/>
      <c r="Y19" s="3675"/>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75"/>
      <c r="Q20" s="1262"/>
      <c r="R20" s="631"/>
      <c r="S20" s="632"/>
      <c r="T20" s="631"/>
      <c r="U20" s="632"/>
      <c r="V20" s="631"/>
      <c r="W20" s="632"/>
      <c r="X20" s="1263"/>
      <c r="Y20" s="3675"/>
      <c r="Z20" s="1264"/>
      <c r="AA20" s="1265"/>
      <c r="AB20" s="1265"/>
      <c r="AC20" s="1265"/>
    </row>
    <row r="21" spans="1:29" ht="71.25">
      <c r="A21" s="297"/>
      <c r="B21" s="513" t="s">
        <v>2251</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75"/>
      <c r="Q21" s="1262" t="str">
        <f t="shared" si="8"/>
        <v>环境状况</v>
      </c>
      <c r="R21" s="631" t="s">
        <v>25</v>
      </c>
      <c r="S21" s="632">
        <f>F21</f>
        <v>100</v>
      </c>
      <c r="T21" s="631" t="s">
        <v>25</v>
      </c>
      <c r="U21" s="632">
        <f>H21</f>
        <v>100</v>
      </c>
      <c r="V21" s="631" t="s">
        <v>25</v>
      </c>
      <c r="W21" s="632">
        <f>J21</f>
        <v>100</v>
      </c>
      <c r="X21" s="1263"/>
      <c r="Y21" s="3675"/>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75"/>
      <c r="Q22" s="1262"/>
      <c r="R22" s="631"/>
      <c r="S22" s="632"/>
      <c r="T22" s="631"/>
      <c r="U22" s="632"/>
      <c r="V22" s="631"/>
      <c r="W22" s="632"/>
      <c r="X22" s="1263"/>
      <c r="Y22" s="3675"/>
      <c r="Z22" s="1264"/>
      <c r="AA22" s="1265">
        <v>1</v>
      </c>
      <c r="AB22" s="1265">
        <v>1</v>
      </c>
      <c r="AC22" s="1265">
        <v>1</v>
      </c>
    </row>
    <row r="23" spans="1:29" s="25" customFormat="1" ht="42.75">
      <c r="A23" s="531"/>
      <c r="B23" s="513" t="s">
        <v>2116</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75"/>
      <c r="Q23" s="1255" t="str">
        <f t="shared" si="8"/>
        <v>公共配套设施</v>
      </c>
      <c r="R23" s="627" t="s">
        <v>25</v>
      </c>
      <c r="S23" s="628">
        <f>F23</f>
        <v>100</v>
      </c>
      <c r="T23" s="627" t="s">
        <v>25</v>
      </c>
      <c r="U23" s="628">
        <f>H23</f>
        <v>100</v>
      </c>
      <c r="V23" s="627" t="s">
        <v>25</v>
      </c>
      <c r="W23" s="628">
        <f>J23</f>
        <v>100</v>
      </c>
      <c r="X23" s="629"/>
      <c r="Y23" s="3675"/>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75"/>
      <c r="Q24" s="1255"/>
      <c r="R24" s="627"/>
      <c r="S24" s="628"/>
      <c r="T24" s="627"/>
      <c r="U24" s="628"/>
      <c r="V24" s="627"/>
      <c r="W24" s="628"/>
      <c r="X24" s="629"/>
      <c r="Y24" s="3675"/>
      <c r="Z24" s="19"/>
      <c r="AA24" s="630">
        <v>1</v>
      </c>
      <c r="AB24" s="630">
        <v>1</v>
      </c>
      <c r="AC24" s="630">
        <v>1</v>
      </c>
    </row>
    <row r="25" spans="1:29" s="25" customFormat="1" ht="28.5">
      <c r="A25" s="531"/>
      <c r="B25" s="515" t="s">
        <v>2117</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75"/>
      <c r="Q25" s="1255" t="str">
        <f t="shared" ref="Q25" si="9">B25</f>
        <v>基础设施水平</v>
      </c>
      <c r="R25" s="627" t="s">
        <v>25</v>
      </c>
      <c r="S25" s="628">
        <f>F25</f>
        <v>100</v>
      </c>
      <c r="T25" s="627" t="s">
        <v>25</v>
      </c>
      <c r="U25" s="628">
        <f>H25</f>
        <v>100</v>
      </c>
      <c r="V25" s="627" t="s">
        <v>25</v>
      </c>
      <c r="W25" s="628">
        <f>J25</f>
        <v>100</v>
      </c>
      <c r="X25" s="629"/>
      <c r="Y25" s="3675"/>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75"/>
      <c r="Q26" s="1255"/>
      <c r="R26" s="627"/>
      <c r="S26" s="628"/>
      <c r="T26" s="627"/>
      <c r="U26" s="628"/>
      <c r="V26" s="627"/>
      <c r="W26" s="628"/>
      <c r="X26" s="629"/>
      <c r="Y26" s="3675"/>
      <c r="Z26" s="19"/>
      <c r="AA26" s="630">
        <v>1</v>
      </c>
      <c r="AB26" s="630">
        <v>1</v>
      </c>
      <c r="AC26" s="630">
        <v>1</v>
      </c>
    </row>
    <row r="27" spans="1:29" ht="15">
      <c r="A27" s="318"/>
      <c r="B27" s="514" t="s">
        <v>2118</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75"/>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5"/>
      <c r="Z27" s="1264" t="str">
        <f t="shared" ref="Z27:Z40" si="13">Q27</f>
        <v>临街状况</v>
      </c>
      <c r="AA27" s="1265">
        <f t="shared" si="3"/>
        <v>1</v>
      </c>
      <c r="AB27" s="1265">
        <f t="shared" si="4"/>
        <v>1</v>
      </c>
      <c r="AC27" s="1265">
        <f t="shared" si="5"/>
        <v>1</v>
      </c>
    </row>
    <row r="28" spans="1:29" ht="27">
      <c r="A28" s="318"/>
      <c r="B28" s="515" t="s">
        <v>2148</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75"/>
      <c r="Q28" s="1262" t="str">
        <f t="shared" si="8"/>
        <v>毗邻道路的类型与等级</v>
      </c>
      <c r="R28" s="631" t="s">
        <v>25</v>
      </c>
      <c r="S28" s="632">
        <f t="shared" si="10"/>
        <v>100</v>
      </c>
      <c r="T28" s="631" t="s">
        <v>25</v>
      </c>
      <c r="U28" s="632">
        <f t="shared" si="11"/>
        <v>100</v>
      </c>
      <c r="V28" s="631" t="s">
        <v>25</v>
      </c>
      <c r="W28" s="632">
        <f t="shared" si="12"/>
        <v>100</v>
      </c>
      <c r="X28" s="1263"/>
      <c r="Y28" s="3675"/>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75"/>
      <c r="Q29" s="1262"/>
      <c r="R29" s="631"/>
      <c r="S29" s="632"/>
      <c r="T29" s="631"/>
      <c r="U29" s="632"/>
      <c r="V29" s="631"/>
      <c r="W29" s="632"/>
      <c r="X29" s="1263"/>
      <c r="Y29" s="3675"/>
      <c r="Z29" s="1264"/>
      <c r="AA29" s="1265">
        <v>1</v>
      </c>
      <c r="AB29" s="1265">
        <v>1</v>
      </c>
      <c r="AC29" s="1265">
        <v>1</v>
      </c>
    </row>
    <row r="30" spans="1:29" ht="15">
      <c r="A30" s="318"/>
      <c r="B30" s="535" t="s">
        <v>2209</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75"/>
      <c r="Q30" s="1262" t="str">
        <f t="shared" si="8"/>
        <v>土地级别</v>
      </c>
      <c r="R30" s="631" t="s">
        <v>25</v>
      </c>
      <c r="S30" s="632">
        <f t="shared" si="10"/>
        <v>100</v>
      </c>
      <c r="T30" s="631" t="s">
        <v>25</v>
      </c>
      <c r="U30" s="632">
        <f t="shared" si="11"/>
        <v>100</v>
      </c>
      <c r="V30" s="631" t="s">
        <v>25</v>
      </c>
      <c r="W30" s="632">
        <f t="shared" si="12"/>
        <v>100</v>
      </c>
      <c r="X30" s="1263"/>
      <c r="Y30" s="3675"/>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75"/>
      <c r="Q31" s="1262">
        <f t="shared" si="8"/>
        <v>111</v>
      </c>
      <c r="R31" s="631" t="s">
        <v>25</v>
      </c>
      <c r="S31" s="632">
        <f t="shared" si="10"/>
        <v>100</v>
      </c>
      <c r="T31" s="631" t="s">
        <v>25</v>
      </c>
      <c r="U31" s="632">
        <f t="shared" si="11"/>
        <v>100</v>
      </c>
      <c r="V31" s="631" t="s">
        <v>25</v>
      </c>
      <c r="W31" s="632">
        <f t="shared" si="12"/>
        <v>100</v>
      </c>
      <c r="X31" s="1263"/>
      <c r="Y31" s="3675"/>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77" t="s">
        <v>2036</v>
      </c>
      <c r="Q32" s="1262">
        <f t="shared" si="8"/>
        <v>111</v>
      </c>
      <c r="R32" s="631" t="s">
        <v>25</v>
      </c>
      <c r="S32" s="632">
        <f t="shared" si="10"/>
        <v>100</v>
      </c>
      <c r="T32" s="631" t="s">
        <v>25</v>
      </c>
      <c r="U32" s="632">
        <f t="shared" si="11"/>
        <v>100</v>
      </c>
      <c r="V32" s="631" t="s">
        <v>25</v>
      </c>
      <c r="W32" s="632">
        <f t="shared" si="12"/>
        <v>100</v>
      </c>
      <c r="X32" s="1263"/>
      <c r="Y32" s="3678" t="s">
        <v>2036</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78"/>
      <c r="Q33" s="1262">
        <f t="shared" si="8"/>
        <v>111</v>
      </c>
      <c r="R33" s="634" t="s">
        <v>25</v>
      </c>
      <c r="S33" s="635">
        <f t="shared" si="10"/>
        <v>100</v>
      </c>
      <c r="T33" s="634" t="s">
        <v>25</v>
      </c>
      <c r="U33" s="635">
        <f t="shared" si="11"/>
        <v>100</v>
      </c>
      <c r="V33" s="634" t="s">
        <v>25</v>
      </c>
      <c r="W33" s="635">
        <f t="shared" si="12"/>
        <v>100</v>
      </c>
      <c r="X33" s="636"/>
      <c r="Y33" s="3678"/>
      <c r="Z33" s="637">
        <f t="shared" si="13"/>
        <v>111</v>
      </c>
      <c r="AA33" s="1265">
        <f t="shared" si="3"/>
        <v>1</v>
      </c>
      <c r="AB33" s="1265">
        <f t="shared" si="4"/>
        <v>1</v>
      </c>
      <c r="AC33" s="1265">
        <f t="shared" si="5"/>
        <v>1</v>
      </c>
    </row>
    <row r="34" spans="1:29" ht="28.5">
      <c r="A34" s="360" t="s">
        <v>2034</v>
      </c>
      <c r="B34" s="345" t="s">
        <v>2210</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78"/>
      <c r="Q34" s="1262" t="str">
        <f>B34</f>
        <v>宗地面积</v>
      </c>
      <c r="R34" s="631" t="s">
        <v>25</v>
      </c>
      <c r="S34" s="632" t="e">
        <f t="shared" si="10"/>
        <v>#N/A</v>
      </c>
      <c r="T34" s="631" t="s">
        <v>25</v>
      </c>
      <c r="U34" s="632" t="e">
        <f t="shared" si="11"/>
        <v>#N/A</v>
      </c>
      <c r="V34" s="631" t="s">
        <v>25</v>
      </c>
      <c r="W34" s="632" t="e">
        <f t="shared" si="12"/>
        <v>#N/A</v>
      </c>
      <c r="X34" s="1263"/>
      <c r="Y34" s="3678"/>
      <c r="Z34" s="1264" t="str">
        <f t="shared" si="13"/>
        <v>宗地面积</v>
      </c>
      <c r="AA34" s="1265" t="e">
        <f t="shared" si="3"/>
        <v>#N/A</v>
      </c>
      <c r="AB34" s="1265" t="e">
        <f t="shared" si="4"/>
        <v>#N/A</v>
      </c>
      <c r="AC34" s="1265" t="e">
        <f t="shared" si="5"/>
        <v>#N/A</v>
      </c>
    </row>
    <row r="35" spans="1:29" ht="15">
      <c r="A35" s="360"/>
      <c r="B35" s="313" t="s">
        <v>2211</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78"/>
      <c r="Q35" s="1262" t="str">
        <f t="shared" ref="Q35:Q40" si="14">B35</f>
        <v>宗地形状</v>
      </c>
      <c r="R35" s="631" t="s">
        <v>25</v>
      </c>
      <c r="S35" s="632">
        <f t="shared" si="10"/>
        <v>100</v>
      </c>
      <c r="T35" s="631" t="s">
        <v>25</v>
      </c>
      <c r="U35" s="632">
        <f t="shared" si="11"/>
        <v>100</v>
      </c>
      <c r="V35" s="631" t="s">
        <v>25</v>
      </c>
      <c r="W35" s="632">
        <f t="shared" si="12"/>
        <v>100</v>
      </c>
      <c r="X35" s="1263"/>
      <c r="Y35" s="3678"/>
      <c r="Z35" s="1264" t="str">
        <f t="shared" si="13"/>
        <v>宗地形状</v>
      </c>
      <c r="AA35" s="1265">
        <f t="shared" si="3"/>
        <v>1</v>
      </c>
      <c r="AB35" s="1265">
        <f t="shared" si="4"/>
        <v>1</v>
      </c>
      <c r="AC35" s="1265">
        <f t="shared" si="5"/>
        <v>1</v>
      </c>
    </row>
    <row r="36" spans="1:29" s="25" customFormat="1" ht="15">
      <c r="A36" s="361"/>
      <c r="B36" s="313" t="s">
        <v>2213</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78"/>
      <c r="Q36" s="1262" t="str">
        <f t="shared" si="14"/>
        <v>宗地开发程度</v>
      </c>
      <c r="R36" s="627" t="s">
        <v>25</v>
      </c>
      <c r="S36" s="628">
        <f t="shared" si="10"/>
        <v>100</v>
      </c>
      <c r="T36" s="627" t="s">
        <v>25</v>
      </c>
      <c r="U36" s="628">
        <f t="shared" si="11"/>
        <v>100</v>
      </c>
      <c r="V36" s="627" t="s">
        <v>25</v>
      </c>
      <c r="W36" s="628">
        <f t="shared" si="12"/>
        <v>100</v>
      </c>
      <c r="X36" s="629"/>
      <c r="Y36" s="3678"/>
      <c r="Z36" s="19" t="str">
        <f t="shared" si="13"/>
        <v>宗地开发程度</v>
      </c>
      <c r="AA36" s="630">
        <f t="shared" si="3"/>
        <v>1</v>
      </c>
      <c r="AB36" s="630">
        <f t="shared" si="4"/>
        <v>1</v>
      </c>
      <c r="AC36" s="630">
        <f t="shared" si="5"/>
        <v>1</v>
      </c>
    </row>
    <row r="37" spans="1:29" ht="15">
      <c r="A37" s="360"/>
      <c r="B37" s="313" t="s">
        <v>2214</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78" t="s">
        <v>2036</v>
      </c>
      <c r="Q37" s="1262" t="str">
        <f t="shared" si="14"/>
        <v>工程地质条件</v>
      </c>
      <c r="R37" s="631" t="s">
        <v>25</v>
      </c>
      <c r="S37" s="632">
        <f t="shared" si="10"/>
        <v>100</v>
      </c>
      <c r="T37" s="631" t="s">
        <v>25</v>
      </c>
      <c r="U37" s="632">
        <f t="shared" si="11"/>
        <v>100</v>
      </c>
      <c r="V37" s="631" t="s">
        <v>25</v>
      </c>
      <c r="W37" s="632">
        <f t="shared" si="12"/>
        <v>100</v>
      </c>
      <c r="X37" s="1263"/>
      <c r="Y37" s="3678" t="s">
        <v>2036</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78"/>
      <c r="Q38" s="1262">
        <f t="shared" si="14"/>
        <v>111</v>
      </c>
      <c r="R38" s="631" t="s">
        <v>25</v>
      </c>
      <c r="S38" s="632">
        <f t="shared" si="10"/>
        <v>100</v>
      </c>
      <c r="T38" s="631" t="s">
        <v>25</v>
      </c>
      <c r="U38" s="632">
        <f t="shared" si="11"/>
        <v>100</v>
      </c>
      <c r="V38" s="631" t="s">
        <v>25</v>
      </c>
      <c r="W38" s="632">
        <f t="shared" si="12"/>
        <v>100</v>
      </c>
      <c r="X38" s="1263"/>
      <c r="Y38" s="3678"/>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78"/>
      <c r="Q39" s="1262">
        <f t="shared" si="14"/>
        <v>111</v>
      </c>
      <c r="R39" s="631" t="s">
        <v>25</v>
      </c>
      <c r="S39" s="632">
        <f t="shared" si="10"/>
        <v>100</v>
      </c>
      <c r="T39" s="631" t="s">
        <v>25</v>
      </c>
      <c r="U39" s="632">
        <f t="shared" si="11"/>
        <v>100</v>
      </c>
      <c r="V39" s="631" t="s">
        <v>25</v>
      </c>
      <c r="W39" s="632">
        <f t="shared" si="12"/>
        <v>100</v>
      </c>
      <c r="X39" s="1263"/>
      <c r="Y39" s="3678"/>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78"/>
      <c r="Q40" s="1262">
        <f t="shared" si="14"/>
        <v>111</v>
      </c>
      <c r="R40" s="634" t="s">
        <v>25</v>
      </c>
      <c r="S40" s="635">
        <f t="shared" si="10"/>
        <v>100</v>
      </c>
      <c r="T40" s="634" t="s">
        <v>25</v>
      </c>
      <c r="U40" s="635">
        <f t="shared" si="11"/>
        <v>100</v>
      </c>
      <c r="V40" s="634" t="s">
        <v>25</v>
      </c>
      <c r="W40" s="635">
        <f t="shared" si="12"/>
        <v>100</v>
      </c>
      <c r="X40" s="636"/>
      <c r="Y40" s="3678"/>
      <c r="Z40" s="637">
        <f t="shared" si="13"/>
        <v>111</v>
      </c>
      <c r="AA40" s="1265">
        <f t="shared" si="3"/>
        <v>1</v>
      </c>
      <c r="AB40" s="1265">
        <f t="shared" si="4"/>
        <v>1</v>
      </c>
      <c r="AC40" s="1265">
        <f t="shared" si="5"/>
        <v>1</v>
      </c>
    </row>
    <row r="41" spans="1:29" ht="15">
      <c r="A41" s="367" t="s">
        <v>2178</v>
      </c>
      <c r="B41" s="1519" t="s">
        <v>2252</v>
      </c>
      <c r="C41" s="562" t="s">
        <v>1</v>
      </c>
      <c r="D41" s="369"/>
      <c r="E41" s="370"/>
      <c r="F41" s="371"/>
      <c r="G41" s="372"/>
      <c r="H41" s="373"/>
      <c r="I41" s="370"/>
      <c r="J41" s="373"/>
      <c r="K41" s="640"/>
      <c r="L41" s="2955"/>
      <c r="M41" s="2944"/>
      <c r="N41" s="2944"/>
      <c r="P41" s="3646" t="str">
        <f>A41</f>
        <v>成交单价</v>
      </c>
      <c r="Q41" s="3646"/>
      <c r="R41" s="3670">
        <f>E41</f>
        <v>0</v>
      </c>
      <c r="S41" s="3670"/>
      <c r="T41" s="3670">
        <f>G41</f>
        <v>0</v>
      </c>
      <c r="U41" s="3670"/>
      <c r="V41" s="3670">
        <f>I41</f>
        <v>0</v>
      </c>
      <c r="W41" s="3670"/>
      <c r="X41" s="618"/>
      <c r="Y41" s="638"/>
      <c r="Z41" s="618"/>
      <c r="AA41" s="618"/>
      <c r="AB41" s="618"/>
      <c r="AC41" s="618"/>
    </row>
    <row r="42" spans="1:29" ht="15.75" thickBot="1">
      <c r="A42" s="374" t="s">
        <v>2131</v>
      </c>
      <c r="B42" s="563"/>
      <c r="C42" s="377" t="e">
        <f>R43</f>
        <v>#DIV/0!</v>
      </c>
      <c r="D42" s="1725" t="s">
        <v>2502</v>
      </c>
      <c r="E42" s="377" t="e">
        <f>R42</f>
        <v>#DIV/0!</v>
      </c>
      <c r="F42" s="1727"/>
      <c r="G42" s="376" t="e">
        <f>T42</f>
        <v>#DIV/0!</v>
      </c>
      <c r="H42" s="1727"/>
      <c r="I42" s="377" t="e">
        <f>V42</f>
        <v>#DIV/0!</v>
      </c>
      <c r="J42" s="1727"/>
      <c r="K42" s="2429">
        <f>F42+H42+J42</f>
        <v>0</v>
      </c>
      <c r="L42" s="2955"/>
      <c r="M42" s="2944"/>
      <c r="N42" s="2944"/>
      <c r="P42" s="3646" t="str">
        <f>A42</f>
        <v>比较价值（元/平方米）</v>
      </c>
      <c r="Q42" s="3646"/>
      <c r="R42" s="3687" t="e">
        <f>ROUND(PRODUCT(R41,AA7:AA40),0)</f>
        <v>#DIV/0!</v>
      </c>
      <c r="S42" s="3687"/>
      <c r="T42" s="3687" t="e">
        <f>ROUND(PRODUCT(T41,AB7:AB40),0)</f>
        <v>#DIV/0!</v>
      </c>
      <c r="U42" s="3687"/>
      <c r="V42" s="3687" t="e">
        <f>ROUND(PRODUCT(V41,AC7:AC40),0)</f>
        <v>#DIV/0!</v>
      </c>
      <c r="W42" s="3687"/>
      <c r="X42" s="618"/>
      <c r="Y42" s="618"/>
      <c r="Z42" s="618"/>
      <c r="AA42" s="618"/>
      <c r="AB42" s="618"/>
      <c r="AC42" s="618"/>
    </row>
    <row r="43" spans="1:29" ht="15.75" thickBot="1">
      <c r="A43" s="378" t="s">
        <v>2154</v>
      </c>
      <c r="B43" s="379"/>
      <c r="C43" s="380" t="e">
        <f>R43</f>
        <v>#DIV/0!</v>
      </c>
      <c r="D43" s="380"/>
      <c r="E43" s="380"/>
      <c r="F43" s="380"/>
      <c r="G43" s="380"/>
      <c r="H43" s="380"/>
      <c r="I43" s="380"/>
      <c r="J43" s="380"/>
      <c r="K43" s="641"/>
      <c r="L43" s="2955"/>
      <c r="M43" s="2944"/>
      <c r="N43" s="2944"/>
      <c r="P43" s="3681" t="str">
        <f>A43</f>
        <v>估价对象XX用房的比较价值（楼面单价，元/平方米）</v>
      </c>
      <c r="Q43" s="3682"/>
      <c r="R43" s="3686" t="e">
        <f>ROUND(IF(D42="简单平均",AVERAGE(R42:W42),R42*F42+T42*H42+V42*J42),0)</f>
        <v>#DIV/0!</v>
      </c>
      <c r="S43" s="3686"/>
      <c r="T43" s="3686"/>
      <c r="U43" s="3686"/>
      <c r="V43" s="3686"/>
      <c r="W43" s="3686"/>
      <c r="X43" s="618"/>
      <c r="Y43" s="618"/>
      <c r="Z43" s="618"/>
      <c r="AA43" s="618"/>
      <c r="AB43" s="618"/>
      <c r="AC43" s="618"/>
    </row>
    <row r="44" spans="1:29">
      <c r="G44" s="2958"/>
      <c r="M44" s="2944"/>
      <c r="N44" s="2944"/>
    </row>
    <row r="45" spans="1:29">
      <c r="M45" s="2944"/>
      <c r="N45" s="2944"/>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2216</v>
      </c>
      <c r="B50" s="565" t="s">
        <v>2217</v>
      </c>
      <c r="C50" s="1520" t="s">
        <v>2218</v>
      </c>
      <c r="D50" s="1521" t="s">
        <v>2219</v>
      </c>
      <c r="E50" s="566" t="s">
        <v>2220</v>
      </c>
      <c r="F50" s="567" t="s">
        <v>2221</v>
      </c>
      <c r="G50" s="1264" t="s">
        <v>2253</v>
      </c>
      <c r="H50" s="1264" t="str">
        <f>项目基本情况!G8</f>
        <v>XX</v>
      </c>
      <c r="I50" s="1238" t="s">
        <v>2223</v>
      </c>
      <c r="J50" s="916"/>
      <c r="K50" s="914"/>
    </row>
    <row r="51" spans="1:17" s="572" customFormat="1">
      <c r="A51" s="568" t="s">
        <v>2224</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2225</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2226</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2227</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2228</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2229</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2230</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2231</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2232</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2233</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2022-7-1</v>
      </c>
      <c r="D62" s="1111">
        <f>EDATE(C62,-3)</f>
        <v>44652</v>
      </c>
      <c r="E62" s="1111">
        <f t="shared" ref="E62:O62" si="18">EDATE(D62,-3)</f>
        <v>44562</v>
      </c>
      <c r="F62" s="1111">
        <f t="shared" si="18"/>
        <v>44470</v>
      </c>
      <c r="G62" s="1111">
        <f t="shared" si="18"/>
        <v>44378</v>
      </c>
      <c r="H62" s="1111">
        <f t="shared" si="18"/>
        <v>44287</v>
      </c>
      <c r="I62" s="1111">
        <f t="shared" si="18"/>
        <v>44197</v>
      </c>
      <c r="J62" s="1111">
        <f t="shared" si="18"/>
        <v>44105</v>
      </c>
      <c r="K62" s="1111">
        <f t="shared" si="18"/>
        <v>44013</v>
      </c>
      <c r="L62" s="1111">
        <f t="shared" si="18"/>
        <v>43922</v>
      </c>
      <c r="M62" s="1111">
        <f t="shared" si="18"/>
        <v>43831</v>
      </c>
      <c r="N62" s="1111">
        <f t="shared" si="18"/>
        <v>43739</v>
      </c>
      <c r="O62" s="1111">
        <f t="shared" si="18"/>
        <v>43647</v>
      </c>
    </row>
    <row r="63" spans="1:17" ht="21.75" thickBot="1">
      <c r="A63" s="620" t="s">
        <v>2136</v>
      </c>
      <c r="B63" s="618"/>
      <c r="C63" s="621"/>
      <c r="D63" s="621"/>
      <c r="E63" s="621"/>
      <c r="F63" s="622"/>
      <c r="G63" s="622"/>
      <c r="H63" s="621"/>
      <c r="I63" s="921"/>
      <c r="J63" s="921"/>
      <c r="K63" s="919"/>
      <c r="L63" s="920"/>
      <c r="M63" s="921"/>
      <c r="N63" s="921"/>
      <c r="O63" s="921"/>
      <c r="P63" s="389"/>
      <c r="Q63" s="390"/>
    </row>
    <row r="64" spans="1:17" s="394" customFormat="1" ht="15">
      <c r="A64" s="1523" t="s">
        <v>2234</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2254</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2056</v>
      </c>
      <c r="B66" s="401"/>
      <c r="C66" s="402"/>
      <c r="D66" s="403"/>
      <c r="E66" s="403"/>
      <c r="F66" s="403"/>
      <c r="G66" s="403"/>
      <c r="H66" s="403"/>
      <c r="I66" s="403"/>
      <c r="J66" s="403"/>
      <c r="K66" s="403"/>
      <c r="L66" s="403"/>
      <c r="M66" s="404"/>
      <c r="N66" s="403"/>
      <c r="O66" s="1114"/>
      <c r="P66" s="390"/>
      <c r="Q66" s="390"/>
    </row>
    <row r="67" spans="1:17" s="25" customFormat="1" ht="15">
      <c r="A67" s="406" t="s">
        <v>2020</v>
      </c>
      <c r="B67" s="396"/>
      <c r="C67" s="407" t="s">
        <v>2021</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2059</v>
      </c>
      <c r="B69" s="413" t="s">
        <v>2024</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2027</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2028</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2029</v>
      </c>
      <c r="B82" s="413" t="s">
        <v>2163</v>
      </c>
      <c r="C82" s="461" t="s">
        <v>2068</v>
      </c>
      <c r="D82" s="461" t="s">
        <v>2069</v>
      </c>
      <c r="E82" s="461" t="s">
        <v>2070</v>
      </c>
      <c r="F82" s="461" t="s">
        <v>2071</v>
      </c>
      <c r="G82" s="461" t="s">
        <v>2072</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2073</v>
      </c>
      <c r="C84" s="466" t="s">
        <v>2068</v>
      </c>
      <c r="D84" s="466" t="s">
        <v>2069</v>
      </c>
      <c r="E84" s="466" t="s">
        <v>2070</v>
      </c>
      <c r="F84" s="466" t="s">
        <v>2071</v>
      </c>
      <c r="G84" s="466" t="s">
        <v>2072</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2237</v>
      </c>
      <c r="C86" s="461" t="s">
        <v>2068</v>
      </c>
      <c r="D86" s="461" t="s">
        <v>2069</v>
      </c>
      <c r="E86" s="461" t="s">
        <v>2070</v>
      </c>
      <c r="F86" s="461" t="s">
        <v>2071</v>
      </c>
      <c r="G86" s="461" t="s">
        <v>2072</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2238</v>
      </c>
      <c r="C88" s="461" t="s">
        <v>2068</v>
      </c>
      <c r="D88" s="461" t="s">
        <v>2069</v>
      </c>
      <c r="E88" s="461" t="s">
        <v>2070</v>
      </c>
      <c r="F88" s="461" t="s">
        <v>2071</v>
      </c>
      <c r="G88" s="461" t="s">
        <v>2072</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2116</v>
      </c>
      <c r="C90" s="461" t="s">
        <v>2068</v>
      </c>
      <c r="D90" s="461" t="s">
        <v>2069</v>
      </c>
      <c r="E90" s="461" t="s">
        <v>2070</v>
      </c>
      <c r="F90" s="461" t="s">
        <v>2071</v>
      </c>
      <c r="G90" s="461" t="s">
        <v>2072</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2117</v>
      </c>
      <c r="C92" s="426" t="s">
        <v>2075</v>
      </c>
      <c r="D92" s="426" t="s">
        <v>2076</v>
      </c>
      <c r="E92" s="426" t="s">
        <v>2077</v>
      </c>
      <c r="F92" s="426" t="s">
        <v>2078</v>
      </c>
      <c r="G92" s="426" t="s">
        <v>2079</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2239</v>
      </c>
      <c r="D94" s="426" t="s">
        <v>2240</v>
      </c>
      <c r="E94" s="426" t="s">
        <v>2241</v>
      </c>
      <c r="F94" s="426" t="s">
        <v>2242</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2148</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2209</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2034</v>
      </c>
      <c r="B106" s="413" t="s">
        <v>2243</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2244</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2246</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2247</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2255</v>
      </c>
      <c r="B1" s="2026"/>
      <c r="C1" s="2027" t="s">
        <v>2256</v>
      </c>
      <c r="D1" s="2028">
        <f>SUM(D29:D30,D33:D39)</f>
        <v>182.31</v>
      </c>
      <c r="E1" s="2028"/>
      <c r="F1" s="2028"/>
      <c r="G1" s="2028"/>
      <c r="H1" s="2028"/>
      <c r="I1" s="2028"/>
      <c r="J1" s="2028"/>
      <c r="K1" s="2968"/>
      <c r="L1" s="2029" t="s">
        <v>2257</v>
      </c>
      <c r="M1" s="2030">
        <f>SUMPRODUCT((区片价!B5:B9=I2)*(区片价!C3:F3=E2)*(区片价!C5:F9))</f>
        <v>0</v>
      </c>
      <c r="N1" s="2031">
        <f>SUMPRODUCT((因素修正幅度!B5:B9=I2)*(因素修正幅度!C3:F3=E2)*(因素修正幅度!C5:F9))</f>
        <v>0</v>
      </c>
      <c r="O1" s="2968"/>
      <c r="P1" s="2968"/>
      <c r="Q1" s="2968"/>
      <c r="R1" s="2032" t="s">
        <v>2258</v>
      </c>
      <c r="S1" s="2032" t="s">
        <v>2259</v>
      </c>
      <c r="T1" s="2032" t="s">
        <v>2260</v>
      </c>
      <c r="U1" s="2032" t="s">
        <v>2261</v>
      </c>
      <c r="V1" s="2032" t="s">
        <v>2262</v>
      </c>
      <c r="W1" s="2033"/>
      <c r="X1" s="2033"/>
      <c r="Y1" s="2033"/>
      <c r="Z1" s="2033"/>
      <c r="AA1" s="2033"/>
      <c r="AB1" s="2033"/>
      <c r="AC1" s="2033"/>
      <c r="AD1" s="2034"/>
      <c r="AE1" s="2034"/>
      <c r="AF1" s="2034"/>
      <c r="AG1" s="2034"/>
      <c r="AH1" s="2034"/>
      <c r="AI1" s="2034"/>
      <c r="AJ1" s="2035"/>
    </row>
    <row r="2" spans="1:36" ht="24.75">
      <c r="A2" s="1889" t="s">
        <v>2263</v>
      </c>
      <c r="B2" s="1587" t="e">
        <f>C26</f>
        <v>#REF!</v>
      </c>
      <c r="C2" s="2036" t="s">
        <v>2264</v>
      </c>
      <c r="D2" s="1530" t="s">
        <v>2265</v>
      </c>
      <c r="E2" s="2037" t="s">
        <v>2638</v>
      </c>
      <c r="F2" s="1530" t="s">
        <v>2266</v>
      </c>
      <c r="G2" s="2038">
        <f>项目基本情况!F9</f>
        <v>0</v>
      </c>
      <c r="H2" s="1531" t="s">
        <v>2267</v>
      </c>
      <c r="I2" s="2038">
        <f>项目基本情况!F10</f>
        <v>0</v>
      </c>
      <c r="J2" s="2039"/>
      <c r="K2" s="2968"/>
      <c r="L2" s="2040" t="s">
        <v>2268</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2269</v>
      </c>
      <c r="B3" s="1587" t="e">
        <f>ROUND(B2/D1,0)</f>
        <v>#REF!</v>
      </c>
      <c r="C3" s="2036" t="s">
        <v>2270</v>
      </c>
      <c r="D3" s="1530" t="s">
        <v>2271</v>
      </c>
      <c r="E3" s="2037" t="s">
        <v>2640</v>
      </c>
      <c r="F3" s="1532" t="s">
        <v>2272</v>
      </c>
      <c r="G3" s="2044">
        <f>项目基本情况!C15</f>
        <v>0</v>
      </c>
      <c r="H3" s="50" t="s">
        <v>2273</v>
      </c>
      <c r="I3" s="2045"/>
      <c r="J3" s="2039" t="s">
        <v>2274</v>
      </c>
      <c r="K3" s="2968"/>
      <c r="L3" s="2040" t="s">
        <v>2275</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05"/>
      <c r="B4" s="3706"/>
      <c r="C4" s="3706"/>
      <c r="D4" s="3707"/>
      <c r="E4" s="3707"/>
      <c r="F4" s="3707"/>
      <c r="G4" s="3707"/>
      <c r="H4" s="3707"/>
      <c r="I4" s="3707"/>
      <c r="J4" s="3708"/>
      <c r="K4" s="2968"/>
      <c r="L4" s="2040" t="s">
        <v>2276</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2277</v>
      </c>
      <c r="B5" s="1533" t="s">
        <v>2278</v>
      </c>
      <c r="C5" s="2046">
        <f>ROUND(IF(E2="商业",C6*C7+C16,(IF(E2="住宅",C6*C12+C16,C6+C16))),0)</f>
        <v>0</v>
      </c>
      <c r="D5" s="2047">
        <f>ROUND(C6+C16,0)</f>
        <v>0</v>
      </c>
      <c r="E5" s="2047"/>
      <c r="F5" s="2048"/>
      <c r="G5" s="2049"/>
      <c r="H5" s="2049"/>
      <c r="I5" s="2049"/>
      <c r="J5" s="2006"/>
      <c r="K5" s="1595"/>
      <c r="L5" s="2040" t="s">
        <v>2279</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2280</v>
      </c>
      <c r="C6" s="2055">
        <f>SUMIF(L1:L12,G2,M1:M12)</f>
        <v>0</v>
      </c>
      <c r="D6" s="2056" t="s">
        <v>2281</v>
      </c>
      <c r="E6" s="1534"/>
      <c r="F6" s="1534"/>
      <c r="G6" s="2057"/>
      <c r="H6" s="2057"/>
      <c r="I6" s="2057"/>
      <c r="J6" s="2058"/>
      <c r="K6" s="2969"/>
      <c r="L6" s="2040" t="s">
        <v>2282</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9" t="str">
        <f>IF(E2="商业",IF(C8="不临58条商业街","",2),"")</f>
        <v/>
      </c>
      <c r="B7" s="1535" t="s">
        <v>2283</v>
      </c>
      <c r="C7" s="2059" t="e">
        <f>IF(C8="不临58条商业街",1,ROUND(1+(1.6*E8+1.2*E9+0.8*E10+0.4*E11)*C9,4))</f>
        <v>#DIV/0!</v>
      </c>
      <c r="D7" s="2060" t="s">
        <v>2284</v>
      </c>
      <c r="E7" s="2061"/>
      <c r="F7" s="2062"/>
      <c r="G7" s="2062"/>
      <c r="H7" s="2062"/>
      <c r="I7" s="2062"/>
      <c r="J7" s="2063"/>
      <c r="K7" s="2969"/>
      <c r="L7" s="2040" t="s">
        <v>2285</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2286</v>
      </c>
      <c r="X7" s="2065">
        <f>G2</f>
        <v>0</v>
      </c>
      <c r="Y7" s="2065" t="s">
        <v>2287</v>
      </c>
      <c r="Z7" s="2066">
        <f>G3</f>
        <v>0</v>
      </c>
      <c r="AA7" s="2033"/>
      <c r="AB7" s="2033"/>
      <c r="AC7" s="2033"/>
      <c r="AD7" s="2034"/>
      <c r="AE7" s="2034"/>
      <c r="AF7" s="2034"/>
      <c r="AG7" s="2034"/>
      <c r="AH7" s="2034"/>
      <c r="AI7" s="2034"/>
      <c r="AJ7" s="2035"/>
    </row>
    <row r="8" spans="1:36" ht="15">
      <c r="A8" s="3710"/>
      <c r="B8" s="50" t="s">
        <v>2288</v>
      </c>
      <c r="C8" s="2067"/>
      <c r="D8" s="65" t="s">
        <v>89</v>
      </c>
      <c r="E8" s="2068" t="e">
        <f>ROUND(C11/E7,4)</f>
        <v>#DIV/0!</v>
      </c>
      <c r="F8" s="2069" t="s">
        <v>2289</v>
      </c>
      <c r="G8" s="2070"/>
      <c r="H8" s="2070"/>
      <c r="I8" s="2070"/>
      <c r="J8" s="2071"/>
      <c r="K8" s="2968"/>
      <c r="L8" s="2040" t="s">
        <v>2290</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703" t="s">
        <v>2291</v>
      </c>
      <c r="X8" s="3704"/>
      <c r="Y8" s="2072" t="s">
        <v>2292</v>
      </c>
      <c r="Z8" s="2072" t="s">
        <v>2293</v>
      </c>
      <c r="AA8" s="2072" t="s">
        <v>2294</v>
      </c>
      <c r="AB8" s="2072" t="s">
        <v>2295</v>
      </c>
      <c r="AC8" s="2072" t="s">
        <v>2296</v>
      </c>
      <c r="AD8" s="2072" t="s">
        <v>2297</v>
      </c>
      <c r="AE8" s="2072" t="s">
        <v>2298</v>
      </c>
      <c r="AF8" s="2072" t="s">
        <v>2299</v>
      </c>
      <c r="AG8" s="2072" t="s">
        <v>2300</v>
      </c>
      <c r="AH8" s="2072" t="s">
        <v>2301</v>
      </c>
      <c r="AI8" s="2072" t="s">
        <v>2302</v>
      </c>
      <c r="AJ8" s="2072" t="s">
        <v>2303</v>
      </c>
    </row>
    <row r="9" spans="1:36" ht="15">
      <c r="A9" s="3710"/>
      <c r="B9" s="50" t="s">
        <v>2304</v>
      </c>
      <c r="C9" s="2073">
        <f>SUMIF(修正!C71:C138,C8,修正!E71:E138)</f>
        <v>0</v>
      </c>
      <c r="D9" s="50" t="s">
        <v>90</v>
      </c>
      <c r="E9" s="50" t="e">
        <f>ROUND(C11/E7,4)</f>
        <v>#DIV/0!</v>
      </c>
      <c r="F9" s="2069" t="s">
        <v>2305</v>
      </c>
      <c r="G9" s="2070"/>
      <c r="H9" s="2070"/>
      <c r="I9" s="2070"/>
      <c r="J9" s="2071"/>
      <c r="K9" s="2968"/>
      <c r="L9" s="2040" t="s">
        <v>2306</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704" t="s">
        <v>2307</v>
      </c>
      <c r="X9" s="2074" t="s">
        <v>2308</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10"/>
      <c r="B10" s="50" t="s">
        <v>2309</v>
      </c>
      <c r="C10" s="50">
        <f>SUMIF(修正!C71:C138,C8,修正!F71:F138)</f>
        <v>0</v>
      </c>
      <c r="D10" s="50" t="s">
        <v>91</v>
      </c>
      <c r="E10" s="50" t="e">
        <f>ROUND(C11/E7,4)</f>
        <v>#DIV/0!</v>
      </c>
      <c r="F10" s="2069" t="s">
        <v>2310</v>
      </c>
      <c r="G10" s="2070"/>
      <c r="H10" s="2070"/>
      <c r="I10" s="2070"/>
      <c r="J10" s="2071"/>
      <c r="K10" s="2968"/>
      <c r="L10" s="2040" t="s">
        <v>2311</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704"/>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10"/>
      <c r="B11" s="1536" t="s">
        <v>2312</v>
      </c>
      <c r="C11" s="1536">
        <f>C10/4</f>
        <v>0</v>
      </c>
      <c r="D11" s="1536" t="s">
        <v>92</v>
      </c>
      <c r="E11" s="1536" t="e">
        <f>ROUND(C11/E7,4)</f>
        <v>#DIV/0!</v>
      </c>
      <c r="F11" s="2078" t="s">
        <v>2313</v>
      </c>
      <c r="G11" s="2079"/>
      <c r="H11" s="2079"/>
      <c r="I11" s="2079"/>
      <c r="J11" s="2080"/>
      <c r="K11" s="2968"/>
      <c r="L11" s="2040" t="s">
        <v>2314</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704" t="s">
        <v>2315</v>
      </c>
      <c r="X11" s="2081" t="s">
        <v>2316</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9">
        <f>IF(E2="住宅",2,"")</f>
        <v>2</v>
      </c>
      <c r="B12" s="1537" t="s">
        <v>2317</v>
      </c>
      <c r="C12" s="2059">
        <f>ROUND(C15*D15*E15*F15*G15*H15*I15*J15,4)</f>
        <v>1.32</v>
      </c>
      <c r="D12" s="2083" t="s">
        <v>2318</v>
      </c>
      <c r="E12" s="2084"/>
      <c r="F12" s="2084"/>
      <c r="G12" s="2084"/>
      <c r="H12" s="2084"/>
      <c r="I12" s="2084"/>
      <c r="J12" s="2085"/>
      <c r="K12" s="2968"/>
      <c r="L12" s="2086" t="s">
        <v>2319</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704"/>
      <c r="X12" s="2089" t="s">
        <v>2320</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11"/>
      <c r="B13" s="1538" t="s">
        <v>2321</v>
      </c>
      <c r="C13" s="2090" t="s">
        <v>2322</v>
      </c>
      <c r="D13" s="1539" t="s">
        <v>2323</v>
      </c>
      <c r="E13" s="1539" t="s">
        <v>2324</v>
      </c>
      <c r="F13" s="264" t="s">
        <v>2325</v>
      </c>
      <c r="G13" s="2091" t="s">
        <v>2326</v>
      </c>
      <c r="H13" s="2091" t="s">
        <v>2326</v>
      </c>
      <c r="I13" s="2091" t="s">
        <v>2326</v>
      </c>
      <c r="J13" s="2092" t="s">
        <v>2326</v>
      </c>
      <c r="K13" s="2968"/>
      <c r="L13" s="2968"/>
      <c r="M13" s="2968"/>
      <c r="N13" s="2968"/>
      <c r="O13" s="2968"/>
      <c r="P13" s="2968"/>
      <c r="Q13" s="2968"/>
      <c r="R13" s="2032">
        <v>12</v>
      </c>
      <c r="S13" s="2043"/>
      <c r="T13" s="2032">
        <f t="shared" si="1"/>
        <v>0</v>
      </c>
      <c r="U13" s="2043"/>
      <c r="V13" s="2032">
        <f t="shared" si="2"/>
        <v>0</v>
      </c>
      <c r="W13" s="3704"/>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11"/>
      <c r="B14" s="1539"/>
      <c r="C14" s="2093" t="s">
        <v>2327</v>
      </c>
      <c r="D14" s="2094" t="s">
        <v>2328</v>
      </c>
      <c r="E14" s="2094" t="s">
        <v>2328</v>
      </c>
      <c r="F14" s="2095" t="s">
        <v>2329</v>
      </c>
      <c r="G14" s="2096" t="s">
        <v>2330</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12"/>
      <c r="B15" s="1540" t="s">
        <v>2331</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8">
        <f>IF(E2="办公",2,IF(E2="工业",2,IF(E2="住宅",3,IF(E2="商业",IF(C8="不临58条商业街",2,3)))))</f>
        <v>3</v>
      </c>
      <c r="B16" s="1559" t="s">
        <v>2337</v>
      </c>
      <c r="C16" s="1535">
        <f>ROUND(IF(F17="与级别开发程度一致",0,(G17-E17)/C17),0)</f>
        <v>0</v>
      </c>
      <c r="D16" s="3701" t="s">
        <v>2341</v>
      </c>
      <c r="E16" s="3702"/>
      <c r="F16" s="3701" t="s">
        <v>2338</v>
      </c>
      <c r="G16" s="3702"/>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9"/>
      <c r="B17" s="1560" t="s">
        <v>2340</v>
      </c>
      <c r="C17" s="2106">
        <f>SUMPRODUCT((修正!A2:A7=E2)*(修正!B1:M1=G2)*(修正!B2:M7))</f>
        <v>0</v>
      </c>
      <c r="D17" s="2100" t="str">
        <f>IF(OR(G2="八级",G2="九级",G2="十级",G2="十一级",G2="十二级"),"五通一平","七通一平")</f>
        <v>七通一平</v>
      </c>
      <c r="E17" s="2107">
        <f>SUMPRODUCT((修正!B1:M1=G2)*(修正!B17:M17))</f>
        <v>0</v>
      </c>
      <c r="F17" s="2108" t="s">
        <v>2641</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2343</v>
      </c>
      <c r="B18" s="1558" t="s">
        <v>2344</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2345</v>
      </c>
      <c r="B19" s="1541" t="s">
        <v>2346</v>
      </c>
      <c r="C19" s="2117">
        <f>ROUND(IF(H19="按公示增长率计算",SUMPRODUCT((地价!A3:A41=YEAR(G19)&amp;"-"&amp;ROUNDUP(MONTH(G19)/3,0))*(地价!X2:AB2=E2)*(地价!X3:AB41)),IF(H19="地价指数",M20/M19,(1+I19)^O19)),4)</f>
        <v>1.7601</v>
      </c>
      <c r="D19" s="2118" t="s">
        <v>2347</v>
      </c>
      <c r="E19" s="2119">
        <v>41640</v>
      </c>
      <c r="F19" s="2118" t="s">
        <v>2348</v>
      </c>
      <c r="G19" s="2120">
        <f>'数据-取费表'!B2</f>
        <v>44763</v>
      </c>
      <c r="H19" s="2121" t="s">
        <v>2483</v>
      </c>
      <c r="I19" s="2122" t="str">
        <f>IF(H19="季度增幅（自定义）",SUMIF(N21:N24,E2,O21:O24),"")</f>
        <v/>
      </c>
      <c r="J19" s="2123"/>
      <c r="K19" s="2970"/>
      <c r="L19" s="2004" t="s">
        <v>2349</v>
      </c>
      <c r="M19" s="2124">
        <f>ROUND(SUMIF(地价!B2:F2,E2,地价!B41:F41),0)</f>
        <v>423</v>
      </c>
      <c r="N19" s="2125" t="s">
        <v>2350</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2351</v>
      </c>
      <c r="B20" s="1542" t="s">
        <v>2352</v>
      </c>
      <c r="C20" s="2129">
        <f>ROUND(POWER(1+G20,J20-I20)*(POWER(1+G20,I20)-1)/(POWER(1+G20,J20)-1),4)</f>
        <v>0.84650000000000003</v>
      </c>
      <c r="D20" s="2130" t="s">
        <v>2353</v>
      </c>
      <c r="E20" s="3072">
        <f>存贷款利率!E21/100</f>
        <v>4.3499999999999997E-2</v>
      </c>
      <c r="F20" s="2130" t="s">
        <v>2342</v>
      </c>
      <c r="G20" s="3073">
        <f>SUMIF(M26:P26,E2,M28:P28)</f>
        <v>0.05</v>
      </c>
      <c r="H20" s="2130" t="s">
        <v>2354</v>
      </c>
      <c r="I20" s="2131">
        <f>'数据-取费表'!B13</f>
        <v>35</v>
      </c>
      <c r="J20" s="2132">
        <f>IF(E2="住宅",70,IF(E2="商业",40,50))</f>
        <v>70</v>
      </c>
      <c r="K20" s="2970"/>
      <c r="L20" s="2133" t="s">
        <v>2355</v>
      </c>
      <c r="M20" s="2134">
        <f>ROUND(SUMPRODUCT((地价!A4:A41=YEAR(G19)&amp;"-"&amp;ROUNDUP(MONTH(G19)/3,0))*(地价!B2:F2=E2)*(地价!B4:F41)),0)</f>
        <v>744</v>
      </c>
      <c r="N20" s="2135" t="s">
        <v>2356</v>
      </c>
      <c r="O20" s="2136" t="s">
        <v>2357</v>
      </c>
      <c r="P20" s="2137" t="s">
        <v>2358</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2359</v>
      </c>
      <c r="B21" s="1543" t="s">
        <v>2360</v>
      </c>
      <c r="C21" s="2139">
        <f>IF(B21="容积率修正",IF(G3&lt;=10,D22,J22),C23)</f>
        <v>0</v>
      </c>
      <c r="D21" s="2140"/>
      <c r="E21" s="2140"/>
      <c r="F21" s="2140"/>
      <c r="G21" s="2140"/>
      <c r="H21" s="2140"/>
      <c r="I21" s="2140"/>
      <c r="J21" s="2005"/>
      <c r="K21" s="2970"/>
      <c r="L21" s="2970"/>
      <c r="M21" s="2970"/>
      <c r="N21" s="2141" t="s">
        <v>2361</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2362</v>
      </c>
      <c r="C22" s="2000" t="s">
        <v>2363</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2364</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2365</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2366</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2367</v>
      </c>
      <c r="B24" s="1545" t="s">
        <v>2368</v>
      </c>
      <c r="C24" s="2149">
        <f>SUMIF(A46:A88,E2,B46:B88)</f>
        <v>1</v>
      </c>
      <c r="D24" s="2150"/>
      <c r="E24" s="2151"/>
      <c r="F24" s="2151"/>
      <c r="G24" s="2151"/>
      <c r="H24" s="2151"/>
      <c r="I24" s="2151"/>
      <c r="J24" s="2152"/>
      <c r="K24" s="2970"/>
      <c r="L24" s="2970"/>
      <c r="M24" s="2970"/>
      <c r="N24" s="2153" t="s">
        <v>2369</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2370</v>
      </c>
      <c r="B25" s="1546" t="s">
        <v>2371</v>
      </c>
      <c r="C25" s="2156"/>
      <c r="D25" s="2062"/>
      <c r="E25" s="2062"/>
      <c r="F25" s="2157"/>
      <c r="G25" s="2062"/>
      <c r="H25" s="2062"/>
      <c r="I25" s="2062"/>
      <c r="J25" s="2063"/>
      <c r="K25" s="2968"/>
      <c r="L25" s="2968"/>
      <c r="M25" s="2968"/>
      <c r="N25" s="2971" t="s">
        <v>2372</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2373</v>
      </c>
      <c r="C26" s="2808" t="e">
        <f>IF(B21="容积率修正",E29+SUM(E33:E39),SUM(V2:V16)+SUM(E33:E39))</f>
        <v>#REF!</v>
      </c>
      <c r="D26" s="2158"/>
      <c r="E26" s="2097"/>
      <c r="F26" s="1406"/>
      <c r="G26" s="2097"/>
      <c r="H26" s="2097"/>
      <c r="I26" s="2097"/>
      <c r="J26" s="2159"/>
      <c r="K26" s="2968"/>
      <c r="L26" s="2974" t="s">
        <v>2332</v>
      </c>
      <c r="M26" s="2060" t="s">
        <v>2333</v>
      </c>
      <c r="N26" s="2060" t="s">
        <v>2334</v>
      </c>
      <c r="O26" s="2060" t="s">
        <v>2335</v>
      </c>
      <c r="P26" s="2975" t="s">
        <v>2336</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2374</v>
      </c>
      <c r="C27" s="2160" t="e">
        <f>E30+SUM(I33:I39)</f>
        <v>#REF!</v>
      </c>
      <c r="D27" s="2109"/>
      <c r="E27" s="2161"/>
      <c r="F27" s="2162"/>
      <c r="G27" s="2161"/>
      <c r="H27" s="2161"/>
      <c r="I27" s="2161"/>
      <c r="J27" s="2163"/>
      <c r="K27" s="2968"/>
      <c r="L27" s="2164" t="s">
        <v>2339</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2375</v>
      </c>
      <c r="C28" s="2167" t="s">
        <v>2376</v>
      </c>
      <c r="D28" s="2167" t="s">
        <v>2377</v>
      </c>
      <c r="E28" s="1546" t="s">
        <v>2378</v>
      </c>
      <c r="F28" s="2168"/>
      <c r="G28" s="2084"/>
      <c r="H28" s="2084"/>
      <c r="I28" s="2084"/>
      <c r="J28" s="2085"/>
      <c r="K28" s="2968"/>
      <c r="L28" s="2169" t="s">
        <v>2342</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2379</v>
      </c>
      <c r="C29" s="54">
        <f>ROUND(C5*C18*C19*C20*C21*C24,0)</f>
        <v>0</v>
      </c>
      <c r="D29" s="2172">
        <f>项目基本情况!C12</f>
        <v>182.31</v>
      </c>
      <c r="E29" s="1959">
        <f>ROUND(C29*D29,0)</f>
        <v>0</v>
      </c>
      <c r="F29" s="2173" t="s">
        <v>2380</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2381</v>
      </c>
      <c r="C30" s="2100">
        <f>ROUND(IF(E2="工业",C29*M39,C29*M38),0)</f>
        <v>0</v>
      </c>
      <c r="D30" s="2177"/>
      <c r="E30" s="1959">
        <f>ROUND(C30*D30,0)</f>
        <v>0</v>
      </c>
      <c r="F30" s="2178" t="s">
        <v>2382</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2383</v>
      </c>
      <c r="C31" s="2182" t="s">
        <v>2384</v>
      </c>
      <c r="D31" s="2084"/>
      <c r="E31" s="2182"/>
      <c r="F31" s="2182"/>
      <c r="G31" s="2083" t="s">
        <v>2385</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2376</v>
      </c>
      <c r="D32" s="1736" t="s">
        <v>2377</v>
      </c>
      <c r="E32" s="1736" t="s">
        <v>2378</v>
      </c>
      <c r="F32" s="50" t="s">
        <v>2386</v>
      </c>
      <c r="G32" s="2145" t="s">
        <v>2376</v>
      </c>
      <c r="H32" s="2145" t="s">
        <v>2377</v>
      </c>
      <c r="I32" s="2145" t="s">
        <v>2378</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8" t="s">
        <v>2387</v>
      </c>
      <c r="B33" s="2185" t="s">
        <v>2388</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9"/>
      <c r="B34" s="2090" t="s">
        <v>2389</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9"/>
      <c r="B35" s="2090" t="s">
        <v>2390</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0"/>
      <c r="B36" s="2090" t="s">
        <v>2391</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2392</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2393</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2394</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2395</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2396</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2336</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2475</v>
      </c>
      <c r="C41" s="50">
        <f>ROUND(POWER(1+E41,H41-G41)*(POWER(1+E41,G41)-1)/(POWER(1+E41,H41)-1),4)</f>
        <v>0</v>
      </c>
      <c r="D41" s="50" t="s">
        <v>2473</v>
      </c>
      <c r="E41" s="2195">
        <f>G20</f>
        <v>0.05</v>
      </c>
      <c r="F41" s="50" t="s">
        <v>2474</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2397</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2398</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2399</v>
      </c>
      <c r="B47" s="2207" t="s">
        <v>2400</v>
      </c>
      <c r="C47" s="2207" t="s">
        <v>2401</v>
      </c>
      <c r="D47" s="2207" t="s">
        <v>2402</v>
      </c>
      <c r="E47" s="2208" t="s">
        <v>2403</v>
      </c>
      <c r="F47" s="2158" t="s">
        <v>2404</v>
      </c>
      <c r="G47" s="2207" t="s">
        <v>2405</v>
      </c>
      <c r="H47" s="2209" t="s">
        <v>2406</v>
      </c>
      <c r="I47" s="2207" t="s">
        <v>2407</v>
      </c>
      <c r="J47" s="1834" t="s">
        <v>2408</v>
      </c>
      <c r="K47" s="1834" t="s">
        <v>2409</v>
      </c>
      <c r="L47" s="1834" t="s">
        <v>2410</v>
      </c>
      <c r="M47" s="1834" t="s">
        <v>2411</v>
      </c>
      <c r="N47" s="1834" t="s">
        <v>2412</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24.75">
      <c r="A48" s="2206" t="s">
        <v>2413</v>
      </c>
      <c r="B48" s="2210">
        <f>估价对象房地状况!C16</f>
        <v>0</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14.25">
      <c r="A49" s="2206" t="s">
        <v>2414</v>
      </c>
      <c r="B49" s="2218" t="str">
        <f>估价对象房地状况!C18</f>
        <v>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2415</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2416</v>
      </c>
      <c r="B51" s="2220" t="s">
        <v>2417</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2418</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2419</v>
      </c>
      <c r="B53" s="2221" t="s">
        <v>2420</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4">
      <c r="A54" s="2222" t="s">
        <v>2421</v>
      </c>
      <c r="B54" s="2223" t="str">
        <f>估价对象房地状况!C21</f>
        <v>较好</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4">
      <c r="A55" s="2222" t="s">
        <v>2422</v>
      </c>
      <c r="B55" s="2218" t="str">
        <f>估价对象房地状况!C22</f>
        <v>七通</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24.75" thickBot="1">
      <c r="A56" s="2224" t="s">
        <v>2423</v>
      </c>
      <c r="B56" s="2225" t="str">
        <f>估价对象房地状况!C20</f>
        <v>较好</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2424</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2399</v>
      </c>
      <c r="B58" s="2218"/>
      <c r="C58" s="2207" t="s">
        <v>2401</v>
      </c>
      <c r="D58" s="2207" t="s">
        <v>2402</v>
      </c>
      <c r="E58" s="2208" t="s">
        <v>2403</v>
      </c>
      <c r="F58" s="2158" t="s">
        <v>2404</v>
      </c>
      <c r="G58" s="2207" t="s">
        <v>2425</v>
      </c>
      <c r="H58" s="2209" t="s">
        <v>2426</v>
      </c>
      <c r="I58" s="2207" t="s">
        <v>2427</v>
      </c>
      <c r="J58" s="1834" t="s">
        <v>2068</v>
      </c>
      <c r="K58" s="1834" t="s">
        <v>2069</v>
      </c>
      <c r="L58" s="1834" t="s">
        <v>2070</v>
      </c>
      <c r="M58" s="1834" t="s">
        <v>2071</v>
      </c>
      <c r="N58" s="1834" t="s">
        <v>2072</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24">
      <c r="A59" s="2206" t="s">
        <v>2428</v>
      </c>
      <c r="B59" s="2210" t="str">
        <f>估价对象房地状况!C17</f>
        <v>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14.25">
      <c r="A60" s="2206" t="s">
        <v>2414</v>
      </c>
      <c r="B60" s="2218" t="str">
        <f>估价对象房地状况!C18</f>
        <v>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2415</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2416</v>
      </c>
      <c r="B62" s="2220" t="s">
        <v>2417</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2418</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2419</v>
      </c>
      <c r="B64" s="2221" t="s">
        <v>2420</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4">
      <c r="A65" s="2206" t="s">
        <v>2421</v>
      </c>
      <c r="B65" s="2223" t="str">
        <f>估价对象房地状况!C21</f>
        <v>较好</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4">
      <c r="A66" s="2206" t="s">
        <v>2422</v>
      </c>
      <c r="B66" s="2223" t="str">
        <f>估价对象房地状况!C22</f>
        <v>七通</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24.75" thickBot="1">
      <c r="A67" s="2224" t="s">
        <v>2423</v>
      </c>
      <c r="B67" s="2229" t="str">
        <f>估价对象房地状况!C20</f>
        <v>较好</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2429</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2399</v>
      </c>
      <c r="B69" s="2218"/>
      <c r="C69" s="2207" t="s">
        <v>2401</v>
      </c>
      <c r="D69" s="2207" t="s">
        <v>2402</v>
      </c>
      <c r="E69" s="2208" t="s">
        <v>2403</v>
      </c>
      <c r="F69" s="2158" t="s">
        <v>2404</v>
      </c>
      <c r="G69" s="2207" t="s">
        <v>2425</v>
      </c>
      <c r="H69" s="2209" t="s">
        <v>2426</v>
      </c>
      <c r="I69" s="2207" t="s">
        <v>2427</v>
      </c>
      <c r="J69" s="1834" t="s">
        <v>2068</v>
      </c>
      <c r="K69" s="1834" t="s">
        <v>2069</v>
      </c>
      <c r="L69" s="1834" t="s">
        <v>2070</v>
      </c>
      <c r="M69" s="1834" t="s">
        <v>2071</v>
      </c>
      <c r="N69" s="1834" t="s">
        <v>2072</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24">
      <c r="A70" s="2206" t="s">
        <v>2430</v>
      </c>
      <c r="B70" s="2210">
        <f>估价对象房地状况!C15</f>
        <v>0</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14.25">
      <c r="A71" s="2206" t="s">
        <v>2414</v>
      </c>
      <c r="B71" s="2218" t="str">
        <f>估价对象房地状况!C18</f>
        <v>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2415</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2431</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4">
      <c r="A74" s="2206" t="s">
        <v>2421</v>
      </c>
      <c r="B74" s="2223" t="str">
        <f>估价对象房地状况!C21</f>
        <v>较好</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4">
      <c r="A75" s="2206" t="s">
        <v>2422</v>
      </c>
      <c r="B75" s="2223" t="str">
        <f>估价对象房地状况!C22</f>
        <v>七通</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2419</v>
      </c>
      <c r="B76" s="2221" t="s">
        <v>2420</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24">
      <c r="A77" s="2206" t="s">
        <v>2423</v>
      </c>
      <c r="B77" s="2210" t="str">
        <f>估价对象房地状况!C20</f>
        <v>较好</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2432</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2433</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2399</v>
      </c>
      <c r="B80" s="2218"/>
      <c r="C80" s="2207" t="s">
        <v>2401</v>
      </c>
      <c r="D80" s="2207" t="s">
        <v>2402</v>
      </c>
      <c r="E80" s="2208" t="s">
        <v>2403</v>
      </c>
      <c r="F80" s="2158" t="s">
        <v>2404</v>
      </c>
      <c r="G80" s="2207" t="s">
        <v>2425</v>
      </c>
      <c r="H80" s="2209" t="s">
        <v>2426</v>
      </c>
      <c r="I80" s="2207" t="s">
        <v>2427</v>
      </c>
      <c r="J80" s="1834" t="s">
        <v>2068</v>
      </c>
      <c r="K80" s="1834" t="s">
        <v>2069</v>
      </c>
      <c r="L80" s="1834" t="s">
        <v>2070</v>
      </c>
      <c r="M80" s="1834" t="s">
        <v>2071</v>
      </c>
      <c r="N80" s="1834" t="s">
        <v>2072</v>
      </c>
      <c r="Q80" s="2976"/>
      <c r="R80" s="2976"/>
      <c r="S80" s="2976"/>
      <c r="T80" s="2976"/>
      <c r="U80" s="2976"/>
      <c r="V80" s="2976"/>
      <c r="W80" s="2976"/>
      <c r="AA80" s="1552"/>
      <c r="AG80" s="2193"/>
    </row>
    <row r="81" spans="1:33" ht="38.25">
      <c r="A81" s="2206" t="s">
        <v>2434</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2414</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2415</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2431</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2421</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2422</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2419</v>
      </c>
      <c r="B87" s="2221" t="s">
        <v>2420</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2435</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0" t="s">
        <v>2436</v>
      </c>
      <c r="B90" s="3690"/>
      <c r="C90" s="3690"/>
      <c r="D90" s="3690"/>
      <c r="E90" s="3690"/>
      <c r="F90" s="3690"/>
      <c r="G90" s="3690"/>
      <c r="H90" s="3690"/>
      <c r="I90" s="3690"/>
      <c r="J90" s="3690"/>
      <c r="K90" s="2234"/>
      <c r="L90" s="2234"/>
      <c r="M90" s="2234"/>
      <c r="N90" s="2234"/>
      <c r="Q90" s="2976"/>
      <c r="R90" s="2976"/>
      <c r="S90" s="2976"/>
      <c r="T90" s="2976"/>
      <c r="U90" s="2976"/>
      <c r="V90" s="2976"/>
      <c r="W90" s="2976"/>
    </row>
    <row r="91" spans="1:33">
      <c r="A91" s="3692" t="s">
        <v>2437</v>
      </c>
      <c r="B91" s="3692" t="s">
        <v>2438</v>
      </c>
      <c r="C91" s="2173" t="s">
        <v>2439</v>
      </c>
      <c r="D91" s="2174"/>
      <c r="E91" s="2174"/>
      <c r="F91" s="2174"/>
      <c r="G91" s="2174"/>
      <c r="H91" s="2174"/>
      <c r="I91" s="2174"/>
      <c r="J91" s="2236"/>
      <c r="K91" s="1996"/>
      <c r="L91" s="1996"/>
      <c r="M91" s="1996"/>
      <c r="N91" s="1996"/>
      <c r="Q91" s="2976"/>
      <c r="R91" s="2976"/>
      <c r="S91" s="2976"/>
      <c r="T91" s="2976"/>
      <c r="U91" s="2976"/>
      <c r="V91" s="2976"/>
      <c r="W91" s="2976"/>
    </row>
    <row r="92" spans="1:33">
      <c r="A92" s="3692"/>
      <c r="B92" s="3692"/>
      <c r="C92" s="1959" t="s">
        <v>2292</v>
      </c>
      <c r="D92" s="1959" t="s">
        <v>2293</v>
      </c>
      <c r="E92" s="1959" t="s">
        <v>2294</v>
      </c>
      <c r="F92" s="1959" t="s">
        <v>2295</v>
      </c>
      <c r="G92" s="1959" t="s">
        <v>2296</v>
      </c>
      <c r="H92" s="1959" t="s">
        <v>2297</v>
      </c>
      <c r="I92" s="1959" t="s">
        <v>2298</v>
      </c>
      <c r="J92" s="1959" t="s">
        <v>2299</v>
      </c>
      <c r="K92" s="1959" t="s">
        <v>2300</v>
      </c>
      <c r="L92" s="1959" t="s">
        <v>2301</v>
      </c>
      <c r="M92" s="1959" t="s">
        <v>2302</v>
      </c>
      <c r="N92" s="1959" t="s">
        <v>2303</v>
      </c>
      <c r="Q92" s="2976"/>
      <c r="R92" s="2976"/>
      <c r="S92" s="2976"/>
      <c r="T92" s="2976"/>
      <c r="U92" s="2976"/>
      <c r="V92" s="2976"/>
      <c r="W92" s="2976"/>
    </row>
    <row r="93" spans="1:33">
      <c r="A93" s="3693" t="s">
        <v>2440</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4"/>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4"/>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4"/>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4"/>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4"/>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4"/>
      <c r="B99" s="2237" t="s">
        <v>2308</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5"/>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3" t="s">
        <v>2441</v>
      </c>
      <c r="B101" s="2241" t="s">
        <v>2442</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4"/>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4"/>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4"/>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4"/>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4"/>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4"/>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4"/>
      <c r="B108" s="3696" t="s">
        <v>2443</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5"/>
      <c r="B109" s="3697"/>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1" t="s">
        <v>2444</v>
      </c>
      <c r="B110" s="3691"/>
      <c r="C110" s="3691"/>
      <c r="D110" s="3691"/>
      <c r="E110" s="3691"/>
      <c r="F110" s="3691"/>
      <c r="G110" s="3691"/>
      <c r="H110" s="3691"/>
      <c r="I110" s="3691"/>
      <c r="J110" s="3691"/>
      <c r="K110" s="2008"/>
      <c r="L110" s="2008"/>
      <c r="M110" s="2008"/>
      <c r="N110" s="2008"/>
      <c r="Q110" s="2976"/>
      <c r="R110" s="2976"/>
      <c r="S110" s="2976"/>
      <c r="T110" s="2976"/>
      <c r="U110" s="2976"/>
      <c r="V110" s="2976"/>
      <c r="W110" s="2976"/>
    </row>
    <row r="112" spans="1:23" ht="13.5" thickBot="1"/>
    <row r="113" spans="1:13" ht="25.5" thickBot="1">
      <c r="A113" s="2243" t="s">
        <v>2445</v>
      </c>
      <c r="B113" s="2244">
        <f>G3</f>
        <v>0</v>
      </c>
      <c r="C113" s="2245" t="s">
        <v>2446</v>
      </c>
      <c r="D113" s="2246">
        <f>SUMPRODUCT((A115:A118=F113)*(B114:M114=H113)*B115:M118)</f>
        <v>0</v>
      </c>
      <c r="E113" s="1530" t="s">
        <v>2332</v>
      </c>
      <c r="F113" s="2247" t="str">
        <f>E2</f>
        <v>住宅</v>
      </c>
      <c r="G113" s="1530" t="s">
        <v>2266</v>
      </c>
      <c r="H113" s="2247">
        <f>G2</f>
        <v>0</v>
      </c>
      <c r="I113" s="1530"/>
      <c r="J113" s="2248"/>
      <c r="K113" s="2248"/>
      <c r="L113" s="2248"/>
      <c r="M113" s="2248"/>
    </row>
    <row r="114" spans="1:13">
      <c r="A114" s="2249"/>
      <c r="B114" s="2250" t="s">
        <v>2447</v>
      </c>
      <c r="C114" s="2250" t="s">
        <v>2448</v>
      </c>
      <c r="D114" s="2250" t="s">
        <v>2449</v>
      </c>
      <c r="E114" s="2251" t="s">
        <v>2450</v>
      </c>
      <c r="F114" s="2251" t="s">
        <v>2451</v>
      </c>
      <c r="G114" s="2251" t="s">
        <v>2452</v>
      </c>
      <c r="H114" s="2252" t="s">
        <v>2453</v>
      </c>
      <c r="I114" s="2252" t="s">
        <v>2454</v>
      </c>
      <c r="J114" s="2253" t="s">
        <v>2455</v>
      </c>
      <c r="K114" s="2253" t="s">
        <v>2456</v>
      </c>
      <c r="L114" s="2253" t="s">
        <v>2457</v>
      </c>
      <c r="M114" s="2254" t="s">
        <v>2458</v>
      </c>
    </row>
    <row r="115" spans="1:13">
      <c r="A115" s="2255" t="s">
        <v>2333</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2334</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2335</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2336</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3" t="s">
        <v>597</v>
      </c>
      <c r="B1" s="3713"/>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14.25">
      <c r="A4" s="680" t="s">
        <v>533</v>
      </c>
      <c r="B4" s="686">
        <f>估价对象房地状况!C4</f>
        <v>0</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14.25">
      <c r="A5" s="680" t="s">
        <v>535</v>
      </c>
      <c r="B5" s="691" t="str">
        <f>估价对象房地状况!C6</f>
        <v>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较好</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较好</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14.25">
      <c r="A15" s="680" t="s">
        <v>543</v>
      </c>
      <c r="B15" s="686" t="str">
        <f>估价对象房地状况!C5</f>
        <v>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14.25">
      <c r="A16" s="680" t="s">
        <v>535</v>
      </c>
      <c r="B16" s="681" t="str">
        <f>估价对象房地状况!C6</f>
        <v>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较好</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较好</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14.25">
      <c r="A26" s="680" t="s">
        <v>544</v>
      </c>
      <c r="B26" s="686">
        <f>估价对象房地状况!C3</f>
        <v>0</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14.25">
      <c r="A27" s="680" t="s">
        <v>535</v>
      </c>
      <c r="B27" s="681" t="str">
        <f>估价对象房地状况!C6</f>
        <v>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较好</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较好</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3" t="s">
        <v>105</v>
      </c>
      <c r="B1" s="3713"/>
      <c r="C1" s="3713"/>
      <c r="D1" s="3713"/>
      <c r="E1" s="3713"/>
      <c r="F1" s="3713"/>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4" t="s">
        <v>118</v>
      </c>
      <c r="B2" s="3714"/>
      <c r="C2" s="3714"/>
      <c r="D2" s="3714"/>
      <c r="E2" s="3714"/>
      <c r="F2" s="3714"/>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5"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6"/>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2798</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2799</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2800</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2801</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2802</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2803</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2477</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2804</v>
      </c>
      <c r="B19" s="3289" t="s">
        <v>2805</v>
      </c>
      <c r="C19" s="3316" t="s">
        <v>561</v>
      </c>
      <c r="D19" s="3288"/>
      <c r="E19" s="3284" t="s">
        <v>3022</v>
      </c>
      <c r="F19" s="3317"/>
      <c r="G19" s="3317"/>
    </row>
    <row r="20" spans="1:13" ht="19.5" customHeight="1">
      <c r="A20" s="3721" t="s">
        <v>2798</v>
      </c>
      <c r="B20" s="3724" t="s">
        <v>2806</v>
      </c>
      <c r="C20" s="3290" t="s">
        <v>2807</v>
      </c>
      <c r="D20" s="3291"/>
      <c r="E20" s="3292">
        <v>1</v>
      </c>
      <c r="F20" s="3293" t="s">
        <v>2808</v>
      </c>
      <c r="G20" s="3293"/>
    </row>
    <row r="21" spans="1:13" ht="19.5" customHeight="1">
      <c r="A21" s="3722"/>
      <c r="B21" s="3720"/>
      <c r="C21" s="740" t="s">
        <v>2809</v>
      </c>
      <c r="D21" s="741"/>
      <c r="E21" s="3294">
        <v>1</v>
      </c>
      <c r="F21" s="3293" t="s">
        <v>2810</v>
      </c>
      <c r="G21" s="3293"/>
    </row>
    <row r="22" spans="1:13" ht="19.5" customHeight="1">
      <c r="A22" s="3722"/>
      <c r="B22" s="3720"/>
      <c r="C22" s="740" t="s">
        <v>2811</v>
      </c>
      <c r="D22" s="741"/>
      <c r="E22" s="3294">
        <v>0.9</v>
      </c>
      <c r="F22" s="3293" t="s">
        <v>2812</v>
      </c>
      <c r="G22" s="3293"/>
    </row>
    <row r="23" spans="1:13" ht="19.5" customHeight="1">
      <c r="A23" s="3722"/>
      <c r="B23" s="3720"/>
      <c r="C23" s="740" t="s">
        <v>2813</v>
      </c>
      <c r="D23" s="741"/>
      <c r="E23" s="3294">
        <v>0.9</v>
      </c>
      <c r="F23" s="3293" t="s">
        <v>2814</v>
      </c>
      <c r="G23" s="3293"/>
    </row>
    <row r="24" spans="1:13" ht="19.5" customHeight="1">
      <c r="A24" s="3722"/>
      <c r="B24" s="3720"/>
      <c r="C24" s="740" t="s">
        <v>2815</v>
      </c>
      <c r="D24" s="741"/>
      <c r="E24" s="3294">
        <v>0.8</v>
      </c>
      <c r="F24" s="3293" t="s">
        <v>2816</v>
      </c>
      <c r="G24" s="3293"/>
    </row>
    <row r="25" spans="1:13" ht="19.5" customHeight="1" thickBot="1">
      <c r="A25" s="3723"/>
      <c r="B25" s="3725"/>
      <c r="C25" s="3295" t="s">
        <v>2817</v>
      </c>
      <c r="D25" s="3296"/>
      <c r="E25" s="3297">
        <v>0.8</v>
      </c>
      <c r="F25" s="3293" t="s">
        <v>2818</v>
      </c>
      <c r="G25" s="3293"/>
    </row>
    <row r="26" spans="1:13" ht="19.5" customHeight="1" thickBot="1">
      <c r="A26" s="3298" t="s">
        <v>2799</v>
      </c>
      <c r="B26" s="3299" t="s">
        <v>2806</v>
      </c>
      <c r="C26" s="3300" t="s">
        <v>2819</v>
      </c>
      <c r="D26" s="3301"/>
      <c r="E26" s="3302">
        <v>1</v>
      </c>
      <c r="F26" s="3293" t="s">
        <v>2860</v>
      </c>
      <c r="G26" s="3293"/>
    </row>
    <row r="27" spans="1:13" ht="19.5" customHeight="1">
      <c r="A27" s="3726" t="s">
        <v>2803</v>
      </c>
      <c r="B27" s="3724" t="s">
        <v>2803</v>
      </c>
      <c r="C27" s="3290" t="s">
        <v>2820</v>
      </c>
      <c r="D27" s="3291"/>
      <c r="E27" s="3292">
        <v>1</v>
      </c>
      <c r="F27" s="3293" t="s">
        <v>2861</v>
      </c>
      <c r="G27" s="3293"/>
    </row>
    <row r="28" spans="1:13" ht="19.5" customHeight="1">
      <c r="A28" s="3727"/>
      <c r="B28" s="3720"/>
      <c r="C28" s="740" t="s">
        <v>2821</v>
      </c>
      <c r="D28" s="741"/>
      <c r="E28" s="3294">
        <v>1</v>
      </c>
      <c r="F28" s="3293" t="s">
        <v>2862</v>
      </c>
      <c r="G28" s="3293"/>
    </row>
    <row r="29" spans="1:13" ht="19.5" customHeight="1">
      <c r="A29" s="3727"/>
      <c r="B29" s="3720"/>
      <c r="C29" s="740" t="s">
        <v>2822</v>
      </c>
      <c r="D29" s="741"/>
      <c r="E29" s="3294">
        <v>0.8</v>
      </c>
      <c r="F29" s="3293" t="s">
        <v>2863</v>
      </c>
      <c r="G29" s="3293"/>
    </row>
    <row r="30" spans="1:13" ht="19.5" customHeight="1">
      <c r="A30" s="3727"/>
      <c r="B30" s="3720"/>
      <c r="C30" s="740" t="s">
        <v>2823</v>
      </c>
      <c r="D30" s="741"/>
      <c r="E30" s="3294">
        <v>0.8</v>
      </c>
      <c r="F30" s="3293" t="s">
        <v>2864</v>
      </c>
      <c r="G30" s="3293"/>
    </row>
    <row r="31" spans="1:13" ht="19.5" customHeight="1">
      <c r="A31" s="3727"/>
      <c r="B31" s="3720"/>
      <c r="C31" s="740" t="s">
        <v>2824</v>
      </c>
      <c r="D31" s="741"/>
      <c r="E31" s="3294">
        <v>0.8</v>
      </c>
      <c r="F31" s="3293" t="s">
        <v>2865</v>
      </c>
      <c r="G31" s="3293"/>
    </row>
    <row r="32" spans="1:13" ht="19.5" customHeight="1">
      <c r="A32" s="3727"/>
      <c r="B32" s="3720"/>
      <c r="C32" s="740" t="s">
        <v>2825</v>
      </c>
      <c r="D32" s="741"/>
      <c r="E32" s="3294">
        <v>0.7</v>
      </c>
      <c r="F32" s="3293" t="s">
        <v>2866</v>
      </c>
      <c r="G32" s="3293"/>
    </row>
    <row r="33" spans="1:7" ht="19.5" customHeight="1">
      <c r="A33" s="3727"/>
      <c r="B33" s="3720"/>
      <c r="C33" s="740" t="s">
        <v>2826</v>
      </c>
      <c r="D33" s="741"/>
      <c r="E33" s="3294">
        <v>0.8</v>
      </c>
      <c r="F33" s="3293" t="s">
        <v>2867</v>
      </c>
      <c r="G33" s="3293"/>
    </row>
    <row r="34" spans="1:7" ht="19.5" customHeight="1">
      <c r="A34" s="3727"/>
      <c r="B34" s="3720"/>
      <c r="C34" s="740" t="s">
        <v>2827</v>
      </c>
      <c r="D34" s="741"/>
      <c r="E34" s="3294">
        <v>0.6</v>
      </c>
      <c r="F34" s="3293" t="s">
        <v>2868</v>
      </c>
      <c r="G34" s="3293"/>
    </row>
    <row r="35" spans="1:7" ht="19.5" customHeight="1">
      <c r="A35" s="3727"/>
      <c r="B35" s="3720"/>
      <c r="C35" s="740" t="s">
        <v>2828</v>
      </c>
      <c r="D35" s="741"/>
      <c r="E35" s="3294">
        <v>0.2</v>
      </c>
      <c r="F35" s="3293" t="s">
        <v>2869</v>
      </c>
      <c r="G35" s="3293"/>
    </row>
    <row r="36" spans="1:7" ht="19.5" customHeight="1">
      <c r="A36" s="3727"/>
      <c r="B36" s="3720"/>
      <c r="C36" s="740" t="s">
        <v>2829</v>
      </c>
      <c r="D36" s="741"/>
      <c r="E36" s="3294">
        <v>0.2</v>
      </c>
      <c r="F36" s="3293" t="s">
        <v>2870</v>
      </c>
      <c r="G36" s="3293"/>
    </row>
    <row r="37" spans="1:7" ht="19.5" customHeight="1">
      <c r="A37" s="3727"/>
      <c r="B37" s="3718" t="s">
        <v>2830</v>
      </c>
      <c r="C37" s="740" t="s">
        <v>2831</v>
      </c>
      <c r="D37" s="741"/>
      <c r="E37" s="3294">
        <v>0.6</v>
      </c>
      <c r="F37" s="3293" t="s">
        <v>2871</v>
      </c>
      <c r="G37" s="3293"/>
    </row>
    <row r="38" spans="1:7" ht="19.5" customHeight="1">
      <c r="A38" s="3727"/>
      <c r="B38" s="3720"/>
      <c r="C38" s="740" t="s">
        <v>2832</v>
      </c>
      <c r="D38" s="741"/>
      <c r="E38" s="3294">
        <v>0.6</v>
      </c>
      <c r="F38" s="3293" t="s">
        <v>2872</v>
      </c>
      <c r="G38" s="3293"/>
    </row>
    <row r="39" spans="1:7" ht="19.5" customHeight="1" thickBot="1">
      <c r="A39" s="3728"/>
      <c r="B39" s="3725"/>
      <c r="C39" s="3295" t="s">
        <v>2833</v>
      </c>
      <c r="D39" s="3296"/>
      <c r="E39" s="3297">
        <v>0.6</v>
      </c>
      <c r="F39" s="3293" t="s">
        <v>2873</v>
      </c>
      <c r="G39" s="3293"/>
    </row>
    <row r="40" spans="1:7" ht="19.5" customHeight="1" thickBot="1">
      <c r="A40" s="3298" t="s">
        <v>2834</v>
      </c>
      <c r="B40" s="3299" t="s">
        <v>2834</v>
      </c>
      <c r="C40" s="3300" t="s">
        <v>2835</v>
      </c>
      <c r="D40" s="3301"/>
      <c r="E40" s="3302">
        <v>1</v>
      </c>
      <c r="F40" s="3293" t="s">
        <v>2874</v>
      </c>
      <c r="G40" s="3293"/>
    </row>
    <row r="41" spans="1:7" ht="19.5" customHeight="1">
      <c r="A41" s="3721" t="s">
        <v>2836</v>
      </c>
      <c r="B41" s="3724" t="s">
        <v>2837</v>
      </c>
      <c r="C41" s="3290" t="s">
        <v>2838</v>
      </c>
      <c r="D41" s="3291"/>
      <c r="E41" s="3292">
        <v>1</v>
      </c>
      <c r="F41" s="3293" t="s">
        <v>2839</v>
      </c>
      <c r="G41" s="3293"/>
    </row>
    <row r="42" spans="1:7" ht="19.5" customHeight="1">
      <c r="A42" s="3722"/>
      <c r="B42" s="3720"/>
      <c r="C42" s="740" t="s">
        <v>2840</v>
      </c>
      <c r="D42" s="741"/>
      <c r="E42" s="3294">
        <v>1</v>
      </c>
      <c r="F42" s="3293" t="s">
        <v>2841</v>
      </c>
      <c r="G42" s="3293"/>
    </row>
    <row r="43" spans="1:7" ht="19.5" customHeight="1">
      <c r="A43" s="3722"/>
      <c r="B43" s="3719"/>
      <c r="C43" s="740" t="s">
        <v>2842</v>
      </c>
      <c r="D43" s="741"/>
      <c r="E43" s="3294">
        <v>1.5</v>
      </c>
      <c r="F43" s="3293" t="s">
        <v>2843</v>
      </c>
      <c r="G43" s="3293"/>
    </row>
    <row r="44" spans="1:7" ht="19.5" customHeight="1">
      <c r="A44" s="3722"/>
      <c r="B44" s="3303" t="s">
        <v>2803</v>
      </c>
      <c r="C44" s="740" t="s">
        <v>2802</v>
      </c>
      <c r="D44" s="741"/>
      <c r="E44" s="3294">
        <v>2</v>
      </c>
      <c r="F44" s="3293" t="s">
        <v>2844</v>
      </c>
      <c r="G44" s="3293"/>
    </row>
    <row r="45" spans="1:7" ht="19.5" customHeight="1">
      <c r="A45" s="3722"/>
      <c r="B45" s="3718" t="s">
        <v>2845</v>
      </c>
      <c r="C45" s="740" t="s">
        <v>2846</v>
      </c>
      <c r="D45" s="741"/>
      <c r="E45" s="3294">
        <v>1</v>
      </c>
      <c r="F45" s="3293" t="s">
        <v>2847</v>
      </c>
      <c r="G45" s="3293"/>
    </row>
    <row r="46" spans="1:7" ht="19.5" customHeight="1">
      <c r="A46" s="3722"/>
      <c r="B46" s="3720"/>
      <c r="C46" s="740" t="s">
        <v>2848</v>
      </c>
      <c r="D46" s="741"/>
      <c r="E46" s="3294">
        <v>1</v>
      </c>
      <c r="F46" s="3293" t="s">
        <v>2849</v>
      </c>
      <c r="G46" s="3293"/>
    </row>
    <row r="47" spans="1:7" ht="19.5" customHeight="1">
      <c r="A47" s="3722"/>
      <c r="B47" s="3720"/>
      <c r="C47" s="740" t="s">
        <v>2850</v>
      </c>
      <c r="D47" s="741"/>
      <c r="E47" s="3294">
        <v>1</v>
      </c>
      <c r="F47" s="3293" t="s">
        <v>2851</v>
      </c>
      <c r="G47" s="3293"/>
    </row>
    <row r="48" spans="1:7" ht="19.5" customHeight="1">
      <c r="A48" s="3722"/>
      <c r="B48" s="3720"/>
      <c r="C48" s="740" t="s">
        <v>2852</v>
      </c>
      <c r="D48" s="741"/>
      <c r="E48" s="3294">
        <v>1</v>
      </c>
      <c r="F48" s="3293" t="s">
        <v>2853</v>
      </c>
      <c r="G48" s="3293"/>
    </row>
    <row r="49" spans="1:7" ht="19.5" customHeight="1">
      <c r="A49" s="3722"/>
      <c r="B49" s="3720"/>
      <c r="C49" s="740" t="s">
        <v>2854</v>
      </c>
      <c r="D49" s="741"/>
      <c r="E49" s="3294">
        <v>1</v>
      </c>
      <c r="F49" s="3293" t="s">
        <v>2855</v>
      </c>
      <c r="G49" s="3293"/>
    </row>
    <row r="50" spans="1:7" ht="19.5" customHeight="1">
      <c r="A50" s="3722"/>
      <c r="B50" s="3720"/>
      <c r="C50" s="740" t="s">
        <v>2856</v>
      </c>
      <c r="D50" s="741"/>
      <c r="E50" s="3294">
        <v>1</v>
      </c>
      <c r="F50" s="3293" t="s">
        <v>2857</v>
      </c>
      <c r="G50" s="3293"/>
    </row>
    <row r="51" spans="1:7" ht="19.5" customHeight="1" thickBot="1">
      <c r="A51" s="3723"/>
      <c r="B51" s="3725"/>
      <c r="C51" s="3295" t="s">
        <v>2858</v>
      </c>
      <c r="D51" s="3296"/>
      <c r="E51" s="3297">
        <v>1</v>
      </c>
      <c r="F51" s="3293" t="s">
        <v>2859</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2875</v>
      </c>
      <c r="D72" s="3303"/>
      <c r="E72" s="3309" t="s">
        <v>1</v>
      </c>
      <c r="F72" s="3303" t="s">
        <v>1</v>
      </c>
    </row>
    <row r="73" spans="1:7" ht="13.5">
      <c r="A73" s="3303">
        <v>1</v>
      </c>
      <c r="B73" s="3718" t="s">
        <v>2876</v>
      </c>
      <c r="C73" s="3284" t="s">
        <v>2877</v>
      </c>
      <c r="D73" s="3284" t="s">
        <v>2878</v>
      </c>
      <c r="E73" s="3309">
        <v>0.2</v>
      </c>
      <c r="F73" s="3303">
        <v>25</v>
      </c>
    </row>
    <row r="74" spans="1:7" ht="24">
      <c r="A74" s="3303">
        <v>2</v>
      </c>
      <c r="B74" s="3720"/>
      <c r="C74" s="3284" t="s">
        <v>2879</v>
      </c>
      <c r="D74" s="3284" t="s">
        <v>2880</v>
      </c>
      <c r="E74" s="3309">
        <v>0.2</v>
      </c>
      <c r="F74" s="3303">
        <v>25</v>
      </c>
    </row>
    <row r="75" spans="1:7" ht="24">
      <c r="A75" s="3303">
        <v>3</v>
      </c>
      <c r="B75" s="3720"/>
      <c r="C75" s="3284" t="s">
        <v>2881</v>
      </c>
      <c r="D75" s="3284" t="s">
        <v>2882</v>
      </c>
      <c r="E75" s="3309">
        <v>0.2</v>
      </c>
      <c r="F75" s="3303">
        <v>25</v>
      </c>
    </row>
    <row r="76" spans="1:7" ht="13.5">
      <c r="A76" s="3303">
        <v>4</v>
      </c>
      <c r="B76" s="3720"/>
      <c r="C76" s="3284" t="s">
        <v>2883</v>
      </c>
      <c r="D76" s="3284" t="s">
        <v>2884</v>
      </c>
      <c r="E76" s="3309">
        <v>0.15</v>
      </c>
      <c r="F76" s="3303">
        <v>20</v>
      </c>
    </row>
    <row r="77" spans="1:7" ht="24">
      <c r="A77" s="3303">
        <v>5</v>
      </c>
      <c r="B77" s="3720"/>
      <c r="C77" s="3284" t="s">
        <v>2885</v>
      </c>
      <c r="D77" s="3284" t="s">
        <v>2886</v>
      </c>
      <c r="E77" s="3309">
        <v>0.15</v>
      </c>
      <c r="F77" s="3303">
        <v>20</v>
      </c>
    </row>
    <row r="78" spans="1:7" ht="24">
      <c r="A78" s="3303">
        <v>6</v>
      </c>
      <c r="B78" s="3720"/>
      <c r="C78" s="3284" t="s">
        <v>2887</v>
      </c>
      <c r="D78" s="3284" t="s">
        <v>2888</v>
      </c>
      <c r="E78" s="3309">
        <v>0.15</v>
      </c>
      <c r="F78" s="3303">
        <v>20</v>
      </c>
    </row>
    <row r="79" spans="1:7" ht="24">
      <c r="A79" s="3303">
        <v>7</v>
      </c>
      <c r="B79" s="3720"/>
      <c r="C79" s="3284" t="s">
        <v>2889</v>
      </c>
      <c r="D79" s="3284" t="s">
        <v>2890</v>
      </c>
      <c r="E79" s="3309">
        <v>0.15</v>
      </c>
      <c r="F79" s="3303">
        <v>20</v>
      </c>
    </row>
    <row r="80" spans="1:7" ht="24">
      <c r="A80" s="3303">
        <v>8</v>
      </c>
      <c r="B80" s="3720"/>
      <c r="C80" s="3284" t="s">
        <v>2891</v>
      </c>
      <c r="D80" s="3284" t="s">
        <v>2892</v>
      </c>
      <c r="E80" s="3309">
        <v>0.1</v>
      </c>
      <c r="F80" s="3303">
        <v>15</v>
      </c>
    </row>
    <row r="81" spans="1:6" ht="24">
      <c r="A81" s="3303">
        <v>9</v>
      </c>
      <c r="B81" s="3720"/>
      <c r="C81" s="3284" t="s">
        <v>2893</v>
      </c>
      <c r="D81" s="3284" t="s">
        <v>2894</v>
      </c>
      <c r="E81" s="3309">
        <v>0.1</v>
      </c>
      <c r="F81" s="3303">
        <v>15</v>
      </c>
    </row>
    <row r="82" spans="1:6" ht="24">
      <c r="A82" s="3303">
        <v>10</v>
      </c>
      <c r="B82" s="3720"/>
      <c r="C82" s="3284" t="s">
        <v>2895</v>
      </c>
      <c r="D82" s="3284" t="s">
        <v>2896</v>
      </c>
      <c r="E82" s="3309">
        <v>0.1</v>
      </c>
      <c r="F82" s="3303">
        <v>15</v>
      </c>
    </row>
    <row r="83" spans="1:6" ht="24">
      <c r="A83" s="3303">
        <v>11</v>
      </c>
      <c r="B83" s="3720"/>
      <c r="C83" s="3284" t="s">
        <v>2897</v>
      </c>
      <c r="D83" s="3284" t="s">
        <v>2898</v>
      </c>
      <c r="E83" s="3309">
        <v>0.1</v>
      </c>
      <c r="F83" s="3303">
        <v>15</v>
      </c>
    </row>
    <row r="84" spans="1:6" ht="24">
      <c r="A84" s="3303">
        <v>12</v>
      </c>
      <c r="B84" s="3720"/>
      <c r="C84" s="3284" t="s">
        <v>2899</v>
      </c>
      <c r="D84" s="3284" t="s">
        <v>2900</v>
      </c>
      <c r="E84" s="3309">
        <v>0.1</v>
      </c>
      <c r="F84" s="3303">
        <v>15</v>
      </c>
    </row>
    <row r="85" spans="1:6" ht="13.5">
      <c r="A85" s="3303">
        <v>13</v>
      </c>
      <c r="B85" s="3720"/>
      <c r="C85" s="3284" t="s">
        <v>2901</v>
      </c>
      <c r="D85" s="3284" t="s">
        <v>2902</v>
      </c>
      <c r="E85" s="3309">
        <v>0.1</v>
      </c>
      <c r="F85" s="3303">
        <v>15</v>
      </c>
    </row>
    <row r="86" spans="1:6" ht="13.5">
      <c r="A86" s="3303">
        <v>14</v>
      </c>
      <c r="B86" s="3720"/>
      <c r="C86" s="3284" t="s">
        <v>2903</v>
      </c>
      <c r="D86" s="3284" t="s">
        <v>2904</v>
      </c>
      <c r="E86" s="3309">
        <v>0.1</v>
      </c>
      <c r="F86" s="3303">
        <v>15</v>
      </c>
    </row>
    <row r="87" spans="1:6" ht="13.5">
      <c r="A87" s="3303">
        <v>15</v>
      </c>
      <c r="B87" s="3720"/>
      <c r="C87" s="3284" t="s">
        <v>2905</v>
      </c>
      <c r="D87" s="3284" t="s">
        <v>2906</v>
      </c>
      <c r="E87" s="3309">
        <v>0.1</v>
      </c>
      <c r="F87" s="3303">
        <v>15</v>
      </c>
    </row>
    <row r="88" spans="1:6" ht="24">
      <c r="A88" s="3303">
        <v>16</v>
      </c>
      <c r="B88" s="3720"/>
      <c r="C88" s="3284" t="s">
        <v>2907</v>
      </c>
      <c r="D88" s="3284" t="s">
        <v>2908</v>
      </c>
      <c r="E88" s="3309">
        <v>0.1</v>
      </c>
      <c r="F88" s="3303">
        <v>15</v>
      </c>
    </row>
    <row r="89" spans="1:6" ht="24">
      <c r="A89" s="3303">
        <v>17</v>
      </c>
      <c r="B89" s="3719"/>
      <c r="C89" s="3284" t="s">
        <v>2909</v>
      </c>
      <c r="D89" s="3284" t="s">
        <v>2910</v>
      </c>
      <c r="E89" s="3309">
        <v>0.1</v>
      </c>
      <c r="F89" s="3303">
        <v>15</v>
      </c>
    </row>
    <row r="90" spans="1:6" ht="13.5">
      <c r="A90" s="3303">
        <v>18</v>
      </c>
      <c r="B90" s="3718" t="s">
        <v>2911</v>
      </c>
      <c r="C90" s="3284" t="s">
        <v>2912</v>
      </c>
      <c r="D90" s="3284" t="s">
        <v>2913</v>
      </c>
      <c r="E90" s="3309">
        <v>0.2</v>
      </c>
      <c r="F90" s="3303">
        <v>25</v>
      </c>
    </row>
    <row r="91" spans="1:6" ht="24">
      <c r="A91" s="3303">
        <v>19</v>
      </c>
      <c r="B91" s="3720"/>
      <c r="C91" s="3284" t="s">
        <v>2914</v>
      </c>
      <c r="D91" s="3284" t="s">
        <v>2915</v>
      </c>
      <c r="E91" s="3309">
        <v>0.2</v>
      </c>
      <c r="F91" s="3303">
        <v>25</v>
      </c>
    </row>
    <row r="92" spans="1:6" ht="13.5">
      <c r="A92" s="3303">
        <v>20</v>
      </c>
      <c r="B92" s="3720"/>
      <c r="C92" s="3284" t="s">
        <v>2916</v>
      </c>
      <c r="D92" s="3284" t="s">
        <v>2917</v>
      </c>
      <c r="E92" s="3309">
        <v>0.15</v>
      </c>
      <c r="F92" s="3303">
        <v>20</v>
      </c>
    </row>
    <row r="93" spans="1:6" ht="24">
      <c r="A93" s="3303">
        <v>21</v>
      </c>
      <c r="B93" s="3720"/>
      <c r="C93" s="3284" t="s">
        <v>2918</v>
      </c>
      <c r="D93" s="3284" t="s">
        <v>2919</v>
      </c>
      <c r="E93" s="3309">
        <v>0.15</v>
      </c>
      <c r="F93" s="3303">
        <v>20</v>
      </c>
    </row>
    <row r="94" spans="1:6" ht="24">
      <c r="A94" s="3303">
        <v>22</v>
      </c>
      <c r="B94" s="3720"/>
      <c r="C94" s="3284" t="s">
        <v>2920</v>
      </c>
      <c r="D94" s="3284" t="s">
        <v>2921</v>
      </c>
      <c r="E94" s="3309">
        <v>0.15</v>
      </c>
      <c r="F94" s="3303">
        <v>20</v>
      </c>
    </row>
    <row r="95" spans="1:6" ht="36">
      <c r="A95" s="3303">
        <v>23</v>
      </c>
      <c r="B95" s="3720"/>
      <c r="C95" s="3284" t="s">
        <v>2922</v>
      </c>
      <c r="D95" s="3284" t="s">
        <v>2923</v>
      </c>
      <c r="E95" s="3309">
        <v>0.15</v>
      </c>
      <c r="F95" s="3303">
        <v>20</v>
      </c>
    </row>
    <row r="96" spans="1:6" ht="13.5">
      <c r="A96" s="3303">
        <v>24</v>
      </c>
      <c r="B96" s="3720"/>
      <c r="C96" s="3284" t="s">
        <v>2924</v>
      </c>
      <c r="D96" s="3284" t="s">
        <v>2925</v>
      </c>
      <c r="E96" s="3309">
        <v>0.1</v>
      </c>
      <c r="F96" s="3303">
        <v>15</v>
      </c>
    </row>
    <row r="97" spans="1:6" ht="24">
      <c r="A97" s="3303">
        <v>25</v>
      </c>
      <c r="B97" s="3720"/>
      <c r="C97" s="3284" t="s">
        <v>2926</v>
      </c>
      <c r="D97" s="3284" t="s">
        <v>2927</v>
      </c>
      <c r="E97" s="3309">
        <v>0.1</v>
      </c>
      <c r="F97" s="3303">
        <v>15</v>
      </c>
    </row>
    <row r="98" spans="1:6" ht="24">
      <c r="A98" s="3303">
        <v>26</v>
      </c>
      <c r="B98" s="3720"/>
      <c r="C98" s="3284" t="s">
        <v>2928</v>
      </c>
      <c r="D98" s="3284" t="s">
        <v>2929</v>
      </c>
      <c r="E98" s="3309">
        <v>0.1</v>
      </c>
      <c r="F98" s="3303">
        <v>15</v>
      </c>
    </row>
    <row r="99" spans="1:6" ht="24">
      <c r="A99" s="3303">
        <v>27</v>
      </c>
      <c r="B99" s="3720"/>
      <c r="C99" s="3284" t="s">
        <v>2930</v>
      </c>
      <c r="D99" s="3284" t="s">
        <v>2931</v>
      </c>
      <c r="E99" s="3309">
        <v>0.1</v>
      </c>
      <c r="F99" s="3303">
        <v>15</v>
      </c>
    </row>
    <row r="100" spans="1:6" ht="24">
      <c r="A100" s="3303">
        <v>28</v>
      </c>
      <c r="B100" s="3720"/>
      <c r="C100" s="3284" t="s">
        <v>2932</v>
      </c>
      <c r="D100" s="3284" t="s">
        <v>2933</v>
      </c>
      <c r="E100" s="3309">
        <v>0.1</v>
      </c>
      <c r="F100" s="3303">
        <v>15</v>
      </c>
    </row>
    <row r="101" spans="1:6" ht="24">
      <c r="A101" s="3303">
        <v>29</v>
      </c>
      <c r="B101" s="3720"/>
      <c r="C101" s="3284" t="s">
        <v>2934</v>
      </c>
      <c r="D101" s="3284" t="s">
        <v>2935</v>
      </c>
      <c r="E101" s="3309">
        <v>0.1</v>
      </c>
      <c r="F101" s="3303">
        <v>15</v>
      </c>
    </row>
    <row r="102" spans="1:6" ht="24">
      <c r="A102" s="3303">
        <v>30</v>
      </c>
      <c r="B102" s="3720"/>
      <c r="C102" s="3284" t="s">
        <v>2936</v>
      </c>
      <c r="D102" s="3284" t="s">
        <v>2937</v>
      </c>
      <c r="E102" s="3309">
        <v>0.1</v>
      </c>
      <c r="F102" s="3303">
        <v>15</v>
      </c>
    </row>
    <row r="103" spans="1:6" ht="24">
      <c r="A103" s="3303">
        <v>31</v>
      </c>
      <c r="B103" s="3720"/>
      <c r="C103" s="3284" t="s">
        <v>2938</v>
      </c>
      <c r="D103" s="3284" t="s">
        <v>2939</v>
      </c>
      <c r="E103" s="3309">
        <v>0.1</v>
      </c>
      <c r="F103" s="3303">
        <v>15</v>
      </c>
    </row>
    <row r="104" spans="1:6" ht="24">
      <c r="A104" s="3303">
        <v>32</v>
      </c>
      <c r="B104" s="3720"/>
      <c r="C104" s="3284" t="s">
        <v>2940</v>
      </c>
      <c r="D104" s="3284" t="s">
        <v>2941</v>
      </c>
      <c r="E104" s="3309">
        <v>0.1</v>
      </c>
      <c r="F104" s="3303">
        <v>15</v>
      </c>
    </row>
    <row r="105" spans="1:6" ht="24">
      <c r="A105" s="3303">
        <v>33</v>
      </c>
      <c r="B105" s="3720"/>
      <c r="C105" s="3284" t="s">
        <v>2942</v>
      </c>
      <c r="D105" s="3284" t="s">
        <v>2943</v>
      </c>
      <c r="E105" s="3309">
        <v>0.1</v>
      </c>
      <c r="F105" s="3303">
        <v>15</v>
      </c>
    </row>
    <row r="106" spans="1:6" ht="24">
      <c r="A106" s="3303">
        <v>34</v>
      </c>
      <c r="B106" s="3719"/>
      <c r="C106" s="3284" t="s">
        <v>2944</v>
      </c>
      <c r="D106" s="3284" t="s">
        <v>2945</v>
      </c>
      <c r="E106" s="3309">
        <v>0.1</v>
      </c>
      <c r="F106" s="3303">
        <v>15</v>
      </c>
    </row>
    <row r="107" spans="1:6" ht="24">
      <c r="A107" s="3303">
        <v>35</v>
      </c>
      <c r="B107" s="3718" t="s">
        <v>2946</v>
      </c>
      <c r="C107" s="3303" t="s">
        <v>2947</v>
      </c>
      <c r="D107" s="3284" t="s">
        <v>2948</v>
      </c>
      <c r="E107" s="3309">
        <v>0.15</v>
      </c>
      <c r="F107" s="3303">
        <v>20</v>
      </c>
    </row>
    <row r="108" spans="1:6" ht="24">
      <c r="A108" s="3303">
        <v>36</v>
      </c>
      <c r="B108" s="3720"/>
      <c r="C108" s="3303" t="s">
        <v>2949</v>
      </c>
      <c r="D108" s="3284" t="s">
        <v>2950</v>
      </c>
      <c r="E108" s="3309">
        <v>0.15</v>
      </c>
      <c r="F108" s="3303">
        <v>20</v>
      </c>
    </row>
    <row r="109" spans="1:6" ht="24">
      <c r="A109" s="3303">
        <v>37</v>
      </c>
      <c r="B109" s="3720"/>
      <c r="C109" s="3303" t="s">
        <v>2951</v>
      </c>
      <c r="D109" s="3284" t="s">
        <v>2952</v>
      </c>
      <c r="E109" s="3309">
        <v>0.15</v>
      </c>
      <c r="F109" s="3303">
        <v>20</v>
      </c>
    </row>
    <row r="110" spans="1:6" ht="13.5">
      <c r="A110" s="3303">
        <v>38</v>
      </c>
      <c r="B110" s="3720"/>
      <c r="C110" s="3303" t="s">
        <v>2953</v>
      </c>
      <c r="D110" s="3284" t="s">
        <v>2954</v>
      </c>
      <c r="E110" s="3309">
        <v>0.1</v>
      </c>
      <c r="F110" s="3303">
        <v>15</v>
      </c>
    </row>
    <row r="111" spans="1:6" ht="24">
      <c r="A111" s="3303">
        <v>39</v>
      </c>
      <c r="B111" s="3720"/>
      <c r="C111" s="3303" t="s">
        <v>2955</v>
      </c>
      <c r="D111" s="3284" t="s">
        <v>2956</v>
      </c>
      <c r="E111" s="3309">
        <v>0.1</v>
      </c>
      <c r="F111" s="3303">
        <v>15</v>
      </c>
    </row>
    <row r="112" spans="1:6" ht="24">
      <c r="A112" s="3303">
        <v>40</v>
      </c>
      <c r="B112" s="3719"/>
      <c r="C112" s="3303" t="s">
        <v>2957</v>
      </c>
      <c r="D112" s="3284" t="s">
        <v>2958</v>
      </c>
      <c r="E112" s="3309">
        <v>0.1</v>
      </c>
      <c r="F112" s="3303">
        <v>15</v>
      </c>
    </row>
    <row r="113" spans="1:6" ht="24">
      <c r="A113" s="3303">
        <v>41</v>
      </c>
      <c r="B113" s="3717" t="s">
        <v>2959</v>
      </c>
      <c r="C113" s="3303" t="s">
        <v>2960</v>
      </c>
      <c r="D113" s="3284" t="s">
        <v>2961</v>
      </c>
      <c r="E113" s="3309">
        <v>0.1</v>
      </c>
      <c r="F113" s="3303">
        <v>15</v>
      </c>
    </row>
    <row r="114" spans="1:6" ht="13.5">
      <c r="A114" s="3303">
        <v>42</v>
      </c>
      <c r="B114" s="3717"/>
      <c r="C114" s="3303" t="s">
        <v>2962</v>
      </c>
      <c r="D114" s="3284" t="s">
        <v>2963</v>
      </c>
      <c r="E114" s="3309">
        <v>0.1</v>
      </c>
      <c r="F114" s="3303">
        <v>15</v>
      </c>
    </row>
    <row r="115" spans="1:6" ht="24">
      <c r="A115" s="3303">
        <v>43</v>
      </c>
      <c r="B115" s="3717"/>
      <c r="C115" s="3303" t="s">
        <v>2964</v>
      </c>
      <c r="D115" s="3284" t="s">
        <v>2965</v>
      </c>
      <c r="E115" s="3309">
        <v>0.1</v>
      </c>
      <c r="F115" s="3303">
        <v>15</v>
      </c>
    </row>
    <row r="116" spans="1:6" ht="24">
      <c r="A116" s="3303">
        <v>44</v>
      </c>
      <c r="B116" s="3718" t="s">
        <v>2966</v>
      </c>
      <c r="C116" s="3303" t="s">
        <v>2967</v>
      </c>
      <c r="D116" s="3284" t="s">
        <v>2968</v>
      </c>
      <c r="E116" s="3309">
        <v>0.1</v>
      </c>
      <c r="F116" s="3303">
        <v>15</v>
      </c>
    </row>
    <row r="117" spans="1:6" ht="24">
      <c r="A117" s="3303">
        <v>45</v>
      </c>
      <c r="B117" s="3719"/>
      <c r="C117" s="3284" t="s">
        <v>2969</v>
      </c>
      <c r="D117" s="3284" t="s">
        <v>2970</v>
      </c>
      <c r="E117" s="3309">
        <v>0.1</v>
      </c>
      <c r="F117" s="3303">
        <v>15</v>
      </c>
    </row>
    <row r="118" spans="1:6" ht="24">
      <c r="A118" s="3303">
        <v>46</v>
      </c>
      <c r="B118" s="3718" t="s">
        <v>2971</v>
      </c>
      <c r="C118" s="3303" t="s">
        <v>2972</v>
      </c>
      <c r="D118" s="3284" t="s">
        <v>2973</v>
      </c>
      <c r="E118" s="3309">
        <v>0.1</v>
      </c>
      <c r="F118" s="3303">
        <v>15</v>
      </c>
    </row>
    <row r="119" spans="1:6" ht="24">
      <c r="A119" s="3303">
        <v>47</v>
      </c>
      <c r="B119" s="3719"/>
      <c r="C119" s="3303" t="s">
        <v>2974</v>
      </c>
      <c r="D119" s="3284" t="s">
        <v>2975</v>
      </c>
      <c r="E119" s="3309">
        <v>0.1</v>
      </c>
      <c r="F119" s="3303">
        <v>15</v>
      </c>
    </row>
    <row r="120" spans="1:6" ht="24">
      <c r="A120" s="3303">
        <v>48</v>
      </c>
      <c r="B120" s="3718" t="s">
        <v>2976</v>
      </c>
      <c r="C120" s="3303" t="s">
        <v>2977</v>
      </c>
      <c r="D120" s="3284" t="s">
        <v>2978</v>
      </c>
      <c r="E120" s="3309">
        <v>0.1</v>
      </c>
      <c r="F120" s="3303">
        <v>15</v>
      </c>
    </row>
    <row r="121" spans="1:6" ht="13.5">
      <c r="A121" s="3303">
        <v>49</v>
      </c>
      <c r="B121" s="3719"/>
      <c r="C121" s="3303" t="s">
        <v>2979</v>
      </c>
      <c r="D121" s="3284" t="s">
        <v>2980</v>
      </c>
      <c r="E121" s="3309">
        <v>0.1</v>
      </c>
      <c r="F121" s="3303">
        <v>15</v>
      </c>
    </row>
    <row r="122" spans="1:6" ht="24">
      <c r="A122" s="3303">
        <v>50</v>
      </c>
      <c r="B122" s="3717" t="s">
        <v>2981</v>
      </c>
      <c r="C122" s="3303" t="s">
        <v>2982</v>
      </c>
      <c r="D122" s="3284" t="s">
        <v>2983</v>
      </c>
      <c r="E122" s="3309">
        <v>0.1</v>
      </c>
      <c r="F122" s="3303">
        <v>15</v>
      </c>
    </row>
    <row r="123" spans="1:6" ht="24">
      <c r="A123" s="3303">
        <v>51</v>
      </c>
      <c r="B123" s="3717"/>
      <c r="C123" s="3303" t="s">
        <v>2984</v>
      </c>
      <c r="D123" s="3284" t="s">
        <v>2985</v>
      </c>
      <c r="E123" s="3309">
        <v>0.1</v>
      </c>
      <c r="F123" s="3303">
        <v>15</v>
      </c>
    </row>
    <row r="124" spans="1:6" ht="24">
      <c r="A124" s="3303">
        <v>52</v>
      </c>
      <c r="B124" s="3717" t="s">
        <v>2986</v>
      </c>
      <c r="C124" s="3303" t="s">
        <v>2987</v>
      </c>
      <c r="D124" s="3284" t="s">
        <v>2988</v>
      </c>
      <c r="E124" s="3309">
        <v>0.1</v>
      </c>
      <c r="F124" s="3303">
        <v>15</v>
      </c>
    </row>
    <row r="125" spans="1:6" ht="24">
      <c r="A125" s="3303">
        <v>53</v>
      </c>
      <c r="B125" s="3717"/>
      <c r="C125" s="3303" t="s">
        <v>2989</v>
      </c>
      <c r="D125" s="3284" t="s">
        <v>2990</v>
      </c>
      <c r="E125" s="3309">
        <v>0.1</v>
      </c>
      <c r="F125" s="3303">
        <v>15</v>
      </c>
    </row>
    <row r="126" spans="1:6" ht="24">
      <c r="A126" s="3303">
        <v>54</v>
      </c>
      <c r="B126" s="3303" t="s">
        <v>2991</v>
      </c>
      <c r="C126" s="3303" t="s">
        <v>2992</v>
      </c>
      <c r="D126" s="3284" t="s">
        <v>2993</v>
      </c>
      <c r="E126" s="3309">
        <v>0.1</v>
      </c>
      <c r="F126" s="3303">
        <v>15</v>
      </c>
    </row>
    <row r="127" spans="1:6" ht="13.5">
      <c r="A127" s="3303">
        <v>55</v>
      </c>
      <c r="B127" s="3717" t="s">
        <v>2994</v>
      </c>
      <c r="C127" s="3303" t="s">
        <v>2995</v>
      </c>
      <c r="D127" s="3284" t="s">
        <v>2996</v>
      </c>
      <c r="E127" s="3309">
        <v>0.1</v>
      </c>
      <c r="F127" s="3303">
        <v>15</v>
      </c>
    </row>
    <row r="128" spans="1:6" ht="13.5">
      <c r="A128" s="3303">
        <v>56</v>
      </c>
      <c r="B128" s="3717"/>
      <c r="C128" s="3303" t="s">
        <v>2997</v>
      </c>
      <c r="D128" s="3284" t="s">
        <v>2998</v>
      </c>
      <c r="E128" s="3309">
        <v>0.1</v>
      </c>
      <c r="F128" s="3303">
        <v>15</v>
      </c>
    </row>
    <row r="129" spans="1:6" ht="24">
      <c r="A129" s="3303">
        <v>57</v>
      </c>
      <c r="B129" s="3717"/>
      <c r="C129" s="3303" t="s">
        <v>2999</v>
      </c>
      <c r="D129" s="3284" t="s">
        <v>3000</v>
      </c>
      <c r="E129" s="3309">
        <v>0.1</v>
      </c>
      <c r="F129" s="3303">
        <v>15</v>
      </c>
    </row>
    <row r="130" spans="1:6" ht="24">
      <c r="A130" s="3303">
        <v>58</v>
      </c>
      <c r="B130" s="3717" t="s">
        <v>3001</v>
      </c>
      <c r="C130" s="3303" t="s">
        <v>3002</v>
      </c>
      <c r="D130" s="3284" t="s">
        <v>3003</v>
      </c>
      <c r="E130" s="3309">
        <v>0.1</v>
      </c>
      <c r="F130" s="3303">
        <v>15</v>
      </c>
    </row>
    <row r="131" spans="1:6" ht="24">
      <c r="A131" s="3303">
        <v>59</v>
      </c>
      <c r="B131" s="3717"/>
      <c r="C131" s="3303" t="s">
        <v>3004</v>
      </c>
      <c r="D131" s="3284" t="s">
        <v>3005</v>
      </c>
      <c r="E131" s="3309">
        <v>0.1</v>
      </c>
      <c r="F131" s="3303">
        <v>15</v>
      </c>
    </row>
    <row r="132" spans="1:6" ht="24">
      <c r="A132" s="3303">
        <v>60</v>
      </c>
      <c r="B132" s="3718" t="s">
        <v>3006</v>
      </c>
      <c r="C132" s="3303" t="s">
        <v>3007</v>
      </c>
      <c r="D132" s="3284" t="s">
        <v>3008</v>
      </c>
      <c r="E132" s="3309">
        <v>0.1</v>
      </c>
      <c r="F132" s="3303">
        <v>15</v>
      </c>
    </row>
    <row r="133" spans="1:6" ht="24">
      <c r="A133" s="3303">
        <v>61</v>
      </c>
      <c r="B133" s="3719"/>
      <c r="C133" s="3303" t="s">
        <v>3009</v>
      </c>
      <c r="D133" s="3284" t="s">
        <v>3010</v>
      </c>
      <c r="E133" s="3309">
        <v>0.1</v>
      </c>
      <c r="F133" s="3303">
        <v>15</v>
      </c>
    </row>
    <row r="134" spans="1:6" ht="24">
      <c r="A134" s="3303">
        <v>62</v>
      </c>
      <c r="B134" s="3303" t="s">
        <v>3011</v>
      </c>
      <c r="C134" s="3303" t="s">
        <v>3012</v>
      </c>
      <c r="D134" s="3284" t="s">
        <v>3013</v>
      </c>
      <c r="E134" s="3309">
        <v>0.1</v>
      </c>
      <c r="F134" s="3303">
        <v>15</v>
      </c>
    </row>
    <row r="135" spans="1:6" ht="24">
      <c r="A135" s="3303">
        <v>63</v>
      </c>
      <c r="B135" s="3717" t="s">
        <v>3014</v>
      </c>
      <c r="C135" s="3303" t="s">
        <v>3015</v>
      </c>
      <c r="D135" s="3284" t="s">
        <v>3016</v>
      </c>
      <c r="E135" s="3309">
        <v>0.1</v>
      </c>
      <c r="F135" s="3303">
        <v>15</v>
      </c>
    </row>
    <row r="136" spans="1:6" ht="13.5">
      <c r="A136" s="3303">
        <v>64</v>
      </c>
      <c r="B136" s="3717"/>
      <c r="C136" s="3303" t="s">
        <v>3017</v>
      </c>
      <c r="D136" s="3284" t="s">
        <v>3018</v>
      </c>
      <c r="E136" s="3309">
        <v>0.1</v>
      </c>
      <c r="F136" s="3303">
        <v>15</v>
      </c>
    </row>
    <row r="137" spans="1:6" ht="24">
      <c r="A137" s="3303">
        <v>65</v>
      </c>
      <c r="B137" s="3303" t="s">
        <v>3019</v>
      </c>
      <c r="C137" s="3303" t="s">
        <v>3020</v>
      </c>
      <c r="D137" s="3284" t="s">
        <v>3021</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55" sqref="A55:XFD55"/>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4" t="s">
        <v>782</v>
      </c>
      <c r="C1" s="3734"/>
      <c r="D1" s="3734"/>
      <c r="E1" s="3734"/>
      <c r="F1" s="3734"/>
      <c r="G1" s="3733" t="s">
        <v>783</v>
      </c>
      <c r="H1" s="3733"/>
      <c r="I1" s="3733"/>
      <c r="J1" s="3733"/>
      <c r="K1" s="3733"/>
      <c r="L1" s="3733"/>
      <c r="N1" s="3733" t="s">
        <v>784</v>
      </c>
      <c r="O1" s="3733"/>
      <c r="P1" s="3733"/>
      <c r="Q1" s="3733"/>
      <c r="S1" s="3733" t="s">
        <v>785</v>
      </c>
      <c r="T1" s="3733"/>
      <c r="U1" s="3733"/>
      <c r="V1" s="3733"/>
      <c r="X1" s="3732" t="s">
        <v>786</v>
      </c>
      <c r="Y1" s="3733"/>
      <c r="Z1" s="3733"/>
      <c r="AA1" s="3733"/>
      <c r="AB1" s="3733"/>
      <c r="AD1" s="3732" t="s">
        <v>787</v>
      </c>
      <c r="AE1" s="3733"/>
      <c r="AF1" s="3733"/>
      <c r="AG1" s="3733"/>
      <c r="AH1" s="3733"/>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2463</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2795</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2794</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2793</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2792</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2791</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2790</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2644</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2643</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2642</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2636</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2635</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2494</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2491</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2489</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2487</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2481</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2482</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2476</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0">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2471</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0"/>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2470</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0"/>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2467</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9"/>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2464</v>
      </c>
      <c r="B26" s="2297">
        <v>439</v>
      </c>
      <c r="C26" s="2297">
        <v>327</v>
      </c>
      <c r="D26" s="2297">
        <f t="shared" si="213"/>
        <v>327</v>
      </c>
      <c r="E26" s="2297">
        <v>627</v>
      </c>
      <c r="F26" s="2298">
        <v>283</v>
      </c>
      <c r="G26" s="3735">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2462</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0"/>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0"/>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9"/>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5">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0"/>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0"/>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1"/>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9">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0"/>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0"/>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1"/>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9">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0"/>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0"/>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1"/>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6">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7"/>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7"/>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8"/>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9">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0"/>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0"/>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1"/>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9">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0">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0">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1">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9">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0">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0">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1">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9">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0">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0">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1">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9">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0">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0">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1">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9">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0">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0">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1">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9">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0">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0">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1">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9">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0">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0">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1">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9">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0">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0">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1">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9">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0">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0">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1">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9">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0">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0">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1">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A55" sqref="A55:XFD55"/>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44763</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8"/>
      <c r="B20" s="1209" t="s">
        <v>2637</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4"/>
      <c r="C2" s="3334"/>
      <c r="D2" s="3334"/>
      <c r="E2" s="3334"/>
    </row>
    <row r="3" spans="1:5" ht="13.5" customHeight="1">
      <c r="A3" s="1290"/>
      <c r="B3" s="1290"/>
      <c r="C3" s="1290"/>
      <c r="D3" s="1290"/>
      <c r="E3" s="1290"/>
    </row>
    <row r="4" spans="1:5" ht="19.5" thickBot="1">
      <c r="A4" s="3335" t="str">
        <f>IF(项目基本情况!D5="房地产市场价值","估价结果一览表（市场价值不需本页表格)","估价结果一览表")</f>
        <v>估价结果一览表</v>
      </c>
      <c r="B4" s="3335"/>
      <c r="C4" s="3335"/>
      <c r="D4" s="3335"/>
      <c r="E4" s="3335"/>
    </row>
    <row r="5" spans="1:5" ht="14.25" customHeight="1" thickTop="1">
      <c r="A5" s="1287"/>
      <c r="B5" s="1291" t="s">
        <v>562</v>
      </c>
      <c r="C5" s="3336" t="s">
        <v>593</v>
      </c>
      <c r="D5" s="3337"/>
      <c r="E5" s="1287"/>
    </row>
    <row r="6" spans="1:5" ht="14.25">
      <c r="A6" s="1287"/>
      <c r="B6" s="1292" t="str">
        <f>项目基本情况!I1</f>
        <v>北京市房地产</v>
      </c>
      <c r="C6" s="3338">
        <f>项目基本情况!C12</f>
        <v>182.31</v>
      </c>
      <c r="D6" s="3338"/>
      <c r="E6" s="1287"/>
    </row>
    <row r="7" spans="1:5" ht="14.25">
      <c r="A7" s="1287"/>
      <c r="B7" s="3332" t="s">
        <v>594</v>
      </c>
      <c r="C7" s="1293" t="str">
        <f>IF('数据-取费表'!B3="万元","总价（万元）","总价（元）")</f>
        <v>总价（万元）</v>
      </c>
      <c r="D7" s="1294">
        <f ca="1">IF('数据-取费表'!E3="否",结果表!I102,'结果表 (1修多)'!I104)</f>
        <v>493</v>
      </c>
      <c r="E7" s="1287"/>
    </row>
    <row r="8" spans="1:5" ht="14.25">
      <c r="A8" s="1287"/>
      <c r="B8" s="3332"/>
      <c r="C8" s="1295" t="s">
        <v>924</v>
      </c>
      <c r="D8" s="1296" t="str">
        <f ca="1">IF('数据-取费表'!B3="万元",NUMBERSTRING(INT(D7*10000),2)&amp;"元整",NUMBERSTRING(INT(D7),2)&amp;"元整")</f>
        <v>肆佰玖拾叁万元整</v>
      </c>
      <c r="E8" s="1287"/>
    </row>
    <row r="9" spans="1:5" ht="14.25">
      <c r="A9" s="1287"/>
      <c r="B9" s="3332"/>
      <c r="C9" s="1297" t="s">
        <v>1020</v>
      </c>
      <c r="D9" s="1294">
        <f ca="1">IF('数据-取费表'!E3="否",结果表!I103,'结果表 (1修多)'!I105)</f>
        <v>27016</v>
      </c>
      <c r="E9" s="1287"/>
    </row>
    <row r="10" spans="1:5" ht="14.25">
      <c r="A10" s="1287"/>
      <c r="B10" s="3339"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9"/>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9" t="str">
        <f>IF('数据-取费表'!E3="否",结果表!F110,'结果表 (1修多)'!F112)</f>
        <v>3.房地产抵押价值</v>
      </c>
      <c r="C15" s="1288" t="str">
        <f>C7</f>
        <v>总价（万元）</v>
      </c>
      <c r="D15" s="1294">
        <f ca="1">IF('数据-取费表'!E3="否",结果表!I110,'结果表 (1修多)'!I112)</f>
        <v>493</v>
      </c>
      <c r="E15" s="1287"/>
    </row>
    <row r="16" spans="1:5" ht="14.25">
      <c r="A16" s="1287"/>
      <c r="B16" s="3339"/>
      <c r="C16" s="1295" t="s">
        <v>924</v>
      </c>
      <c r="D16" s="1294" t="str">
        <f ca="1">IF('数据-取费表'!B3="万元",NUMBERSTRING(INT(D15*10000),2)&amp;"元整",NUMBERSTRING(INT(D15),2)&amp;"元整")</f>
        <v>肆佰玖拾叁万元整</v>
      </c>
      <c r="E16" s="1287"/>
    </row>
    <row r="17" spans="1:5" ht="14.25">
      <c r="A17" s="1287"/>
      <c r="B17" s="3339"/>
      <c r="C17" s="1297" t="s">
        <v>1020</v>
      </c>
      <c r="D17" s="1294">
        <f ca="1">IF('数据-取费表'!E3="否",结果表!I111,'结果表 (1修多)'!I113)</f>
        <v>27016</v>
      </c>
      <c r="E17" s="1287"/>
    </row>
    <row r="18" spans="1:5" ht="14.25">
      <c r="A18" s="1287"/>
      <c r="B18" s="3339" t="str">
        <f>IF('数据-取费表'!E3="否",结果表!F112,'结果表 (1修多)'!F114)</f>
        <v>——</v>
      </c>
      <c r="C18" s="1288" t="str">
        <f>C7</f>
        <v>总价（万元）</v>
      </c>
      <c r="D18" s="1294" t="str">
        <f>IF('数据-取费表'!E3="否",结果表!I112,'结果表 (1修多)'!I114)</f>
        <v>——</v>
      </c>
      <c r="E18" s="1287"/>
    </row>
    <row r="19" spans="1:5" ht="14.25">
      <c r="A19" s="1287"/>
      <c r="B19" s="3339"/>
      <c r="C19" s="1295" t="s">
        <v>924</v>
      </c>
      <c r="D19" s="1294" t="e">
        <f>IF('数据-取费表'!B3="万元",NUMBERSTRING(INT(D18*10000),2)&amp;"元整",NUMBERSTRING(INT(D18),2)&amp;"元整")</f>
        <v>#VALUE!</v>
      </c>
      <c r="E19" s="1287"/>
    </row>
    <row r="20" spans="1:5" ht="14.25">
      <c r="A20" s="1287"/>
      <c r="B20" s="3339"/>
      <c r="C20" s="1297" t="s">
        <v>1020</v>
      </c>
      <c r="D20" s="1294" t="str">
        <f>IF('数据-取费表'!E3="否",结果表!I113,'结果表 (1修多)'!I115)</f>
        <v>——</v>
      </c>
      <c r="E20" s="1287"/>
    </row>
    <row r="21" spans="1:5" ht="14.25">
      <c r="A21" s="1287"/>
      <c r="B21" s="3332" t="str">
        <f>IF('数据-取费表'!E3="否",结果表!F114,'结果表 (1修多)'!F116)</f>
        <v>——</v>
      </c>
      <c r="C21" s="1293" t="str">
        <f>C7</f>
        <v>总价（万元）</v>
      </c>
      <c r="D21" s="1294" t="str">
        <f>IF('数据-取费表'!E3="否",结果表!I114,'结果表 (1修多)'!I116)</f>
        <v>——</v>
      </c>
      <c r="E21" s="1287"/>
    </row>
    <row r="22" spans="1:5" ht="14.25">
      <c r="A22" s="1287"/>
      <c r="B22" s="3332"/>
      <c r="C22" s="1295" t="s">
        <v>924</v>
      </c>
      <c r="D22" s="1296" t="e">
        <f>IF('数据-取费表'!B3="万元",NUMBERSTRING(INT(D21*10000),2)&amp;"元整",NUMBERSTRING(INT(D21),2)&amp;"元整")</f>
        <v>#VALUE!</v>
      </c>
      <c r="E22" s="1287"/>
    </row>
    <row r="23" spans="1:5" ht="15" thickBot="1">
      <c r="A23" s="1287"/>
      <c r="B23" s="3333"/>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7" t="s">
        <v>1021</v>
      </c>
      <c r="C25" s="3347"/>
      <c r="D25" s="3347"/>
      <c r="E25" s="1287"/>
    </row>
    <row r="26" spans="1:5" ht="18.75" customHeight="1" thickTop="1">
      <c r="A26" s="1287"/>
      <c r="B26" s="3350" t="s">
        <v>923</v>
      </c>
      <c r="C26" s="3351"/>
      <c r="D26" s="3348" t="s">
        <v>922</v>
      </c>
      <c r="E26" s="1287"/>
    </row>
    <row r="27" spans="1:5" ht="18.75" customHeight="1">
      <c r="A27" s="1287"/>
      <c r="B27" s="3352"/>
      <c r="C27" s="3353"/>
      <c r="D27" s="3349"/>
      <c r="E27" s="1287"/>
    </row>
    <row r="28" spans="1:5" ht="14.25">
      <c r="A28" s="1287"/>
      <c r="B28" s="3340" t="s">
        <v>594</v>
      </c>
      <c r="C28" s="1304" t="s">
        <v>925</v>
      </c>
      <c r="D28" s="1305">
        <f ca="1">IF('数据-取费表'!E3="否",结果表!I102,'结果表 (1修多)'!I104)</f>
        <v>493</v>
      </c>
      <c r="E28" s="1287"/>
    </row>
    <row r="29" spans="1:5" ht="14.25">
      <c r="A29" s="1287"/>
      <c r="B29" s="3341"/>
      <c r="C29" s="1306" t="s">
        <v>924</v>
      </c>
      <c r="D29" s="1307" t="str">
        <f ca="1">IF('数据-取费表'!B3="万元",NUMBERSTRING(INT(D28*10000),2)&amp;"元整",NUMBERSTRING(INT(D28),2)&amp;"元整")</f>
        <v>肆佰玖拾叁万元整</v>
      </c>
      <c r="E29" s="1287"/>
    </row>
    <row r="30" spans="1:5" ht="14.25">
      <c r="A30" s="1287"/>
      <c r="B30" s="3342"/>
      <c r="C30" s="1297" t="s">
        <v>927</v>
      </c>
      <c r="D30" s="1308">
        <f ca="1">IF('数据-取费表'!E3="否",结果表!I103,'结果表 (1修多)'!I105)</f>
        <v>27016</v>
      </c>
      <c r="E30" s="1287"/>
    </row>
    <row r="31" spans="1:5" ht="14.25">
      <c r="A31" s="1287"/>
      <c r="B31" s="3345" t="str">
        <f>B10</f>
        <v>2.估价师所知悉的法定优先受偿款</v>
      </c>
      <c r="C31" s="1309" t="s">
        <v>926</v>
      </c>
      <c r="D31" s="1310">
        <f>IF('数据-取费表'!E3="否",结果表!I105,'结果表 (1修多)'!I107)</f>
        <v>0</v>
      </c>
      <c r="E31" s="1287"/>
    </row>
    <row r="32" spans="1:5" ht="14.25">
      <c r="A32" s="1287"/>
      <c r="B32" s="3354"/>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3" t="str">
        <f>B15</f>
        <v>3.房地产抵押价值</v>
      </c>
      <c r="C36" s="1309" t="str">
        <f>C28</f>
        <v>总价</v>
      </c>
      <c r="D36" s="1310">
        <f ca="1">IF('数据-取费表'!E3="否",结果表!I110,'结果表 (1修多)'!I112)</f>
        <v>493</v>
      </c>
      <c r="E36" s="1287"/>
    </row>
    <row r="37" spans="1:5" ht="14.25">
      <c r="A37" s="1287"/>
      <c r="B37" s="3343"/>
      <c r="C37" s="1306" t="s">
        <v>924</v>
      </c>
      <c r="D37" s="1311" t="str">
        <f ca="1">IF('数据-取费表'!B3="万元",NUMBERSTRING(INT(D36*10000),2)&amp;"元整",NUMBERSTRING(INT(D36),2)&amp;"元整")</f>
        <v>肆佰玖拾叁万元整</v>
      </c>
      <c r="E37" s="1287"/>
    </row>
    <row r="38" spans="1:5" ht="14.25">
      <c r="A38" s="1287"/>
      <c r="B38" s="3343"/>
      <c r="C38" s="1297" t="s">
        <v>928</v>
      </c>
      <c r="D38" s="1308">
        <f ca="1">IF('数据-取费表'!E3="否",结果表!D113,'结果表 (1修多)'!D117)</f>
        <v>27016</v>
      </c>
      <c r="E38" s="1287"/>
    </row>
    <row r="39" spans="1:5" ht="14.25">
      <c r="A39" s="1287"/>
      <c r="B39" s="3344" t="str">
        <f>B18</f>
        <v>——</v>
      </c>
      <c r="C39" s="1309" t="str">
        <f>C28</f>
        <v>总价</v>
      </c>
      <c r="D39" s="1310" t="str">
        <f>IF('数据-取费表'!E3="否",结果表!I112,'结果表 (1修多)'!I114)</f>
        <v>——</v>
      </c>
      <c r="E39" s="1287"/>
    </row>
    <row r="40" spans="1:5" ht="14.25">
      <c r="A40" s="1287"/>
      <c r="B40" s="3344"/>
      <c r="C40" s="1306" t="s">
        <v>924</v>
      </c>
      <c r="D40" s="1311" t="e">
        <f>IF('数据-取费表'!B3="万元",NUMBERSTRING(INT(D39*10000),2)&amp;"元整",NUMBERSTRING(INT(D39),2)&amp;"元整")</f>
        <v>#VALUE!</v>
      </c>
      <c r="E40" s="1287"/>
    </row>
    <row r="41" spans="1:5" ht="14.25">
      <c r="A41" s="1287"/>
      <c r="B41" s="3344"/>
      <c r="C41" s="1297" t="s">
        <v>928</v>
      </c>
      <c r="D41" s="1308" t="str">
        <f>IF('数据-取费表'!E3="否",结果表!D115,'结果表 (1修多)'!D119)</f>
        <v>——</v>
      </c>
      <c r="E41" s="1287"/>
    </row>
    <row r="42" spans="1:5" ht="14.25">
      <c r="A42" s="1287"/>
      <c r="B42" s="3343" t="str">
        <f>B21</f>
        <v>——</v>
      </c>
      <c r="C42" s="1309" t="str">
        <f>C28</f>
        <v>总价</v>
      </c>
      <c r="D42" s="1310" t="str">
        <f>IF('数据-取费表'!E3="否",结果表!I114,'结果表 (1修多)'!I116)</f>
        <v>——</v>
      </c>
      <c r="E42" s="1287"/>
    </row>
    <row r="43" spans="1:5" ht="14.25">
      <c r="A43" s="1287"/>
      <c r="B43" s="3345"/>
      <c r="C43" s="1306" t="s">
        <v>924</v>
      </c>
      <c r="D43" s="1312" t="e">
        <f>IF('数据-取费表'!B3="万元",NUMBERSTRING(INT(D42*10000),2)&amp;"元整",NUMBERSTRING(INT(D42),2)&amp;"元整")</f>
        <v>#VALUE!</v>
      </c>
      <c r="E43" s="1287"/>
    </row>
    <row r="44" spans="1:5" ht="15" thickBot="1">
      <c r="A44" s="1287"/>
      <c r="B44" s="3346"/>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1" t="str">
        <f>IF(项目基本情况!D5="房地产市场价值","估价结果一览表","结果表-2")</f>
        <v>结果表-2</v>
      </c>
      <c r="B1" s="3361"/>
      <c r="C1" s="3361"/>
      <c r="D1" s="3361"/>
      <c r="E1" s="3361"/>
      <c r="F1" s="3361"/>
      <c r="G1" s="3361"/>
      <c r="H1" s="3361"/>
      <c r="I1" s="3361"/>
    </row>
    <row r="2" spans="1:9" ht="30" customHeight="1" thickTop="1">
      <c r="A2" s="3362" t="s">
        <v>1022</v>
      </c>
      <c r="B2" s="3362" t="s">
        <v>1023</v>
      </c>
      <c r="C2" s="3362" t="s">
        <v>1024</v>
      </c>
      <c r="D2" s="3362" t="str">
        <f>IF('数据-取费表'!E3="否",结果表!D119,'结果表 (1修多)'!D123)</f>
        <v>出让国有建设用地使用权价值</v>
      </c>
      <c r="E2" s="3362"/>
      <c r="F2" s="3362" t="s">
        <v>1025</v>
      </c>
      <c r="G2" s="3362"/>
      <c r="H2" s="3362" t="s">
        <v>1026</v>
      </c>
      <c r="I2" s="3362"/>
    </row>
    <row r="3" spans="1:9" ht="15">
      <c r="A3" s="3357"/>
      <c r="B3" s="3357"/>
      <c r="C3" s="3357"/>
      <c r="D3" s="776" t="s">
        <v>1027</v>
      </c>
      <c r="E3" s="776" t="s">
        <v>1028</v>
      </c>
      <c r="F3" s="776" t="s">
        <v>1027</v>
      </c>
      <c r="G3" s="776" t="s">
        <v>1029</v>
      </c>
      <c r="H3" s="776" t="s">
        <v>1027</v>
      </c>
      <c r="I3" s="776" t="s">
        <v>1029</v>
      </c>
    </row>
    <row r="4" spans="1:9" ht="46.5" customHeight="1">
      <c r="A4" s="776" t="str">
        <f>项目基本情况!I1</f>
        <v>北京市房地产</v>
      </c>
      <c r="B4" s="776">
        <f>结果表!B121</f>
        <v>182.31</v>
      </c>
      <c r="C4" s="776">
        <f>结果表!C121</f>
        <v>0</v>
      </c>
      <c r="D4" s="776">
        <f ca="1">IF('数据-取费表'!E3="否",结果表!D121,'结果表 (1修多)'!D125)</f>
        <v>418</v>
      </c>
      <c r="E4" s="776">
        <f ca="1">IF('数据-取费表'!E3="否",结果表!E121,'结果表 (1修多)'!E125)</f>
        <v>22910</v>
      </c>
      <c r="F4" s="776">
        <f ca="1">IF('数据-取费表'!E3="否",结果表!F121,'结果表 (1修多)'!F125)</f>
        <v>75</v>
      </c>
      <c r="G4" s="776">
        <f ca="1">IF('数据-取费表'!E3="否",结果表!G121,'结果表 (1修多)'!G125)</f>
        <v>4106</v>
      </c>
      <c r="H4" s="776">
        <f ca="1">IF('数据-取费表'!E3="否",结果表!H121,'结果表 (1修多)'!H125)</f>
        <v>493</v>
      </c>
      <c r="I4" s="776">
        <f ca="1">IF('数据-取费表'!E3="否",结果表!I121,'结果表 (1修多)'!I125)</f>
        <v>27016</v>
      </c>
    </row>
    <row r="5" spans="1:9" ht="15">
      <c r="A5" s="3357" t="s">
        <v>1030</v>
      </c>
      <c r="B5" s="3357"/>
      <c r="C5" s="3357"/>
      <c r="D5" s="3355" t="str">
        <f ca="1">IF('数据-取费表'!E3="否",结果表!D122,'结果表 (1修多)'!D126)</f>
        <v>肆佰壹拾捌万元整</v>
      </c>
      <c r="E5" s="3355"/>
      <c r="F5" s="3355" t="str">
        <f ca="1">IF('数据-取费表'!E3="否",结果表!F122,'结果表 (1修多)'!F126)</f>
        <v>柒拾伍万元整</v>
      </c>
      <c r="G5" s="3355"/>
      <c r="H5" s="3355" t="str">
        <f ca="1">IF('数据-取费表'!E3="否",结果表!H122,'结果表 (1修多)'!H126)</f>
        <v>肆佰玖拾叁万元整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7" t="s">
        <v>1030</v>
      </c>
      <c r="B7" s="3357"/>
      <c r="C7" s="3357"/>
      <c r="D7" s="3358">
        <f>IF('数据-取费表'!E3="否",结果表!D124,'结果表 (1修多)'!D128)</f>
        <v>0</v>
      </c>
      <c r="E7" s="3359"/>
      <c r="F7" s="3359"/>
      <c r="G7" s="3359"/>
      <c r="H7" s="3359"/>
      <c r="I7" s="3360"/>
    </row>
    <row r="8" spans="1:9" ht="15.75">
      <c r="A8" s="3356" t="str">
        <f>IF('数据-取费表'!E3="否",结果表!A125,'结果表 (1修多)'!A129)</f>
        <v>房地产抵押价值</v>
      </c>
      <c r="B8" s="3356"/>
      <c r="C8" s="3356"/>
      <c r="D8" s="3356">
        <f ca="1">IF('数据-取费表'!E3="否",结果表!D125,'结果表 (1修多)'!D129)</f>
        <v>493</v>
      </c>
      <c r="E8" s="3356"/>
      <c r="F8" s="3356"/>
      <c r="G8" s="3356"/>
      <c r="H8" s="3356"/>
      <c r="I8" s="3356"/>
    </row>
    <row r="9" spans="1:9" ht="15">
      <c r="A9" s="3357" t="s">
        <v>1030</v>
      </c>
      <c r="B9" s="3357"/>
      <c r="C9" s="3357"/>
      <c r="D9" s="3355">
        <f ca="1">IF('数据-取费表'!E3="否",结果表!D126,'结果表 (1修多)'!D130)</f>
        <v>27016</v>
      </c>
      <c r="E9" s="3355"/>
      <c r="F9" s="3355"/>
      <c r="G9" s="3355"/>
      <c r="H9" s="3355"/>
      <c r="I9" s="3355"/>
    </row>
    <row r="10" spans="1:9" ht="15.75">
      <c r="A10" s="3356" t="str">
        <f>IF('数据-取费表'!E3="否",结果表!A127,'结果表 (1修多)'!A131)</f>
        <v/>
      </c>
      <c r="B10" s="3356"/>
      <c r="C10" s="3356"/>
      <c r="D10" s="3356" t="str">
        <f>IF('数据-取费表'!E3="否",结果表!D127,'结果表 (1修多)'!D130)</f>
        <v>——</v>
      </c>
      <c r="E10" s="3356"/>
      <c r="F10" s="3356"/>
      <c r="G10" s="3356"/>
      <c r="H10" s="3356"/>
      <c r="I10" s="3356"/>
    </row>
    <row r="11" spans="1:9" ht="15">
      <c r="A11" s="3357" t="s">
        <v>1030</v>
      </c>
      <c r="B11" s="3357"/>
      <c r="C11" s="3357"/>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63" t="s">
        <v>1030</v>
      </c>
      <c r="B13" s="3363"/>
      <c r="C13" s="3363"/>
      <c r="D13" s="3364">
        <f>IF('数据-取费表'!E3="否",结果表!D130,'结果表 (1修多)'!D134)</f>
        <v>0</v>
      </c>
      <c r="E13" s="3364"/>
      <c r="F13" s="3364"/>
      <c r="G13" s="3364"/>
      <c r="H13" s="3364"/>
      <c r="I13" s="3364"/>
    </row>
    <row r="14" spans="1:9" ht="15" thickTop="1">
      <c r="A14" s="3365" t="str">
        <f>IF('数据-取费表'!E3="否",结果表!A131,'结果表 (1修多)'!A135)</f>
        <v>单位：平方米、万元、元/平方米（币种：人民币）</v>
      </c>
      <c r="B14" s="3365"/>
      <c r="C14" s="3365"/>
      <c r="D14" s="3365"/>
      <c r="E14" s="3365"/>
      <c r="F14" s="3365"/>
      <c r="G14" s="3365"/>
      <c r="H14" s="3365"/>
      <c r="I14" s="3365"/>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0" t="s">
        <v>1043</v>
      </c>
      <c r="B1" s="3370"/>
      <c r="C1" s="3370"/>
      <c r="D1" s="3370"/>
    </row>
    <row r="2" spans="1:4" ht="18">
      <c r="A2" s="3369" t="s">
        <v>1032</v>
      </c>
      <c r="B2" s="3369"/>
      <c r="C2" s="3369"/>
      <c r="D2" s="3369"/>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9" t="s">
        <v>1037</v>
      </c>
      <c r="B7" s="3369"/>
      <c r="C7" s="3369"/>
      <c r="D7" s="3369"/>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6" t="s">
        <v>2495</v>
      </c>
      <c r="B12" s="3368"/>
      <c r="C12" s="3368"/>
      <c r="D12" s="3368"/>
    </row>
    <row r="13" spans="1:4" ht="15.75">
      <c r="A13" s="33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8"/>
      <c r="C13" s="3368"/>
      <c r="D13" s="3368"/>
    </row>
    <row r="14" spans="1:4" ht="30" customHeight="1">
      <c r="A14" s="3366" t="str">
        <f>IF(项目基本情况!D4="抵押","3.抵押双方在办理抵押登记手续时，应使用本公司出具的正式《不动产估价报告书》，特提醒报告使用者注意。","——")</f>
        <v>——</v>
      </c>
      <c r="B14" s="3368"/>
      <c r="C14" s="3368"/>
      <c r="D14" s="3368"/>
    </row>
    <row r="15" spans="1:4" ht="15.75" customHeight="1">
      <c r="A15" s="3366" t="str">
        <f>IF(项目基本情况!D4="抵押","4.本次评估估价师所知悉的法定优先受偿款情况说明如下：","——")</f>
        <v>——</v>
      </c>
      <c r="B15" s="3368"/>
      <c r="C15" s="3368"/>
      <c r="D15" s="3368"/>
    </row>
    <row r="16" spans="1:4" ht="75" customHeight="1">
      <c r="A16" s="3366" t="str">
        <f>IF(项目基本情况!D4="抵押",CONCATENATE(项目基本情况!J13,项目基本情况!J14,项目基本情况!J15),"——")</f>
        <v>——</v>
      </c>
      <c r="B16" s="3366"/>
      <c r="C16" s="3366"/>
      <c r="D16" s="3366"/>
    </row>
    <row r="17" spans="1:4" ht="63.75" customHeight="1">
      <c r="A17" s="3367" t="s">
        <v>1045</v>
      </c>
      <c r="B17" s="3367"/>
      <c r="C17" s="3367"/>
      <c r="D17" s="3367"/>
    </row>
    <row r="18" spans="1:4" ht="15.75" customHeight="1">
      <c r="A18" s="3366" t="str">
        <f>IF(项目基本情况!D4="抵押",结果表!L106,"——")</f>
        <v>——</v>
      </c>
      <c r="B18" s="3366"/>
      <c r="C18" s="3366"/>
      <c r="D18" s="3366"/>
    </row>
    <row r="19" spans="1:4" ht="46.5" customHeight="1">
      <c r="A19" s="33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6"/>
      <c r="C19" s="3366"/>
      <c r="D19" s="3366"/>
    </row>
    <row r="20" spans="1:4" ht="15">
      <c r="A20" s="3367" t="s">
        <v>2496</v>
      </c>
      <c r="B20" s="3367"/>
      <c r="C20" s="3367"/>
      <c r="D20" s="3367"/>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6" t="s">
        <v>1124</v>
      </c>
      <c r="B15" s="3371" t="s">
        <v>1125</v>
      </c>
      <c r="C15" s="3372"/>
    </row>
    <row r="16" spans="1:7" ht="14.25">
      <c r="A16" s="3377"/>
      <c r="B16" s="3371" t="s">
        <v>1126</v>
      </c>
      <c r="C16" s="3372"/>
    </row>
    <row r="17" spans="1:3" ht="14.25">
      <c r="A17" s="3377"/>
      <c r="B17" s="3371" t="s">
        <v>1127</v>
      </c>
      <c r="C17" s="3372"/>
    </row>
    <row r="18" spans="1:3" ht="14.25">
      <c r="A18" s="3378"/>
      <c r="B18" s="3373" t="s">
        <v>1128</v>
      </c>
      <c r="C18" s="3372"/>
    </row>
    <row r="19" spans="1:3" ht="14.25">
      <c r="A19" s="1340" t="s">
        <v>1129</v>
      </c>
      <c r="B19" s="1341"/>
      <c r="C19" s="1342"/>
    </row>
    <row r="20" spans="1:3" ht="14.25">
      <c r="A20" s="3374" t="s">
        <v>1130</v>
      </c>
      <c r="B20" s="3373" t="s">
        <v>1131</v>
      </c>
      <c r="C20" s="3372"/>
    </row>
    <row r="21" spans="1:3" ht="14.25">
      <c r="A21" s="3374"/>
      <c r="B21" s="3373" t="s">
        <v>1132</v>
      </c>
      <c r="C21" s="3372"/>
    </row>
    <row r="22" spans="1:3" ht="14.25">
      <c r="A22" s="3374"/>
      <c r="B22" s="3373" t="s">
        <v>1133</v>
      </c>
      <c r="C22" s="3372"/>
    </row>
    <row r="23" spans="1:3" ht="14.25">
      <c r="A23" s="3374"/>
      <c r="B23" s="3375" t="s">
        <v>1134</v>
      </c>
      <c r="C23" s="1343" t="s">
        <v>1135</v>
      </c>
    </row>
    <row r="24" spans="1:3" ht="14.25">
      <c r="A24" s="3374"/>
      <c r="B24" s="3375"/>
      <c r="C24" s="1343" t="s">
        <v>1136</v>
      </c>
    </row>
    <row r="25" spans="1:3" ht="14.25">
      <c r="A25" s="3374"/>
      <c r="B25" s="3375"/>
      <c r="C25" s="1343" t="s">
        <v>1137</v>
      </c>
    </row>
    <row r="26" spans="1:3" ht="14.25">
      <c r="A26" s="3374"/>
      <c r="B26" s="3375"/>
      <c r="C26" s="1343" t="s">
        <v>1138</v>
      </c>
    </row>
    <row r="27" spans="1:3" ht="14.25">
      <c r="A27" s="3374"/>
      <c r="B27" s="3375"/>
      <c r="C27" s="1343" t="s">
        <v>1139</v>
      </c>
    </row>
    <row r="28" spans="1:3" ht="14.25">
      <c r="A28" s="3374"/>
      <c r="B28" s="3375"/>
      <c r="C28" s="1343" t="s">
        <v>1140</v>
      </c>
    </row>
    <row r="29" spans="1:3" ht="14.25">
      <c r="A29" s="3374"/>
      <c r="B29" s="3375"/>
      <c r="C29" s="1343" t="s">
        <v>1141</v>
      </c>
    </row>
    <row r="30" spans="1:3" ht="14.25">
      <c r="A30" s="3374"/>
      <c r="B30" s="3375"/>
      <c r="C30" s="1343" t="s">
        <v>1142</v>
      </c>
    </row>
    <row r="31" spans="1:3" ht="14.25">
      <c r="A31" s="3374"/>
      <c r="B31" s="3375"/>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44766</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2472</v>
      </c>
      <c r="B12" s="1230">
        <f ca="1">IF(C12&lt;B2,"已过期",1120040230)</f>
        <v>1120040230</v>
      </c>
      <c r="C12" s="2991">
        <v>44864</v>
      </c>
      <c r="D12" s="2998" t="str">
        <f t="shared" ca="1" si="0"/>
        <v>苏海（注册号：1120040230）</v>
      </c>
      <c r="E12" s="3000" t="s">
        <v>2472</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2488</v>
      </c>
      <c r="B14" s="1230">
        <f ca="1">IF(C14&lt;B2,"已过期",1119980106)</f>
        <v>1119980106</v>
      </c>
      <c r="C14" s="2991">
        <v>44969</v>
      </c>
      <c r="D14" s="2998" t="str">
        <f t="shared" ca="1" si="0"/>
        <v>刘俊财（注册号：1119980106）</v>
      </c>
      <c r="E14" s="3000" t="s">
        <v>2588</v>
      </c>
      <c r="F14" s="1230">
        <f ca="1">IF(G14&lt;B2,"已过期",96010063)</f>
        <v>96010063</v>
      </c>
      <c r="G14" s="2989">
        <v>47483</v>
      </c>
      <c r="H14" s="2990" t="str">
        <f t="shared" ca="1" si="1"/>
        <v>刘俊财（注册号：96010063）</v>
      </c>
    </row>
    <row r="15" spans="1:8" ht="24" customHeight="1">
      <c r="A15" s="1230" t="s">
        <v>2796</v>
      </c>
      <c r="B15" s="1230">
        <v>1120210056</v>
      </c>
      <c r="C15" s="2991">
        <v>45410</v>
      </c>
      <c r="D15" s="2998" t="str">
        <f t="shared" ref="D15" si="2">A15&amp;"（注册号："&amp;B15&amp;"）"</f>
        <v>宁小鳗（注册号：1120210056）</v>
      </c>
      <c r="E15" s="3000" t="s">
        <v>2591</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9" t="s">
        <v>582</v>
      </c>
      <c r="B17" s="3379"/>
      <c r="C17" s="3379"/>
      <c r="D17" s="3379"/>
      <c r="E17" s="3379"/>
      <c r="F17" s="3379"/>
      <c r="G17" s="3379"/>
      <c r="H17" s="3379"/>
    </row>
    <row r="18" spans="1:8" ht="24" customHeight="1">
      <c r="A18" s="3380" t="s">
        <v>583</v>
      </c>
      <c r="B18" s="3380"/>
      <c r="C18" s="3380"/>
      <c r="D18" s="2987"/>
      <c r="E18" s="3381" t="s">
        <v>584</v>
      </c>
      <c r="F18" s="3380"/>
      <c r="G18" s="3380"/>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2589</v>
      </c>
      <c r="B20" s="2994" t="s">
        <v>2590</v>
      </c>
      <c r="C20" s="2989">
        <v>44820</v>
      </c>
      <c r="D20" s="3001"/>
      <c r="E20" s="3003" t="s">
        <v>588</v>
      </c>
      <c r="F20" s="2996" t="s">
        <v>2797</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2785</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2"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本次估价的“房地产价值”是指在正常市场情况下，在价值时点2022年7月21日，估价对象规划用途为，假定未设立法定优先受偿款下的房地产市场价值。</v>
      </c>
    </row>
    <row r="54" spans="1:4">
      <c r="A54" s="3382"/>
      <c r="B54" s="9" t="s">
        <v>1280</v>
      </c>
      <c r="C54" s="9" t="s">
        <v>1281</v>
      </c>
    </row>
    <row r="55" spans="1:4">
      <c r="A55" s="3382"/>
      <c r="B55" s="9" t="s">
        <v>1282</v>
      </c>
      <c r="C55" s="9" t="s">
        <v>1283</v>
      </c>
    </row>
    <row r="56" spans="1:4">
      <c r="A56" s="3382"/>
      <c r="B56" s="9" t="s">
        <v>1284</v>
      </c>
      <c r="C56" s="9" t="s">
        <v>1285</v>
      </c>
    </row>
    <row r="57" spans="1:4">
      <c r="A57" s="3382"/>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案例</vt:lpstr>
      <vt:lpstr>收益法</vt:lpstr>
      <vt:lpstr>成本法</vt:lpstr>
      <vt:lpstr>假设开发法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cp:lastModifiedBy>
  <cp:lastPrinted>2020-08-03T08:20:51Z</cp:lastPrinted>
  <dcterms:created xsi:type="dcterms:W3CDTF">2015-07-13T07:17:23Z</dcterms:created>
  <dcterms:modified xsi:type="dcterms:W3CDTF">2022-07-24T15:16:51Z</dcterms:modified>
</cp:coreProperties>
</file>