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询价\西直门地下办公\"/>
    </mc:Choice>
  </mc:AlternateContent>
  <xr:revisionPtr revIDLastSave="0" documentId="13_ncr:1_{9688B543-92C1-4A1E-80D5-218B2F48E38E}" xr6:coauthVersionLast="47" xr6:coauthVersionMax="47" xr10:uidLastSave="{00000000-0000-0000-0000-000000000000}"/>
  <bookViews>
    <workbookView xWindow="-108" yWindow="-108" windowWidth="23256" windowHeight="12576"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Calc="0"/>
</workbook>
</file>

<file path=xl/calcChain.xml><?xml version="1.0" encoding="utf-8"?>
<calcChain xmlns="http://schemas.openxmlformats.org/spreadsheetml/2006/main">
  <c r="C6" i="11" l="1"/>
  <c r="B5" i="1"/>
  <c r="F7" i="15"/>
  <c r="E20" i="1"/>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R43" i="63"/>
  <c r="R40" i="63"/>
  <c r="R41" i="63"/>
  <c r="F36" i="63"/>
  <c r="R34" i="63"/>
  <c r="R33" i="63"/>
  <c r="C30" i="63"/>
  <c r="R27" i="63"/>
  <c r="M24" i="63"/>
  <c r="R23" i="63"/>
  <c r="C23" i="63"/>
  <c r="D23" i="63"/>
  <c r="D38" i="63"/>
  <c r="D39" i="63"/>
  <c r="R22" i="63"/>
  <c r="R21" i="63"/>
  <c r="N19" i="63"/>
  <c r="R18" i="63"/>
  <c r="D18" i="63"/>
  <c r="R17" i="63"/>
  <c r="D17" i="63"/>
  <c r="R16" i="63"/>
  <c r="D16" i="63"/>
  <c r="D15" i="63"/>
  <c r="M14" i="63"/>
  <c r="N14" i="63"/>
  <c r="D14" i="63"/>
  <c r="R13" i="63"/>
  <c r="R12" i="63"/>
  <c r="D12" i="63"/>
  <c r="R11" i="63"/>
  <c r="R10" i="63"/>
  <c r="D10" i="63"/>
  <c r="R9" i="63"/>
  <c r="D9" i="63"/>
  <c r="R8" i="63"/>
  <c r="R7" i="63"/>
  <c r="R4" i="63"/>
  <c r="R3" i="63"/>
  <c r="D11" i="63"/>
  <c r="E11" i="63"/>
  <c r="E7" i="63"/>
  <c r="C27" i="63"/>
  <c r="D7" i="63"/>
  <c r="C26" i="63"/>
  <c r="R14" i="63"/>
  <c r="R24" i="63"/>
  <c r="E23" i="63"/>
  <c r="D26" i="63"/>
  <c r="C29" i="63"/>
  <c r="C32" i="63"/>
  <c r="C38" i="63"/>
  <c r="C39" i="63"/>
  <c r="R35" i="63"/>
  <c r="U34" i="63"/>
  <c r="D29" i="63"/>
  <c r="D32" i="63"/>
  <c r="AH10" i="59"/>
  <c r="AG10" i="59"/>
  <c r="AE10" i="59"/>
  <c r="AF10" i="59"/>
  <c r="AD10" i="59"/>
  <c r="Q10" i="59"/>
  <c r="P10" i="59"/>
  <c r="O10" i="59"/>
  <c r="N10" i="59"/>
  <c r="R25" i="63"/>
  <c r="R19" i="63"/>
  <c r="E26" i="63"/>
  <c r="E38" i="63"/>
  <c r="E39" i="63"/>
  <c r="C40" i="63"/>
  <c r="E29" i="63"/>
  <c r="E32" i="63"/>
  <c r="AH11" i="59"/>
  <c r="AG11" i="59"/>
  <c r="AE11" i="59"/>
  <c r="AF11" i="59"/>
  <c r="AD11" i="59"/>
  <c r="Q11" i="59"/>
  <c r="P11" i="59"/>
  <c r="O11" i="59"/>
  <c r="N11" i="59"/>
  <c r="R5" i="63"/>
  <c r="U5" i="63"/>
  <c r="C41" i="63"/>
  <c r="B2" i="63"/>
  <c r="B3" i="63"/>
  <c r="E20" i="43"/>
  <c r="AH12" i="59"/>
  <c r="AG12" i="59"/>
  <c r="AE12" i="59"/>
  <c r="AF12" i="59"/>
  <c r="AD12" i="59"/>
  <c r="Q12" i="59"/>
  <c r="P12" i="59"/>
  <c r="O12" i="59"/>
  <c r="N12" i="59"/>
  <c r="D29" i="43"/>
  <c r="G13" i="61"/>
  <c r="F13" i="61"/>
  <c r="E13" i="61"/>
  <c r="G18" i="61"/>
  <c r="F18" i="61"/>
  <c r="E18" i="61"/>
  <c r="G19" i="61"/>
  <c r="F19" i="61"/>
  <c r="E19" i="61"/>
  <c r="E20" i="61"/>
  <c r="F20" i="61"/>
  <c r="G20" i="61"/>
  <c r="G21" i="61"/>
  <c r="F21" i="61"/>
  <c r="E21" i="61"/>
  <c r="AH13" i="59"/>
  <c r="AG13" i="59"/>
  <c r="AE13" i="59"/>
  <c r="AF13" i="59"/>
  <c r="AD13" i="59"/>
  <c r="Q13" i="59"/>
  <c r="P13" i="59"/>
  <c r="O13" i="59"/>
  <c r="N13" i="59"/>
  <c r="AH14" i="59"/>
  <c r="AG14" i="59"/>
  <c r="AE14" i="59"/>
  <c r="AF14" i="59"/>
  <c r="AD14" i="59"/>
  <c r="Q14" i="59"/>
  <c r="P14" i="59"/>
  <c r="O14" i="59"/>
  <c r="N14" i="59"/>
  <c r="D15" i="48"/>
  <c r="I1" i="4"/>
  <c r="F61" i="57"/>
  <c r="F59" i="9"/>
  <c r="E61" i="57"/>
  <c r="K42" i="40"/>
  <c r="K47" i="39"/>
  <c r="K36" i="36"/>
  <c r="K38" i="35"/>
  <c r="K42" i="37"/>
  <c r="K49" i="34"/>
  <c r="K48" i="33"/>
  <c r="K48" i="21"/>
  <c r="E59" i="9"/>
  <c r="B14" i="62"/>
  <c r="A14" i="55"/>
  <c r="I108" i="57"/>
  <c r="I106" i="9"/>
  <c r="AH15" i="59"/>
  <c r="AG15" i="59"/>
  <c r="AE15" i="59"/>
  <c r="AF15" i="59"/>
  <c r="AD15" i="59"/>
  <c r="Q15" i="59"/>
  <c r="P15" i="59"/>
  <c r="O15" i="59"/>
  <c r="N15" i="59"/>
  <c r="AH16" i="59"/>
  <c r="AG16" i="59"/>
  <c r="AE16" i="59"/>
  <c r="AF16" i="59"/>
  <c r="AD16" i="59"/>
  <c r="Q16" i="59"/>
  <c r="P16" i="59"/>
  <c r="O16" i="59"/>
  <c r="N16" i="59"/>
  <c r="O18" i="59"/>
  <c r="N18" i="59"/>
  <c r="AH17" i="59"/>
  <c r="AG17" i="59"/>
  <c r="AE17" i="59"/>
  <c r="AF17" i="59"/>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c r="B24" i="1"/>
  <c r="E1" i="61"/>
  <c r="J50" i="15"/>
  <c r="J51" i="15"/>
  <c r="B26" i="1"/>
  <c r="AH24" i="59"/>
  <c r="AG24" i="59"/>
  <c r="AE24" i="59"/>
  <c r="AF24" i="59"/>
  <c r="AD24" i="59"/>
  <c r="AH25" i="59"/>
  <c r="AG25" i="59"/>
  <c r="AE25" i="59"/>
  <c r="AF25" i="59"/>
  <c r="AD25" i="59"/>
  <c r="Q25" i="59"/>
  <c r="P25" i="59"/>
  <c r="O25" i="59"/>
  <c r="C25" i="59"/>
  <c r="N25" i="59"/>
  <c r="Q26" i="59"/>
  <c r="P26" i="59"/>
  <c r="O26" i="59"/>
  <c r="N26" i="59"/>
  <c r="D26" i="59"/>
  <c r="E25" i="59"/>
  <c r="E24" i="59"/>
  <c r="E23" i="59"/>
  <c r="E22" i="59"/>
  <c r="E21" i="59"/>
  <c r="E20" i="59"/>
  <c r="E19" i="59"/>
  <c r="E18" i="59"/>
  <c r="E17" i="59"/>
  <c r="F25" i="59"/>
  <c r="V25" i="59"/>
  <c r="A2" i="50"/>
  <c r="K60" i="15"/>
  <c r="P59" i="15"/>
  <c r="A127" i="57"/>
  <c r="A6" i="52"/>
  <c r="B64" i="60"/>
  <c r="A123" i="9"/>
  <c r="A16" i="54"/>
  <c r="B14" i="60"/>
  <c r="A14" i="54"/>
  <c r="B12" i="60"/>
  <c r="A19" i="55"/>
  <c r="B49" i="60"/>
  <c r="A13" i="55"/>
  <c r="B43" i="60"/>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Y28" i="59"/>
  <c r="Z28" i="59"/>
  <c r="P28" i="59"/>
  <c r="Q28" i="59"/>
  <c r="AB27"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5" i="31"/>
  <c r="M5" i="31"/>
  <c r="N5" i="31"/>
  <c r="O5" i="31"/>
  <c r="P5" i="31"/>
  <c r="Q5" i="31"/>
  <c r="R5" i="31"/>
  <c r="C1" i="61"/>
  <c r="L1" i="61"/>
  <c r="B68" i="60"/>
  <c r="D28" i="57"/>
  <c r="D29" i="57"/>
  <c r="D28" i="9"/>
  <c r="D29" i="9"/>
  <c r="A10" i="54"/>
  <c r="B9" i="60"/>
  <c r="Y12" i="43"/>
  <c r="Y10" i="43"/>
  <c r="AJ9" i="43"/>
  <c r="AJ10" i="43"/>
  <c r="AJ12" i="43"/>
  <c r="AI9" i="43"/>
  <c r="AI12" i="43"/>
  <c r="AH9" i="43"/>
  <c r="AH12" i="43"/>
  <c r="AG9" i="43"/>
  <c r="AG10" i="43"/>
  <c r="AG12" i="43"/>
  <c r="AF9" i="43"/>
  <c r="AF12" i="43"/>
  <c r="AE9" i="43"/>
  <c r="AE12" i="43"/>
  <c r="AD9" i="43"/>
  <c r="AD10" i="43"/>
  <c r="AC9" i="43"/>
  <c r="AC12" i="43"/>
  <c r="AB9" i="43"/>
  <c r="AB12" i="43"/>
  <c r="AA9" i="43"/>
  <c r="AA10" i="43"/>
  <c r="Z9" i="43"/>
  <c r="Z12" i="43"/>
  <c r="AE10" i="43"/>
  <c r="AI10" i="43"/>
  <c r="AB10" i="43"/>
  <c r="AF10" i="43"/>
  <c r="AH10" i="43"/>
  <c r="L51" i="57"/>
  <c r="L49" i="9"/>
  <c r="F112" i="57"/>
  <c r="A116" i="57"/>
  <c r="A129" i="57"/>
  <c r="A112" i="9"/>
  <c r="A125" i="9"/>
  <c r="F110" i="9"/>
  <c r="F116" i="57"/>
  <c r="A133" i="57"/>
  <c r="A120" i="57"/>
  <c r="A116" i="9"/>
  <c r="F114" i="57"/>
  <c r="A118" i="57"/>
  <c r="A131" i="57"/>
  <c r="A114" i="9"/>
  <c r="A127" i="9"/>
  <c r="F114" i="9"/>
  <c r="A129" i="9"/>
  <c r="F112" i="9"/>
  <c r="B45" i="50"/>
  <c r="B59" i="60"/>
  <c r="D2" i="52"/>
  <c r="B60" i="60"/>
  <c r="B18" i="50"/>
  <c r="B10" i="50"/>
  <c r="B31" i="50"/>
  <c r="C6" i="50"/>
  <c r="B18" i="60"/>
  <c r="A13" i="54"/>
  <c r="B51" i="60"/>
  <c r="B50" i="60"/>
  <c r="B47" i="60"/>
  <c r="B16" i="60"/>
  <c r="B51" i="10"/>
  <c r="A15" i="55"/>
  <c r="B45" i="60"/>
  <c r="B44" i="60"/>
  <c r="C10" i="50"/>
  <c r="B24" i="60"/>
  <c r="C7" i="50"/>
  <c r="C15" i="50"/>
  <c r="C35" i="50"/>
  <c r="C34" i="50"/>
  <c r="C33" i="50"/>
  <c r="B13" i="60"/>
  <c r="C42" i="50"/>
  <c r="C36" i="50"/>
  <c r="C39" i="50"/>
  <c r="I19" i="43"/>
  <c r="A136" i="57"/>
  <c r="F119" i="57"/>
  <c r="D90" i="59"/>
  <c r="F89" i="59"/>
  <c r="F88" i="59"/>
  <c r="F87" i="59"/>
  <c r="E89" i="59"/>
  <c r="E88" i="59"/>
  <c r="E87" i="59"/>
  <c r="C89" i="59"/>
  <c r="D89" i="59"/>
  <c r="B89" i="59"/>
  <c r="B88" i="59"/>
  <c r="B87" i="59"/>
  <c r="D86" i="59"/>
  <c r="F85" i="59"/>
  <c r="F84" i="59"/>
  <c r="F83" i="59"/>
  <c r="E85" i="59"/>
  <c r="E84" i="59"/>
  <c r="E83" i="59"/>
  <c r="C85" i="59"/>
  <c r="D85" i="59"/>
  <c r="B85" i="59"/>
  <c r="B84" i="59"/>
  <c r="B83" i="59"/>
  <c r="D82" i="59"/>
  <c r="S81" i="59"/>
  <c r="Q81" i="59"/>
  <c r="P81" i="59"/>
  <c r="O81" i="59"/>
  <c r="N81" i="59"/>
  <c r="F81" i="59"/>
  <c r="F80" i="59"/>
  <c r="F79" i="59"/>
  <c r="E81" i="59"/>
  <c r="U81" i="59"/>
  <c r="C81" i="59"/>
  <c r="T81" i="59"/>
  <c r="B81" i="59"/>
  <c r="B80" i="59"/>
  <c r="B79" i="59"/>
  <c r="Q80" i="59"/>
  <c r="P80" i="59"/>
  <c r="O80" i="59"/>
  <c r="N80" i="59"/>
  <c r="Q79" i="59"/>
  <c r="P79" i="59"/>
  <c r="O79" i="59"/>
  <c r="N79" i="59"/>
  <c r="Q78" i="59"/>
  <c r="P78" i="59"/>
  <c r="O78" i="59"/>
  <c r="N78" i="59"/>
  <c r="D78" i="59"/>
  <c r="Q77" i="59"/>
  <c r="P77" i="59"/>
  <c r="O77" i="59"/>
  <c r="N77" i="59"/>
  <c r="F77" i="59"/>
  <c r="F76" i="59"/>
  <c r="F75" i="59"/>
  <c r="E77" i="59"/>
  <c r="E76" i="59"/>
  <c r="E75" i="59"/>
  <c r="C77" i="59"/>
  <c r="T77" i="59"/>
  <c r="B77" i="59"/>
  <c r="S77" i="59"/>
  <c r="Q76" i="59"/>
  <c r="P76" i="59"/>
  <c r="O76" i="59"/>
  <c r="N76" i="59"/>
  <c r="Q75" i="59"/>
  <c r="P75" i="59"/>
  <c r="O75" i="59"/>
  <c r="N75" i="59"/>
  <c r="Q74" i="59"/>
  <c r="P74" i="59"/>
  <c r="O74" i="59"/>
  <c r="N74" i="59"/>
  <c r="D74" i="59"/>
  <c r="Q73" i="59"/>
  <c r="P73" i="59"/>
  <c r="O73" i="59"/>
  <c r="N73" i="59"/>
  <c r="F73" i="59"/>
  <c r="V73" i="59"/>
  <c r="E73" i="59"/>
  <c r="U73" i="59"/>
  <c r="C73" i="59"/>
  <c r="T73" i="59"/>
  <c r="B73" i="59"/>
  <c r="S73" i="59"/>
  <c r="Q72" i="59"/>
  <c r="P72" i="59"/>
  <c r="O72" i="59"/>
  <c r="N72" i="59"/>
  <c r="Q71" i="59"/>
  <c r="P71" i="59"/>
  <c r="O71" i="59"/>
  <c r="N71" i="59"/>
  <c r="Q70" i="59"/>
  <c r="P70" i="59"/>
  <c r="O70" i="59"/>
  <c r="N70" i="59"/>
  <c r="D70" i="59"/>
  <c r="P69" i="59"/>
  <c r="F69" i="59"/>
  <c r="V69" i="59"/>
  <c r="E69" i="59"/>
  <c r="E68" i="59"/>
  <c r="C69" i="59"/>
  <c r="O69" i="59"/>
  <c r="B69" i="59"/>
  <c r="N69" i="59"/>
  <c r="D66" i="59"/>
  <c r="Q65" i="59"/>
  <c r="P65" i="59"/>
  <c r="O65" i="59"/>
  <c r="N65" i="59"/>
  <c r="Q64" i="59"/>
  <c r="P64" i="59"/>
  <c r="O64" i="59"/>
  <c r="N64" i="59"/>
  <c r="Q63" i="59"/>
  <c r="P63" i="59"/>
  <c r="O63" i="59"/>
  <c r="N63" i="59"/>
  <c r="Q62" i="59"/>
  <c r="F63" i="59"/>
  <c r="F64" i="59"/>
  <c r="P62" i="59"/>
  <c r="E63" i="59"/>
  <c r="E64" i="59"/>
  <c r="E65" i="59"/>
  <c r="U65" i="59"/>
  <c r="O62" i="59"/>
  <c r="C63" i="59"/>
  <c r="N62" i="59"/>
  <c r="B63" i="59"/>
  <c r="B64" i="59"/>
  <c r="B65" i="59"/>
  <c r="S65" i="59"/>
  <c r="D62" i="59"/>
  <c r="Q61" i="59"/>
  <c r="P61" i="59"/>
  <c r="O61" i="59"/>
  <c r="N61" i="59"/>
  <c r="Q60" i="59"/>
  <c r="P60" i="59"/>
  <c r="O60" i="59"/>
  <c r="N60" i="59"/>
  <c r="Q59" i="59"/>
  <c r="P59" i="59"/>
  <c r="O59" i="59"/>
  <c r="N59" i="59"/>
  <c r="Q58" i="59"/>
  <c r="F59" i="59"/>
  <c r="F60" i="59"/>
  <c r="P58" i="59"/>
  <c r="E59" i="59"/>
  <c r="O58" i="59"/>
  <c r="C59" i="59"/>
  <c r="N58" i="59"/>
  <c r="B59" i="59"/>
  <c r="B60" i="59"/>
  <c r="B61" i="59"/>
  <c r="S61" i="59"/>
  <c r="D58" i="59"/>
  <c r="Q57" i="59"/>
  <c r="P57" i="59"/>
  <c r="O57" i="59"/>
  <c r="N57" i="59"/>
  <c r="Q56" i="59"/>
  <c r="P56" i="59"/>
  <c r="O56" i="59"/>
  <c r="N56" i="59"/>
  <c r="Q55" i="59"/>
  <c r="P55" i="59"/>
  <c r="O55" i="59"/>
  <c r="N55" i="59"/>
  <c r="C55" i="59"/>
  <c r="D55" i="59"/>
  <c r="Q54" i="59"/>
  <c r="F55" i="59"/>
  <c r="F56" i="59"/>
  <c r="F57" i="59"/>
  <c r="V57" i="59"/>
  <c r="P54" i="59"/>
  <c r="E55" i="59"/>
  <c r="E56" i="59"/>
  <c r="E57" i="59"/>
  <c r="U57" i="59"/>
  <c r="O54" i="59"/>
  <c r="N54" i="59"/>
  <c r="B55" i="59"/>
  <c r="B56" i="59"/>
  <c r="B57" i="59"/>
  <c r="S57" i="59"/>
  <c r="D54" i="59"/>
  <c r="Q53" i="59"/>
  <c r="P53" i="59"/>
  <c r="O53" i="59"/>
  <c r="N53" i="59"/>
  <c r="Q52" i="59"/>
  <c r="P52" i="59"/>
  <c r="O52" i="59"/>
  <c r="N52" i="59"/>
  <c r="Q51" i="59"/>
  <c r="P51" i="59"/>
  <c r="O51" i="59"/>
  <c r="N51" i="59"/>
  <c r="Q50" i="59"/>
  <c r="F51" i="59"/>
  <c r="P50" i="59"/>
  <c r="E51" i="59"/>
  <c r="E52" i="59"/>
  <c r="O50" i="59"/>
  <c r="C51" i="59"/>
  <c r="C52" i="59"/>
  <c r="N50" i="59"/>
  <c r="B51" i="59"/>
  <c r="B52" i="59"/>
  <c r="B53" i="59"/>
  <c r="S53" i="59"/>
  <c r="D50" i="59"/>
  <c r="T49" i="59"/>
  <c r="Q49" i="59"/>
  <c r="P49" i="59"/>
  <c r="O49" i="59"/>
  <c r="N49" i="59"/>
  <c r="D49" i="59"/>
  <c r="Q48" i="59"/>
  <c r="P48" i="59"/>
  <c r="O48" i="59"/>
  <c r="N48" i="59"/>
  <c r="Q47" i="59"/>
  <c r="P47"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O42" i="59"/>
  <c r="C43" i="59"/>
  <c r="C44" i="59"/>
  <c r="N42" i="59"/>
  <c r="B43" i="59"/>
  <c r="B44" i="59"/>
  <c r="B45" i="59"/>
  <c r="S45" i="59"/>
  <c r="D42" i="59"/>
  <c r="Q41" i="59"/>
  <c r="P41" i="59"/>
  <c r="O41" i="59"/>
  <c r="N41" i="59"/>
  <c r="Q40" i="59"/>
  <c r="P40" i="59"/>
  <c r="AA40" i="59"/>
  <c r="O40" i="59"/>
  <c r="Y40" i="59"/>
  <c r="Z40" i="59"/>
  <c r="N40" i="59"/>
  <c r="X40" i="59"/>
  <c r="Q39" i="59"/>
  <c r="AB39" i="59"/>
  <c r="P39" i="59"/>
  <c r="AA39" i="59"/>
  <c r="O39" i="59"/>
  <c r="N39" i="59"/>
  <c r="X39" i="59"/>
  <c r="Q38" i="59"/>
  <c r="F39" i="59"/>
  <c r="F40" i="59"/>
  <c r="P38" i="59"/>
  <c r="E39" i="59"/>
  <c r="E40" i="59"/>
  <c r="E41" i="59"/>
  <c r="O38" i="59"/>
  <c r="C39" i="59"/>
  <c r="C40" i="59"/>
  <c r="N38" i="59"/>
  <c r="X38" i="59"/>
  <c r="D38" i="59"/>
  <c r="Q37" i="59"/>
  <c r="P37" i="59"/>
  <c r="AA37" i="59"/>
  <c r="O37" i="59"/>
  <c r="N37" i="59"/>
  <c r="Q36" i="59"/>
  <c r="P36" i="59"/>
  <c r="O36" i="59"/>
  <c r="Y36" i="59"/>
  <c r="Z36" i="59"/>
  <c r="N36" i="59"/>
  <c r="Q35" i="59"/>
  <c r="P35" i="59"/>
  <c r="O35" i="59"/>
  <c r="N35" i="59"/>
  <c r="Q34" i="59"/>
  <c r="P34" i="59"/>
  <c r="O34" i="59"/>
  <c r="C35" i="59"/>
  <c r="N34" i="59"/>
  <c r="B35" i="59"/>
  <c r="D34" i="59"/>
  <c r="Q33" i="59"/>
  <c r="AB31" i="59"/>
  <c r="P33" i="59"/>
  <c r="O33" i="59"/>
  <c r="N33" i="59"/>
  <c r="Q32" i="59"/>
  <c r="P32" i="59"/>
  <c r="O32" i="59"/>
  <c r="N32" i="59"/>
  <c r="Q31" i="59"/>
  <c r="P31" i="59"/>
  <c r="O31" i="59"/>
  <c r="N31" i="59"/>
  <c r="Q30" i="59"/>
  <c r="AB3" i="59"/>
  <c r="P30" i="59"/>
  <c r="E31" i="59"/>
  <c r="E32" i="59"/>
  <c r="O30" i="59"/>
  <c r="Y30" i="59"/>
  <c r="Z30" i="59"/>
  <c r="N30" i="59"/>
  <c r="X30" i="59"/>
  <c r="D30" i="59"/>
  <c r="O29" i="59"/>
  <c r="N29" i="59"/>
  <c r="B29" i="59"/>
  <c r="X26" i="59"/>
  <c r="D39" i="59"/>
  <c r="P29" i="59"/>
  <c r="AA26" i="59"/>
  <c r="Q29" i="59"/>
  <c r="F29" i="59"/>
  <c r="T69" i="59"/>
  <c r="C68" i="59"/>
  <c r="C67" i="59"/>
  <c r="D73" i="59"/>
  <c r="C76" i="59"/>
  <c r="D76" i="59"/>
  <c r="D77" i="59"/>
  <c r="C80" i="59"/>
  <c r="D80" i="59"/>
  <c r="D81" i="59"/>
  <c r="C88" i="59"/>
  <c r="C87" i="59"/>
  <c r="D87" i="59"/>
  <c r="E29" i="59"/>
  <c r="E28" i="59"/>
  <c r="E27" i="59"/>
  <c r="B66" i="43"/>
  <c r="Q25" i="40"/>
  <c r="Z25" i="40"/>
  <c r="D93" i="40"/>
  <c r="E93" i="40"/>
  <c r="F93" i="40"/>
  <c r="G93" i="40"/>
  <c r="H25" i="40"/>
  <c r="U25" i="40"/>
  <c r="F25" i="40"/>
  <c r="AA25" i="40"/>
  <c r="Q27" i="39"/>
  <c r="Z27" i="39"/>
  <c r="D100" i="39"/>
  <c r="E100" i="39"/>
  <c r="F100" i="39"/>
  <c r="G100" i="39"/>
  <c r="Q18" i="36"/>
  <c r="Z18" i="36"/>
  <c r="F18" i="36"/>
  <c r="S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S21" i="37"/>
  <c r="C21" i="37"/>
  <c r="Q21" i="34"/>
  <c r="Z21" i="34"/>
  <c r="D84" i="34"/>
  <c r="E84" i="34"/>
  <c r="F84" i="34"/>
  <c r="F21" i="34"/>
  <c r="AA21" i="34"/>
  <c r="C21" i="34"/>
  <c r="Q21" i="33"/>
  <c r="Z21" i="33"/>
  <c r="D83" i="33"/>
  <c r="E83" i="33"/>
  <c r="F83" i="33"/>
  <c r="G83" i="33"/>
  <c r="H21" i="33"/>
  <c r="U21" i="33"/>
  <c r="F21" i="33"/>
  <c r="AA21" i="33"/>
  <c r="C21" i="33"/>
  <c r="Q21" i="21"/>
  <c r="Z21" i="21"/>
  <c r="D83" i="21"/>
  <c r="E83" i="21"/>
  <c r="F83" i="21"/>
  <c r="F21" i="21"/>
  <c r="AA21" i="21"/>
  <c r="C21" i="21"/>
  <c r="G20" i="20"/>
  <c r="C25" i="40"/>
  <c r="C22" i="20"/>
  <c r="B55" i="43"/>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0" i="43"/>
  <c r="M99" i="43"/>
  <c r="M100" i="43"/>
  <c r="M108" i="43"/>
  <c r="L99" i="43"/>
  <c r="L108" i="43"/>
  <c r="K99" i="43"/>
  <c r="K100" i="43"/>
  <c r="J99" i="43"/>
  <c r="J100" i="43"/>
  <c r="J108" i="43"/>
  <c r="I99" i="43"/>
  <c r="I108" i="43"/>
  <c r="H99" i="43"/>
  <c r="H108" i="43"/>
  <c r="G99" i="43"/>
  <c r="G108" i="43"/>
  <c r="F99" i="43"/>
  <c r="F108" i="43"/>
  <c r="E99" i="43"/>
  <c r="E100" i="43"/>
  <c r="D99" i="43"/>
  <c r="D100" i="43"/>
  <c r="C99" i="43"/>
  <c r="C108" i="43"/>
  <c r="C100" i="43"/>
  <c r="G100" i="43"/>
  <c r="F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E13"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V27" i="31"/>
  <c r="D115" i="57"/>
  <c r="D114" i="57"/>
  <c r="D113" i="57"/>
  <c r="I110" i="57"/>
  <c r="I107" i="57"/>
  <c r="D127"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F33"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09" i="39"/>
  <c r="F35" i="39"/>
  <c r="S35" i="39"/>
  <c r="B111" i="39"/>
  <c r="J30" i="36"/>
  <c r="H30" i="36"/>
  <c r="F30" i="36"/>
  <c r="AA30" i="36"/>
  <c r="C79" i="35"/>
  <c r="H26" i="35"/>
  <c r="J31" i="35"/>
  <c r="AC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W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H41" i="21"/>
  <c r="D80" i="39"/>
  <c r="E80" i="39"/>
  <c r="F80" i="39"/>
  <c r="G80" i="39"/>
  <c r="H80" i="39"/>
  <c r="I80" i="39"/>
  <c r="J80" i="39"/>
  <c r="K80" i="39"/>
  <c r="L80" i="39"/>
  <c r="M80" i="39"/>
  <c r="D75" i="40"/>
  <c r="E75" i="40"/>
  <c r="F75" i="40"/>
  <c r="G75" i="40"/>
  <c r="H75" i="40"/>
  <c r="I75" i="40"/>
  <c r="J75" i="40"/>
  <c r="K75" i="40"/>
  <c r="L75" i="40"/>
  <c r="M75" i="40"/>
  <c r="B119" i="40"/>
  <c r="B117" i="40"/>
  <c r="H39" i="40"/>
  <c r="U39"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F27" i="40"/>
  <c r="S27" i="40"/>
  <c r="D91" i="40"/>
  <c r="E91" i="40"/>
  <c r="F91" i="40"/>
  <c r="G91" i="40"/>
  <c r="D89" i="40"/>
  <c r="E89" i="40"/>
  <c r="D87" i="40"/>
  <c r="E87" i="40"/>
  <c r="F87" i="40"/>
  <c r="G87" i="40"/>
  <c r="D85" i="40"/>
  <c r="E85" i="40"/>
  <c r="D83" i="40"/>
  <c r="E83" i="40"/>
  <c r="B80" i="40"/>
  <c r="B78" i="40"/>
  <c r="B76" i="40"/>
  <c r="M73" i="40"/>
  <c r="L73" i="40"/>
  <c r="K73" i="40"/>
  <c r="J73" i="40"/>
  <c r="I73" i="40"/>
  <c r="H73" i="40"/>
  <c r="G73" i="40"/>
  <c r="F73" i="40"/>
  <c r="E73" i="40"/>
  <c r="D73" i="40"/>
  <c r="C73"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H12"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AB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F73" i="37"/>
  <c r="G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F9" i="37"/>
  <c r="AA9"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AA32" i="36"/>
  <c r="B95" i="36"/>
  <c r="H34" i="36"/>
  <c r="U34" i="36"/>
  <c r="D83" i="36"/>
  <c r="E83" i="36"/>
  <c r="D78" i="36"/>
  <c r="E78" i="36"/>
  <c r="F78" i="36"/>
  <c r="G78" i="36"/>
  <c r="H78" i="36"/>
  <c r="I78" i="36"/>
  <c r="J78" i="36"/>
  <c r="K78" i="36"/>
  <c r="L78" i="36"/>
  <c r="M78" i="36"/>
  <c r="B75" i="36"/>
  <c r="J25" i="36"/>
  <c r="AC25" i="36"/>
  <c r="B73" i="36"/>
  <c r="B71" i="36"/>
  <c r="H23" i="36"/>
  <c r="AB23" i="36"/>
  <c r="D70" i="36"/>
  <c r="H22" i="36"/>
  <c r="AB22" i="36"/>
  <c r="D68" i="36"/>
  <c r="E68" i="36"/>
  <c r="F68" i="36"/>
  <c r="G68" i="36"/>
  <c r="D64" i="36"/>
  <c r="E64" i="36"/>
  <c r="F64" i="36"/>
  <c r="G64" i="36"/>
  <c r="J16" i="36"/>
  <c r="W16" i="36"/>
  <c r="D62" i="36"/>
  <c r="E62" i="36"/>
  <c r="F62" i="36"/>
  <c r="G62" i="36"/>
  <c r="H14" i="36"/>
  <c r="AB14" i="36"/>
  <c r="B59" i="36"/>
  <c r="F13" i="36"/>
  <c r="S13"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S23" i="36"/>
  <c r="Q22" i="36"/>
  <c r="Z22" i="36"/>
  <c r="J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H25" i="35"/>
  <c r="B75" i="35"/>
  <c r="J24" i="35"/>
  <c r="B73" i="35"/>
  <c r="B57" i="35"/>
  <c r="J11" i="35"/>
  <c r="B61" i="35"/>
  <c r="H13" i="35"/>
  <c r="B59" i="35"/>
  <c r="H12" i="35"/>
  <c r="B131" i="34"/>
  <c r="B129" i="34"/>
  <c r="F46" i="34"/>
  <c r="B127" i="34"/>
  <c r="J45" i="34"/>
  <c r="W45" i="34"/>
  <c r="B99" i="34"/>
  <c r="B97" i="34"/>
  <c r="B95" i="34"/>
  <c r="J30" i="34"/>
  <c r="B93" i="34"/>
  <c r="B75" i="34"/>
  <c r="B73" i="34"/>
  <c r="B71" i="34"/>
  <c r="B130" i="33"/>
  <c r="J46" i="33"/>
  <c r="B128" i="33"/>
  <c r="B126" i="33"/>
  <c r="B98" i="33"/>
  <c r="B96" i="33"/>
  <c r="B94" i="33"/>
  <c r="B74" i="33"/>
  <c r="B72" i="33"/>
  <c r="B70" i="33"/>
  <c r="H12" i="33"/>
  <c r="U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U12" i="35"/>
  <c r="F12" i="35"/>
  <c r="S12" i="35"/>
  <c r="Q11" i="35"/>
  <c r="Z11" i="35"/>
  <c r="Q10" i="35"/>
  <c r="Z10" i="35"/>
  <c r="Q9" i="35"/>
  <c r="Z9" i="35"/>
  <c r="F9" i="35"/>
  <c r="AA9" i="35"/>
  <c r="J8" i="35"/>
  <c r="AC8" i="35"/>
  <c r="H8" i="35"/>
  <c r="AB8" i="35"/>
  <c r="F8" i="35"/>
  <c r="S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G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B128" i="21"/>
  <c r="H45" i="21"/>
  <c r="B126" i="21"/>
  <c r="B98" i="21"/>
  <c r="B96" i="21"/>
  <c r="F30" i="21"/>
  <c r="S30" i="21"/>
  <c r="B94" i="21"/>
  <c r="B92" i="21"/>
  <c r="B90" i="21"/>
  <c r="B74" i="21"/>
  <c r="F14" i="21"/>
  <c r="B72" i="21"/>
  <c r="B70" i="21"/>
  <c r="F12" i="21"/>
  <c r="AA12" i="21"/>
  <c r="F10" i="21"/>
  <c r="S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F45" i="39"/>
  <c r="J45" i="39"/>
  <c r="W45" i="39"/>
  <c r="J44" i="39"/>
  <c r="F36" i="39"/>
  <c r="S36" i="39"/>
  <c r="H36" i="39"/>
  <c r="AB36" i="39"/>
  <c r="J36" i="39"/>
  <c r="AC36" i="39"/>
  <c r="U38" i="39"/>
  <c r="H32" i="37"/>
  <c r="AB32" i="37"/>
  <c r="U8" i="37"/>
  <c r="W30" i="37"/>
  <c r="F29" i="36"/>
  <c r="AA29" i="36"/>
  <c r="F16" i="36"/>
  <c r="S16" i="36"/>
  <c r="U22" i="36"/>
  <c r="W23" i="36"/>
  <c r="U31" i="36"/>
  <c r="J33" i="36"/>
  <c r="W33" i="36"/>
  <c r="AB34" i="36"/>
  <c r="H22" i="35"/>
  <c r="U22" i="35"/>
  <c r="U31" i="35"/>
  <c r="S32" i="35"/>
  <c r="S31" i="35"/>
  <c r="W31" i="35"/>
  <c r="U32" i="35"/>
  <c r="F36" i="34"/>
  <c r="AA36" i="34"/>
  <c r="H39" i="33"/>
  <c r="AB39" i="33"/>
  <c r="F26" i="33"/>
  <c r="AC38" i="21"/>
  <c r="S27" i="35"/>
  <c r="F11" i="40"/>
  <c r="AA11" i="40"/>
  <c r="S8" i="40"/>
  <c r="H11" i="40"/>
  <c r="AB11" i="40"/>
  <c r="U34" i="40"/>
  <c r="F42" i="39"/>
  <c r="AA42" i="39"/>
  <c r="F41" i="39"/>
  <c r="AA41" i="39"/>
  <c r="H40" i="39"/>
  <c r="AB40" i="39"/>
  <c r="H39" i="39"/>
  <c r="AB39" i="39"/>
  <c r="U39" i="39"/>
  <c r="S38" i="39"/>
  <c r="H34" i="39"/>
  <c r="E108" i="39"/>
  <c r="F108" i="39"/>
  <c r="G108" i="39"/>
  <c r="H108" i="39"/>
  <c r="I108" i="39"/>
  <c r="J108" i="39"/>
  <c r="K108" i="39"/>
  <c r="L108" i="39"/>
  <c r="M108" i="39"/>
  <c r="H31" i="39"/>
  <c r="AB31" i="39"/>
  <c r="F31" i="39"/>
  <c r="AA31" i="39"/>
  <c r="E102" i="39"/>
  <c r="F102"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U33" i="21"/>
  <c r="H36" i="40"/>
  <c r="U36" i="40"/>
  <c r="F35" i="40"/>
  <c r="S35" i="40"/>
  <c r="J30" i="40"/>
  <c r="W30" i="40"/>
  <c r="F30" i="40"/>
  <c r="AA30" i="40"/>
  <c r="H27" i="40"/>
  <c r="U27" i="40"/>
  <c r="H23" i="40"/>
  <c r="AB23" i="40"/>
  <c r="J11" i="40"/>
  <c r="S44" i="39"/>
  <c r="F37" i="39"/>
  <c r="S37" i="39"/>
  <c r="J34" i="36"/>
  <c r="AC34" i="36"/>
  <c r="U30" i="36"/>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W8" i="35"/>
  <c r="S9" i="35"/>
  <c r="J20" i="35"/>
  <c r="H20" i="35"/>
  <c r="U20" i="35"/>
  <c r="F20" i="35"/>
  <c r="AA20" i="35"/>
  <c r="E101" i="37"/>
  <c r="F101" i="37"/>
  <c r="G101" i="37"/>
  <c r="H101" i="37"/>
  <c r="I101" i="37"/>
  <c r="J101" i="37"/>
  <c r="K101" i="37"/>
  <c r="L101" i="37"/>
  <c r="M101" i="37"/>
  <c r="J34" i="37"/>
  <c r="W34" i="37"/>
  <c r="J43" i="34"/>
  <c r="AC43" i="34"/>
  <c r="H43" i="34"/>
  <c r="AB43" i="34"/>
  <c r="U42" i="34"/>
  <c r="F118" i="34"/>
  <c r="G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S23" i="33"/>
  <c r="H23" i="33"/>
  <c r="F19" i="33"/>
  <c r="S19" i="33"/>
  <c r="J19" i="33"/>
  <c r="W19" i="33"/>
  <c r="J17" i="33"/>
  <c r="AC17" i="33"/>
  <c r="H17" i="33"/>
  <c r="AB17" i="33"/>
  <c r="J15" i="33"/>
  <c r="AC15" i="33"/>
  <c r="F11" i="33"/>
  <c r="AA11" i="33"/>
  <c r="W10" i="33"/>
  <c r="H10" i="33"/>
  <c r="U10" i="33"/>
  <c r="U40" i="33"/>
  <c r="U8" i="33"/>
  <c r="S8" i="33"/>
  <c r="F37" i="40"/>
  <c r="AA37" i="40"/>
  <c r="F36" i="40"/>
  <c r="AA36" i="40"/>
  <c r="J27" i="40"/>
  <c r="W27" i="40"/>
  <c r="F23" i="40"/>
  <c r="AA23" i="40"/>
  <c r="AB30" i="36"/>
  <c r="W32" i="35"/>
  <c r="F29" i="35"/>
  <c r="S29" i="35"/>
  <c r="U34" i="37"/>
  <c r="AB42" i="34"/>
  <c r="H38" i="34"/>
  <c r="U15" i="34"/>
  <c r="F113" i="33"/>
  <c r="G113" i="33"/>
  <c r="H113" i="33"/>
  <c r="I113" i="33"/>
  <c r="J113" i="33"/>
  <c r="K113" i="33"/>
  <c r="L113" i="33"/>
  <c r="M113" i="33"/>
  <c r="H37" i="33"/>
  <c r="AB37" i="33"/>
  <c r="H36" i="33"/>
  <c r="U36" i="33"/>
  <c r="S25" i="33"/>
  <c r="F17" i="33"/>
  <c r="AA17" i="33"/>
  <c r="H15" i="33"/>
  <c r="AB15" i="33"/>
  <c r="AB11" i="33"/>
  <c r="AA42" i="34"/>
  <c r="S42" i="34"/>
  <c r="W38" i="34"/>
  <c r="J37" i="33"/>
  <c r="AC37" i="33"/>
  <c r="J36" i="33"/>
  <c r="AC36" i="33"/>
  <c r="J11" i="33"/>
  <c r="AC11" i="33"/>
  <c r="J42" i="21"/>
  <c r="AC42" i="21"/>
  <c r="H42" i="21"/>
  <c r="U42" i="21"/>
  <c r="J10" i="35"/>
  <c r="AC10" i="35"/>
  <c r="J14" i="21"/>
  <c r="AC14" i="21"/>
  <c r="S14" i="21"/>
  <c r="H14" i="21"/>
  <c r="AB14" i="21"/>
  <c r="H28" i="21"/>
  <c r="AB28" i="21"/>
  <c r="F28" i="21"/>
  <c r="AA28" i="21"/>
  <c r="J28" i="21"/>
  <c r="W28" i="21"/>
  <c r="H30" i="21"/>
  <c r="AB30" i="21"/>
  <c r="J30" i="21"/>
  <c r="W30" i="21"/>
  <c r="J44" i="21"/>
  <c r="AC44" i="21"/>
  <c r="H44" i="21"/>
  <c r="U44" i="21"/>
  <c r="F44" i="21"/>
  <c r="AA44" i="21"/>
  <c r="H46" i="21"/>
  <c r="U46" i="21"/>
  <c r="W46" i="21"/>
  <c r="F46" i="21"/>
  <c r="AA46" i="21"/>
  <c r="H26" i="33"/>
  <c r="U26" i="33"/>
  <c r="H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H13" i="33"/>
  <c r="AB13" i="33"/>
  <c r="J29" i="33"/>
  <c r="H29" i="33"/>
  <c r="U29" i="33"/>
  <c r="F29" i="33"/>
  <c r="S29" i="33"/>
  <c r="J31" i="33"/>
  <c r="W31" i="33"/>
  <c r="H31" i="33"/>
  <c r="AB31" i="33"/>
  <c r="F31" i="33"/>
  <c r="AA31" i="33"/>
  <c r="H45" i="33"/>
  <c r="J45" i="33"/>
  <c r="W45" i="33"/>
  <c r="F45" i="33"/>
  <c r="S45" i="33"/>
  <c r="F14" i="34"/>
  <c r="H30" i="34"/>
  <c r="U30" i="34"/>
  <c r="F30" i="34"/>
  <c r="AA30" i="34"/>
  <c r="W30" i="34"/>
  <c r="H32" i="34"/>
  <c r="F32" i="34"/>
  <c r="S32" i="34"/>
  <c r="J32" i="34"/>
  <c r="H46" i="34"/>
  <c r="U46" i="34"/>
  <c r="S46" i="34"/>
  <c r="J46" i="34"/>
  <c r="W46" i="34"/>
  <c r="H11" i="35"/>
  <c r="U11" i="35"/>
  <c r="AC11" i="35"/>
  <c r="F11" i="35"/>
  <c r="S11" i="35"/>
  <c r="J26" i="36"/>
  <c r="W26" i="36"/>
  <c r="H28" i="36"/>
  <c r="U28" i="36"/>
  <c r="H32" i="36"/>
  <c r="U32" i="36"/>
  <c r="J32" i="36"/>
  <c r="W32" i="36"/>
  <c r="J11" i="36"/>
  <c r="W11" i="36"/>
  <c r="H11" i="36"/>
  <c r="AB11" i="36"/>
  <c r="F11" i="36"/>
  <c r="AA11" i="36"/>
  <c r="H13" i="36"/>
  <c r="AB13" i="36"/>
  <c r="H36" i="37"/>
  <c r="AB36" i="37"/>
  <c r="H37" i="37"/>
  <c r="U37" i="37"/>
  <c r="H14" i="33"/>
  <c r="AB14" i="33"/>
  <c r="U14" i="33"/>
  <c r="F14" i="33"/>
  <c r="AA14" i="33"/>
  <c r="J14" i="33"/>
  <c r="AC14" i="33"/>
  <c r="H30" i="33"/>
  <c r="AB30" i="33"/>
  <c r="F30" i="33"/>
  <c r="S30" i="33"/>
  <c r="J30" i="33"/>
  <c r="W30" i="33"/>
  <c r="AC30" i="33"/>
  <c r="H44" i="33"/>
  <c r="J44" i="33"/>
  <c r="AC44" i="33"/>
  <c r="F44" i="33"/>
  <c r="W46" i="33"/>
  <c r="F46" i="33"/>
  <c r="AA46" i="33"/>
  <c r="H46" i="33"/>
  <c r="AB46" i="33"/>
  <c r="H13" i="34"/>
  <c r="AB13" i="34"/>
  <c r="J13" i="34"/>
  <c r="W13" i="34"/>
  <c r="F13" i="34"/>
  <c r="AA13" i="34"/>
  <c r="J29" i="34"/>
  <c r="AC29" i="34"/>
  <c r="F29" i="34"/>
  <c r="S29" i="34"/>
  <c r="H29" i="34"/>
  <c r="U29" i="34"/>
  <c r="J31" i="34"/>
  <c r="AC31" i="34"/>
  <c r="H31" i="34"/>
  <c r="AB31" i="34"/>
  <c r="F31" i="34"/>
  <c r="S31" i="34"/>
  <c r="H45" i="34"/>
  <c r="U45" i="34"/>
  <c r="F45" i="34"/>
  <c r="S45" i="34"/>
  <c r="H47" i="34"/>
  <c r="U47" i="34"/>
  <c r="F47" i="34"/>
  <c r="AA47" i="34"/>
  <c r="J47" i="34"/>
  <c r="AC47" i="34"/>
  <c r="F13" i="35"/>
  <c r="S13" i="35"/>
  <c r="J13" i="35"/>
  <c r="AC13" i="35"/>
  <c r="U13" i="35"/>
  <c r="F25" i="35"/>
  <c r="S25" i="35"/>
  <c r="J35" i="35"/>
  <c r="AC35" i="35"/>
  <c r="F35" i="35"/>
  <c r="AA35" i="35"/>
  <c r="H35" i="35"/>
  <c r="AB35" i="35"/>
  <c r="F25" i="36"/>
  <c r="S25" i="36"/>
  <c r="H25" i="36"/>
  <c r="AB25" i="36"/>
  <c r="H13" i="37"/>
  <c r="U13" i="37"/>
  <c r="F13" i="37"/>
  <c r="S13" i="37"/>
  <c r="J13" i="37"/>
  <c r="W13" i="37"/>
  <c r="F28" i="37"/>
  <c r="AA28" i="37"/>
  <c r="J28" i="37"/>
  <c r="AC28" i="37"/>
  <c r="H28" i="37"/>
  <c r="U28" i="37"/>
  <c r="H38" i="37"/>
  <c r="AB38" i="37"/>
  <c r="J38" i="37"/>
  <c r="AC38" i="37"/>
  <c r="F38" i="37"/>
  <c r="S38" i="37"/>
  <c r="F43" i="39"/>
  <c r="AA43" i="39"/>
  <c r="J14" i="39"/>
  <c r="W14" i="39"/>
  <c r="H14" i="39"/>
  <c r="AB14" i="39"/>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28" i="37"/>
  <c r="S47" i="34"/>
  <c r="S14" i="33"/>
  <c r="J10" i="36"/>
  <c r="AC10" i="36"/>
  <c r="AB46" i="21"/>
  <c r="U31" i="33"/>
  <c r="S19" i="21"/>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J36" i="40"/>
  <c r="W36" i="40"/>
  <c r="H42" i="33"/>
  <c r="U42" i="33"/>
  <c r="J23" i="37"/>
  <c r="W23" i="37"/>
  <c r="S30" i="31"/>
  <c r="U11" i="40"/>
  <c r="AC33" i="36"/>
  <c r="AB20" i="35"/>
  <c r="AC12" i="35"/>
  <c r="W47" i="34"/>
  <c r="AB8" i="34"/>
  <c r="S11" i="33"/>
  <c r="AC33" i="21"/>
  <c r="AB38" i="21"/>
  <c r="W10" i="36"/>
  <c r="H37" i="21"/>
  <c r="U37" i="21"/>
  <c r="J37" i="21"/>
  <c r="W37" i="21"/>
  <c r="H19" i="34"/>
  <c r="U19" i="34"/>
  <c r="F36" i="35"/>
  <c r="AA36" i="35"/>
  <c r="F11" i="37"/>
  <c r="S11" i="37"/>
  <c r="J42" i="39"/>
  <c r="AC42" i="39"/>
  <c r="S37" i="21"/>
  <c r="AB27" i="40"/>
  <c r="AC31" i="39"/>
  <c r="U31" i="39"/>
  <c r="C12" i="43"/>
  <c r="D15" i="47"/>
  <c r="F15" i="47"/>
  <c r="B13" i="47"/>
  <c r="D17" i="47"/>
  <c r="D19" i="47"/>
  <c r="D21" i="47"/>
  <c r="D23" i="47"/>
  <c r="D27" i="47"/>
  <c r="D33" i="47"/>
  <c r="D37" i="47"/>
  <c r="D39" i="47"/>
  <c r="F37" i="47"/>
  <c r="B35" i="47"/>
  <c r="D41" i="47"/>
  <c r="D43" i="47"/>
  <c r="D16" i="47"/>
  <c r="D18" i="47"/>
  <c r="D20" i="47"/>
  <c r="D22" i="47"/>
  <c r="D26" i="47"/>
  <c r="D28" i="47"/>
  <c r="D30" i="47"/>
  <c r="D32" i="47"/>
  <c r="D34" i="47"/>
  <c r="D38" i="47"/>
  <c r="D40" i="47"/>
  <c r="D42" i="47"/>
  <c r="D44" i="47"/>
  <c r="D9" i="47"/>
  <c r="D8" i="47"/>
  <c r="D6" i="47"/>
  <c r="H19" i="40"/>
  <c r="AB19" i="40"/>
  <c r="F19" i="40"/>
  <c r="S19" i="40"/>
  <c r="U45" i="39"/>
  <c r="AB45" i="39"/>
  <c r="AB44" i="39"/>
  <c r="U44" i="39"/>
  <c r="G102"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W21" i="39"/>
  <c r="J11" i="39"/>
  <c r="W11" i="39"/>
  <c r="J32" i="39"/>
  <c r="AC32" i="39"/>
  <c r="E65" i="39"/>
  <c r="E60" i="40"/>
  <c r="F34" i="43"/>
  <c r="C21" i="11"/>
  <c r="C29" i="11"/>
  <c r="D27" i="11"/>
  <c r="H55" i="39"/>
  <c r="S30" i="40"/>
  <c r="H16" i="44"/>
  <c r="D17" i="43"/>
  <c r="I17" i="43"/>
  <c r="D108" i="9"/>
  <c r="F22" i="43"/>
  <c r="G22" i="43"/>
  <c r="H14" i="44"/>
  <c r="W40" i="39"/>
  <c r="S39" i="34"/>
  <c r="AC10" i="34"/>
  <c r="AB30"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AC37" i="34"/>
  <c r="S23" i="34"/>
  <c r="AB33" i="34"/>
  <c r="F26" i="35"/>
  <c r="AA26" i="35"/>
  <c r="U28" i="21"/>
  <c r="K145" i="21"/>
  <c r="K144" i="21"/>
  <c r="K141" i="21"/>
  <c r="K143" i="21"/>
  <c r="W25" i="21"/>
  <c r="F23" i="21"/>
  <c r="S23" i="21"/>
  <c r="J23" i="21"/>
  <c r="AC23" i="21"/>
  <c r="H23" i="21"/>
  <c r="U23" i="21"/>
  <c r="F17" i="21"/>
  <c r="AA17" i="21"/>
  <c r="J17" i="21"/>
  <c r="AC17" i="21"/>
  <c r="H17" i="21"/>
  <c r="U17" i="21"/>
  <c r="AB17" i="21"/>
  <c r="J15" i="21"/>
  <c r="W15" i="21"/>
  <c r="U35" i="21"/>
  <c r="H103" i="57"/>
  <c r="A135" i="57"/>
  <c r="B103" i="57"/>
  <c r="B107" i="57"/>
  <c r="C112" i="57"/>
  <c r="H107" i="57"/>
  <c r="D128" i="57"/>
  <c r="AC15" i="21"/>
  <c r="T27" i="31"/>
  <c r="S27" i="31"/>
  <c r="B113" i="43"/>
  <c r="I118" i="43"/>
  <c r="J118" i="43"/>
  <c r="K118" i="43"/>
  <c r="L118" i="43"/>
  <c r="M118" i="43"/>
  <c r="M101" i="43"/>
  <c r="M109" i="43"/>
  <c r="K101" i="43"/>
  <c r="K107" i="43"/>
  <c r="I101" i="43"/>
  <c r="I102" i="43"/>
  <c r="G101" i="43"/>
  <c r="G105" i="43"/>
  <c r="E101"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U40" i="37"/>
  <c r="U15" i="21"/>
  <c r="AB15" i="21"/>
  <c r="AA16" i="35"/>
  <c r="S14" i="39"/>
  <c r="AB29" i="35"/>
  <c r="U29" i="35"/>
  <c r="AA35" i="39"/>
  <c r="W44" i="33"/>
  <c r="U36" i="37"/>
  <c r="AB46" i="34"/>
  <c r="S14" i="34"/>
  <c r="AA14" i="34"/>
  <c r="W44" i="21"/>
  <c r="AB38" i="34"/>
  <c r="U38" i="34"/>
  <c r="F40" i="34"/>
  <c r="AA40" i="34"/>
  <c r="U20" i="36"/>
  <c r="AB20" i="36"/>
  <c r="AA16" i="36"/>
  <c r="AC44" i="39"/>
  <c r="W44" i="39"/>
  <c r="H13" i="21"/>
  <c r="U13" i="21"/>
  <c r="J13" i="21"/>
  <c r="W13" i="21"/>
  <c r="F13" i="21"/>
  <c r="AA13" i="21"/>
  <c r="J45" i="21"/>
  <c r="AC45" i="21"/>
  <c r="F45" i="21"/>
  <c r="AA45" i="21"/>
  <c r="S42" i="21"/>
  <c r="B41" i="47"/>
  <c r="C23" i="40"/>
  <c r="AC8" i="34"/>
  <c r="AA19" i="34"/>
  <c r="S19" i="34"/>
  <c r="U23" i="36"/>
  <c r="J12" i="36"/>
  <c r="AC12" i="36"/>
  <c r="H12" i="36"/>
  <c r="AB12" i="36"/>
  <c r="AA9" i="39"/>
  <c r="S9" i="39"/>
  <c r="AB12" i="39"/>
  <c r="U12" i="39"/>
  <c r="J12" i="39"/>
  <c r="AC12" i="39"/>
  <c r="F12" i="39"/>
  <c r="S12" i="39"/>
  <c r="R29" i="31"/>
  <c r="T29" i="31"/>
  <c r="F15" i="21"/>
  <c r="S15" i="21"/>
  <c r="AA30" i="21"/>
  <c r="J36" i="34"/>
  <c r="W36" i="34"/>
  <c r="S8" i="34"/>
  <c r="J19" i="40"/>
  <c r="AC19" i="40"/>
  <c r="W9" i="39"/>
  <c r="U14" i="39"/>
  <c r="H32" i="39"/>
  <c r="U32" i="39"/>
  <c r="F21" i="39"/>
  <c r="AA21" i="39"/>
  <c r="F31" i="37"/>
  <c r="AA31" i="37"/>
  <c r="S44" i="21"/>
  <c r="F17" i="37"/>
  <c r="AA17" i="37"/>
  <c r="AA29" i="33"/>
  <c r="AB28" i="36"/>
  <c r="AB13" i="40"/>
  <c r="U33" i="40"/>
  <c r="AB13" i="37"/>
  <c r="AB11" i="35"/>
  <c r="U32" i="34"/>
  <c r="AB32" i="34"/>
  <c r="J14" i="36"/>
  <c r="W14" i="36"/>
  <c r="AC14" i="36"/>
  <c r="AC30" i="21"/>
  <c r="S15" i="34"/>
  <c r="J40" i="34"/>
  <c r="AC40" i="34"/>
  <c r="S37" i="40"/>
  <c r="H19" i="33"/>
  <c r="AB19" i="33"/>
  <c r="AB23" i="33"/>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W27" i="34"/>
  <c r="AC27" i="34"/>
  <c r="H28" i="34"/>
  <c r="U28" i="34"/>
  <c r="E116" i="34"/>
  <c r="F116" i="34"/>
  <c r="G116" i="34"/>
  <c r="H116" i="34"/>
  <c r="I116" i="34"/>
  <c r="J116" i="34"/>
  <c r="K116" i="34"/>
  <c r="L116" i="34"/>
  <c r="M116" i="34"/>
  <c r="J39" i="34"/>
  <c r="AC39" i="34"/>
  <c r="W39" i="34"/>
  <c r="J27" i="36"/>
  <c r="F37" i="34"/>
  <c r="AA37" i="34"/>
  <c r="H37" i="34"/>
  <c r="U37" i="34"/>
  <c r="U12" i="40"/>
  <c r="AC14" i="39"/>
  <c r="AC46" i="34"/>
  <c r="S31" i="33"/>
  <c r="W28" i="33"/>
  <c r="W34" i="33"/>
  <c r="AC34" i="33"/>
  <c r="AA14" i="35"/>
  <c r="S14" i="35"/>
  <c r="W11" i="21"/>
  <c r="S45" i="39"/>
  <c r="AA45" i="39"/>
  <c r="H27" i="21"/>
  <c r="U27" i="21"/>
  <c r="J27" i="21"/>
  <c r="W27" i="21"/>
  <c r="F27" i="21"/>
  <c r="AA27" i="21"/>
  <c r="J29" i="21"/>
  <c r="AC29" i="21"/>
  <c r="H29" i="21"/>
  <c r="U29" i="21"/>
  <c r="F29" i="21"/>
  <c r="S29" i="21"/>
  <c r="J31" i="21"/>
  <c r="W31" i="21"/>
  <c r="H31" i="21"/>
  <c r="AB31" i="21"/>
  <c r="F31" i="21"/>
  <c r="AA31" i="21"/>
  <c r="H39" i="21"/>
  <c r="U39" i="21"/>
  <c r="S9" i="21"/>
  <c r="AA9" i="21"/>
  <c r="AA15" i="33"/>
  <c r="S15" i="33"/>
  <c r="AA35" i="33"/>
  <c r="E117" i="33"/>
  <c r="F117" i="33"/>
  <c r="G117" i="33"/>
  <c r="J39" i="33"/>
  <c r="AC39" i="33"/>
  <c r="H43" i="33"/>
  <c r="U43" i="33"/>
  <c r="E91" i="33"/>
  <c r="F91" i="33"/>
  <c r="G91" i="33"/>
  <c r="H91" i="33"/>
  <c r="I91" i="33"/>
  <c r="J91" i="33"/>
  <c r="K91" i="33"/>
  <c r="L91" i="33"/>
  <c r="M91" i="33"/>
  <c r="F27" i="33"/>
  <c r="S27" i="33"/>
  <c r="H41" i="33"/>
  <c r="U41" i="33"/>
  <c r="F80" i="34"/>
  <c r="H17" i="34"/>
  <c r="U17" i="34"/>
  <c r="H16" i="35"/>
  <c r="U16" i="35"/>
  <c r="H34" i="35"/>
  <c r="U34" i="35"/>
  <c r="F34" i="35"/>
  <c r="S34" i="35"/>
  <c r="G60" i="37"/>
  <c r="F10" i="37"/>
  <c r="AA10" i="37"/>
  <c r="J12" i="37"/>
  <c r="AC12" i="37"/>
  <c r="F12" i="37"/>
  <c r="AA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AB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AB26" i="36"/>
  <c r="U26" i="36"/>
  <c r="U9" i="36"/>
  <c r="F20" i="36"/>
  <c r="AA20" i="36"/>
  <c r="J24" i="36"/>
  <c r="AC24" i="36"/>
  <c r="W24" i="36"/>
  <c r="H24" i="36"/>
  <c r="AB24" i="36"/>
  <c r="U24" i="36"/>
  <c r="F24" i="36"/>
  <c r="AA24" i="36"/>
  <c r="J26" i="37"/>
  <c r="AC26" i="37"/>
  <c r="H26" i="37"/>
  <c r="AB26" i="37"/>
  <c r="F26" i="37"/>
  <c r="AA26" i="37"/>
  <c r="J23" i="39"/>
  <c r="W23" i="39"/>
  <c r="E96" i="39"/>
  <c r="F96" i="39"/>
  <c r="G96" i="39"/>
  <c r="H15" i="37"/>
  <c r="U15" i="37"/>
  <c r="F15" i="37"/>
  <c r="AA15" i="37"/>
  <c r="F38" i="40"/>
  <c r="AA38" i="40"/>
  <c r="J38" i="40"/>
  <c r="W38" i="40"/>
  <c r="H38" i="40"/>
  <c r="AB38" i="40"/>
  <c r="J40" i="40"/>
  <c r="AC40" i="40"/>
  <c r="H40" i="40"/>
  <c r="AB40" i="40"/>
  <c r="F40" i="40"/>
  <c r="S40" i="40"/>
  <c r="AA40" i="40"/>
  <c r="N6" i="43"/>
  <c r="M1" i="43"/>
  <c r="F101" i="9"/>
  <c r="F33" i="9"/>
  <c r="C25" i="57"/>
  <c r="G103" i="43"/>
  <c r="F59" i="43"/>
  <c r="H63" i="43"/>
  <c r="G15" i="47"/>
  <c r="H25" i="34"/>
  <c r="U25" i="34"/>
  <c r="AB35" i="39"/>
  <c r="S27" i="37"/>
  <c r="J17" i="34"/>
  <c r="AC17" i="34"/>
  <c r="G80" i="34"/>
  <c r="F17" i="34"/>
  <c r="AA17" i="34"/>
  <c r="H27" i="33"/>
  <c r="U27" i="33"/>
  <c r="F43" i="33"/>
  <c r="S43" i="33"/>
  <c r="J43" i="33"/>
  <c r="AC43" i="33"/>
  <c r="AA29" i="21"/>
  <c r="AC27" i="21"/>
  <c r="S37" i="34"/>
  <c r="H27" i="36"/>
  <c r="U27" i="36"/>
  <c r="F27" i="36"/>
  <c r="AA27" i="36"/>
  <c r="J28" i="34"/>
  <c r="W28" i="34"/>
  <c r="AB34" i="21"/>
  <c r="H11" i="34"/>
  <c r="U11" i="34"/>
  <c r="J11" i="37"/>
  <c r="W11" i="37"/>
  <c r="AC36" i="34"/>
  <c r="W12" i="39"/>
  <c r="AC37" i="37"/>
  <c r="U38" i="40"/>
  <c r="F23" i="39"/>
  <c r="AA23" i="39"/>
  <c r="S26" i="37"/>
  <c r="S24" i="36"/>
  <c r="F44" i="34"/>
  <c r="AA44" i="34"/>
  <c r="J44" i="34"/>
  <c r="AC44" i="34"/>
  <c r="U31" i="37"/>
  <c r="H60" i="37"/>
  <c r="I60" i="37"/>
  <c r="H10" i="37"/>
  <c r="AB10" i="37"/>
  <c r="U10" i="37"/>
  <c r="AB43" i="33"/>
  <c r="S31" i="21"/>
  <c r="AB29" i="21"/>
  <c r="AC27" i="36"/>
  <c r="W27" i="36"/>
  <c r="J32" i="33"/>
  <c r="W32" i="33"/>
  <c r="H32" i="33"/>
  <c r="U32" i="33"/>
  <c r="U12" i="36"/>
  <c r="AC13" i="21"/>
  <c r="AB25" i="34"/>
  <c r="J10" i="37"/>
  <c r="AC10" i="37"/>
  <c r="H23" i="39"/>
  <c r="U23" i="39"/>
  <c r="AB23" i="39"/>
  <c r="J11" i="34"/>
  <c r="W11" i="34"/>
  <c r="J27" i="33"/>
  <c r="W27" i="33"/>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W31" i="40"/>
  <c r="AC9" i="40"/>
  <c r="S9" i="40"/>
  <c r="AA27" i="40"/>
  <c r="AC38" i="40"/>
  <c r="W35" i="40"/>
  <c r="W33" i="40"/>
  <c r="W34" i="40"/>
  <c r="AB39" i="40"/>
  <c r="J37" i="40"/>
  <c r="W37" i="40"/>
  <c r="H35" i="40"/>
  <c r="U35" i="40"/>
  <c r="H37" i="40"/>
  <c r="H28" i="40"/>
  <c r="U28" i="40"/>
  <c r="F28" i="40"/>
  <c r="J28" i="40"/>
  <c r="G97" i="40"/>
  <c r="H97" i="40"/>
  <c r="I97" i="40"/>
  <c r="J97" i="40"/>
  <c r="K97" i="40"/>
  <c r="L97" i="40"/>
  <c r="M97" i="40"/>
  <c r="F21" i="40"/>
  <c r="AA21" i="40"/>
  <c r="H21" i="40"/>
  <c r="F89" i="40"/>
  <c r="G89" i="40"/>
  <c r="J21" i="40"/>
  <c r="W21" i="40"/>
  <c r="W19" i="40"/>
  <c r="F85" i="40"/>
  <c r="G85" i="40"/>
  <c r="H17" i="40"/>
  <c r="U17" i="40"/>
  <c r="J17" i="40"/>
  <c r="F17" i="40"/>
  <c r="S17" i="40"/>
  <c r="F83" i="40"/>
  <c r="G83" i="40"/>
  <c r="F15" i="40"/>
  <c r="J15" i="40"/>
  <c r="AC15" i="40"/>
  <c r="H15" i="40"/>
  <c r="AB15" i="40"/>
  <c r="AC25" i="40"/>
  <c r="W25"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12" i="36"/>
  <c r="AC16" i="36"/>
  <c r="S26" i="36"/>
  <c r="AC26" i="36"/>
  <c r="AA25" i="36"/>
  <c r="S14" i="36"/>
  <c r="U14" i="36"/>
  <c r="S10" i="36"/>
  <c r="W18" i="36"/>
  <c r="AC18" i="36"/>
  <c r="W25" i="36"/>
  <c r="AC32" i="36"/>
  <c r="AC20" i="36"/>
  <c r="W28" i="36"/>
  <c r="W8" i="36"/>
  <c r="U13" i="36"/>
  <c r="AB18" i="36"/>
  <c r="U18" i="36"/>
  <c r="S28" i="36"/>
  <c r="S29" i="36"/>
  <c r="W35" i="35"/>
  <c r="S23" i="35"/>
  <c r="W11" i="35"/>
  <c r="AA12" i="35"/>
  <c r="W10" i="35"/>
  <c r="W14" i="35"/>
  <c r="W34" i="35"/>
  <c r="W28" i="35"/>
  <c r="AC27" i="35"/>
  <c r="U14" i="35"/>
  <c r="U35" i="35"/>
  <c r="AB10" i="35"/>
  <c r="U8" i="35"/>
  <c r="AB12" i="35"/>
  <c r="AA13" i="35"/>
  <c r="S20" i="35"/>
  <c r="AB13" i="35"/>
  <c r="S10" i="35"/>
  <c r="S34" i="37"/>
  <c r="W32" i="37"/>
  <c r="W26" i="37"/>
  <c r="AB28" i="37"/>
  <c r="J33" i="37"/>
  <c r="AC33" i="37"/>
  <c r="F33" i="37"/>
  <c r="S33" i="37"/>
  <c r="AA33" i="37"/>
  <c r="H99" i="37"/>
  <c r="I99" i="37"/>
  <c r="J99" i="37"/>
  <c r="K99" i="37"/>
  <c r="L99" i="37"/>
  <c r="M99" i="37"/>
  <c r="H33" i="37"/>
  <c r="AB33" i="37"/>
  <c r="AC35" i="37"/>
  <c r="W35" i="37"/>
  <c r="S31" i="37"/>
  <c r="H35" i="37"/>
  <c r="AB35" i="37"/>
  <c r="F35" i="37"/>
  <c r="E103" i="37"/>
  <c r="F103" i="37"/>
  <c r="G103" i="37"/>
  <c r="H103" i="37"/>
  <c r="I103" i="37"/>
  <c r="J103" i="37"/>
  <c r="K103" i="37"/>
  <c r="L103" i="37"/>
  <c r="M103" i="37"/>
  <c r="AC23" i="37"/>
  <c r="J19" i="37"/>
  <c r="AC19" i="37"/>
  <c r="F19" i="37"/>
  <c r="G75" i="37"/>
  <c r="H19" i="37"/>
  <c r="U19" i="37"/>
  <c r="W17" i="37"/>
  <c r="AC17" i="37"/>
  <c r="AB17" i="37"/>
  <c r="S15" i="37"/>
  <c r="J15" i="37"/>
  <c r="AC15" i="37"/>
  <c r="AA11" i="37"/>
  <c r="AC21" i="37"/>
  <c r="W21" i="37"/>
  <c r="W14" i="37"/>
  <c r="AB11" i="37"/>
  <c r="AA14" i="37"/>
  <c r="W35" i="34"/>
  <c r="AB11" i="34"/>
  <c r="AC28" i="34"/>
  <c r="AB41" i="34"/>
  <c r="S38" i="34"/>
  <c r="S36" i="34"/>
  <c r="S43" i="34"/>
  <c r="AB19" i="34"/>
  <c r="AB17" i="34"/>
  <c r="W15" i="34"/>
  <c r="W31" i="34"/>
  <c r="U36" i="34"/>
  <c r="U21" i="34"/>
  <c r="AB21" i="34"/>
  <c r="AA25" i="34"/>
  <c r="AA41" i="34"/>
  <c r="AA46" i="34"/>
  <c r="U25" i="33"/>
  <c r="W11" i="33"/>
  <c r="U17" i="33"/>
  <c r="W25" i="33"/>
  <c r="U34" i="33"/>
  <c r="U38" i="33"/>
  <c r="W37" i="33"/>
  <c r="AC41" i="33"/>
  <c r="AC27" i="33"/>
  <c r="AA45" i="33"/>
  <c r="S17" i="33"/>
  <c r="W17" i="33"/>
  <c r="U15" i="33"/>
  <c r="AB9" i="33"/>
  <c r="U9" i="33"/>
  <c r="S10" i="33"/>
  <c r="W39" i="33"/>
  <c r="W9" i="33"/>
  <c r="AC46" i="33"/>
  <c r="AC19" i="33"/>
  <c r="W21" i="33"/>
  <c r="AC21" i="33"/>
  <c r="AB42" i="33"/>
  <c r="U13" i="33"/>
  <c r="U39" i="33"/>
  <c r="S42" i="33"/>
  <c r="W42" i="21"/>
  <c r="AA39" i="21"/>
  <c r="W39" i="21"/>
  <c r="AA34" i="21"/>
  <c r="AC26" i="21"/>
  <c r="W40" i="21"/>
  <c r="AC37" i="21"/>
  <c r="W34" i="21"/>
  <c r="AC28" i="21"/>
  <c r="AB23" i="21"/>
  <c r="U19" i="21"/>
  <c r="U43" i="21"/>
  <c r="U26" i="21"/>
  <c r="AB44" i="21"/>
  <c r="U30" i="21"/>
  <c r="AB36" i="21"/>
  <c r="S17" i="21"/>
  <c r="AA36" i="21"/>
  <c r="AA43" i="21"/>
  <c r="AB32"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V25" i="31"/>
  <c r="D3" i="21"/>
  <c r="M6" i="43"/>
  <c r="M5" i="43"/>
  <c r="F81" i="43"/>
  <c r="H85" i="43"/>
  <c r="H13" i="44"/>
  <c r="H11" i="44"/>
  <c r="C51" i="10"/>
  <c r="A8" i="54"/>
  <c r="B8" i="60"/>
  <c r="F2" i="21"/>
  <c r="F2" i="34"/>
  <c r="F2" i="35"/>
  <c r="F2" i="33"/>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H113" i="43"/>
  <c r="X7" i="43"/>
  <c r="E59" i="43"/>
  <c r="B57" i="43"/>
  <c r="E70" i="43"/>
  <c r="B68" i="43"/>
  <c r="C24" i="43"/>
  <c r="AI11" i="43"/>
  <c r="AI13" i="43"/>
  <c r="AG11" i="43"/>
  <c r="AG13" i="43"/>
  <c r="AE11" i="43"/>
  <c r="AE13" i="43"/>
  <c r="AC11" i="43"/>
  <c r="AA11" i="43"/>
  <c r="Y11" i="43"/>
  <c r="Y13" i="43"/>
  <c r="AJ11" i="43"/>
  <c r="AJ13" i="43"/>
  <c r="AH11" i="43"/>
  <c r="AH13" i="43"/>
  <c r="AF11" i="43"/>
  <c r="AF13" i="43"/>
  <c r="AD11" i="43"/>
  <c r="AB11" i="43"/>
  <c r="AB13" i="43"/>
  <c r="Z11" i="43"/>
  <c r="Z13" i="43"/>
  <c r="Z7" i="43"/>
  <c r="C7" i="39"/>
  <c r="C67" i="39"/>
  <c r="C69" i="39"/>
  <c r="C53" i="10"/>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D105" i="43"/>
  <c r="D102" i="43"/>
  <c r="K103" i="43"/>
  <c r="G104" i="43"/>
  <c r="C105"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7" i="39"/>
  <c r="W42" i="39"/>
  <c r="W34" i="39"/>
  <c r="W32" i="39"/>
  <c r="AA32" i="39"/>
  <c r="S29" i="39"/>
  <c r="U40" i="39"/>
  <c r="AC41" i="39"/>
  <c r="U11" i="39"/>
  <c r="W36" i="39"/>
  <c r="S34" i="39"/>
  <c r="S39" i="39"/>
  <c r="U9" i="39"/>
  <c r="S20" i="36"/>
  <c r="AA13" i="36"/>
  <c r="AA33" i="36"/>
  <c r="S8" i="36"/>
  <c r="AB34" i="35"/>
  <c r="U33" i="35"/>
  <c r="S36" i="35"/>
  <c r="AA33" i="35"/>
  <c r="AA29" i="35"/>
  <c r="S22" i="35"/>
  <c r="U28" i="35"/>
  <c r="AB27" i="35"/>
  <c r="U36" i="35"/>
  <c r="S35" i="35"/>
  <c r="AC16" i="35"/>
  <c r="AA25" i="35"/>
  <c r="S28" i="35"/>
  <c r="AC34" i="37"/>
  <c r="U29" i="37"/>
  <c r="U30" i="37"/>
  <c r="U26" i="37"/>
  <c r="AC13" i="37"/>
  <c r="U38" i="37"/>
  <c r="AA13" i="37"/>
  <c r="W25" i="37"/>
  <c r="S9" i="37"/>
  <c r="G84" i="34"/>
  <c r="J21" i="34"/>
  <c r="AC21" i="34"/>
  <c r="AB40" i="34"/>
  <c r="AC19" i="34"/>
  <c r="AB28" i="34"/>
  <c r="W41" i="34"/>
  <c r="AA45" i="34"/>
  <c r="AB45" i="34"/>
  <c r="AB35" i="34"/>
  <c r="AB27" i="34"/>
  <c r="W29" i="34"/>
  <c r="W43" i="34"/>
  <c r="U34" i="34"/>
  <c r="S34" i="34"/>
  <c r="AC25" i="34"/>
  <c r="W44" i="34"/>
  <c r="AC33" i="34"/>
  <c r="AA33" i="34"/>
  <c r="S35" i="34"/>
  <c r="AB47" i="34"/>
  <c r="AA29" i="34"/>
  <c r="AC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AC21" i="2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AB28" i="40"/>
  <c r="AB21" i="40"/>
  <c r="U21" i="40"/>
  <c r="S21" i="40"/>
  <c r="AB17" i="40"/>
  <c r="W17" i="40"/>
  <c r="AC17" i="40"/>
  <c r="AA15" i="40"/>
  <c r="S15" i="40"/>
  <c r="U33" i="37"/>
  <c r="U35" i="37"/>
  <c r="AA35" i="37"/>
  <c r="S35" i="37"/>
  <c r="W33" i="37"/>
  <c r="AA19" i="37"/>
  <c r="S19" i="37"/>
  <c r="M86" i="43"/>
  <c r="N86" i="43"/>
  <c r="F34" i="11"/>
  <c r="E19" i="1"/>
  <c r="D20" i="1"/>
  <c r="D18" i="1"/>
  <c r="F50" i="11"/>
  <c r="F19" i="1"/>
  <c r="F18" i="1"/>
  <c r="C11" i="12"/>
  <c r="C15" i="12"/>
  <c r="D19" i="1"/>
  <c r="K87" i="43"/>
  <c r="J87" i="43"/>
  <c r="D87" i="43"/>
  <c r="C3" i="4"/>
  <c r="B4" i="55"/>
  <c r="B53" i="60"/>
  <c r="J22" i="43"/>
  <c r="M84" i="43"/>
  <c r="N84" i="43"/>
  <c r="K84" i="43"/>
  <c r="J84" i="43"/>
  <c r="D84" i="43"/>
  <c r="M81" i="43"/>
  <c r="N81" i="43"/>
  <c r="K81" i="43"/>
  <c r="J81" i="43"/>
  <c r="D81" i="43"/>
  <c r="M88" i="43"/>
  <c r="N88" i="43"/>
  <c r="K88" i="43"/>
  <c r="J88" i="43"/>
  <c r="D88" i="43"/>
  <c r="I114" i="57"/>
  <c r="D131" i="57"/>
  <c r="B41" i="1"/>
  <c r="M27" i="15"/>
  <c r="C13" i="12"/>
  <c r="C36" i="11"/>
  <c r="D118" i="57"/>
  <c r="D119" i="57"/>
  <c r="I115" i="57"/>
  <c r="D132" i="57"/>
  <c r="D134" i="57"/>
  <c r="D13" i="52"/>
  <c r="D130" i="9"/>
  <c r="N46" i="9"/>
  <c r="H60"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B25" i="59"/>
  <c r="B24" i="59"/>
  <c r="B23" i="59"/>
  <c r="B22" i="59"/>
  <c r="B21" i="59"/>
  <c r="AB25" i="59"/>
  <c r="U25" i="59"/>
  <c r="AA24" i="59"/>
  <c r="X24" i="59"/>
  <c r="AB24" i="59"/>
  <c r="AA23" i="59"/>
  <c r="Y23" i="59"/>
  <c r="Z23" i="59"/>
  <c r="Y21" i="59"/>
  <c r="Z21" i="59"/>
  <c r="AB21" i="59"/>
  <c r="AB19" i="59"/>
  <c r="X21" i="59"/>
  <c r="X19" i="59"/>
  <c r="AA21" i="59"/>
  <c r="AA19" i="59"/>
  <c r="AB20" i="59"/>
  <c r="X20" i="59"/>
  <c r="U21" i="59"/>
  <c r="J30" i="35"/>
  <c r="AC30" i="35"/>
  <c r="W30" i="35"/>
  <c r="H30" i="35"/>
  <c r="AB30" i="35"/>
  <c r="AA30" i="35"/>
  <c r="N56" i="9"/>
  <c r="O56" i="9"/>
  <c r="O58" i="57"/>
  <c r="K58" i="57"/>
  <c r="K59" i="57"/>
  <c r="K61" i="57"/>
  <c r="K63" i="57"/>
  <c r="N58" i="57"/>
  <c r="K56" i="9"/>
  <c r="K57" i="9"/>
  <c r="K59" i="9"/>
  <c r="K61" i="9"/>
  <c r="L58" i="57"/>
  <c r="X3" i="59"/>
  <c r="Y3" i="59"/>
  <c r="Z3" i="59"/>
  <c r="F48" i="43"/>
  <c r="H50" i="43"/>
  <c r="G4" i="47"/>
  <c r="S25" i="59"/>
  <c r="U30" i="35"/>
  <c r="I116" i="57"/>
  <c r="D133" i="57"/>
  <c r="D120" i="57"/>
  <c r="I114" i="9"/>
  <c r="D129" i="9"/>
  <c r="I112" i="9"/>
  <c r="D116" i="9"/>
  <c r="D114" i="9"/>
  <c r="D115" i="9"/>
  <c r="I113" i="9"/>
  <c r="F7" i="61"/>
  <c r="E2" i="21"/>
  <c r="H23" i="31"/>
  <c r="E2" i="34"/>
  <c r="C19" i="57"/>
  <c r="D19" i="57"/>
  <c r="F4" i="61"/>
  <c r="D20" i="57"/>
  <c r="E2" i="36"/>
  <c r="E2" i="35"/>
  <c r="E2" i="33"/>
  <c r="C20" i="57"/>
  <c r="F6" i="61"/>
  <c r="E2" i="11"/>
  <c r="F5" i="61"/>
  <c r="F3" i="61"/>
  <c r="E2" i="37"/>
  <c r="D7" i="61"/>
  <c r="U25" i="35"/>
  <c r="AB25" i="35"/>
  <c r="AB45" i="21"/>
  <c r="U45" i="21"/>
  <c r="AA27" i="34"/>
  <c r="S43" i="39"/>
  <c r="W43" i="33"/>
  <c r="S40" i="34"/>
  <c r="S34" i="36"/>
  <c r="S45" i="21"/>
  <c r="AA34" i="35"/>
  <c r="J25" i="35"/>
  <c r="W20" i="35"/>
  <c r="AC20" i="35"/>
  <c r="J13" i="33"/>
  <c r="F13" i="33"/>
  <c r="AB39" i="21"/>
  <c r="U23" i="34"/>
  <c r="S40" i="37"/>
  <c r="E48" i="43"/>
  <c r="B46" i="43"/>
  <c r="AB32" i="33"/>
  <c r="W27" i="37"/>
  <c r="AB15" i="37"/>
  <c r="W12" i="37"/>
  <c r="AB27" i="21"/>
  <c r="W12" i="36"/>
  <c r="U13" i="34"/>
  <c r="J13" i="36"/>
  <c r="AA23" i="33"/>
  <c r="AB22" i="35"/>
  <c r="S30" i="34"/>
  <c r="AC42" i="34"/>
  <c r="I14" i="62"/>
  <c r="B8" i="62"/>
  <c r="B117" i="43"/>
  <c r="C117" i="43"/>
  <c r="AC32" i="21"/>
  <c r="AB41" i="33"/>
  <c r="W10" i="37"/>
  <c r="U19" i="40"/>
  <c r="AC11" i="37"/>
  <c r="W17" i="21"/>
  <c r="S17" i="39"/>
  <c r="W36" i="33"/>
  <c r="AC45" i="39"/>
  <c r="AB42" i="21"/>
  <c r="AB34" i="39"/>
  <c r="U34" i="39"/>
  <c r="U25" i="36"/>
  <c r="F26" i="47"/>
  <c r="B24" i="47"/>
  <c r="W29" i="33"/>
  <c r="AC29" i="33"/>
  <c r="AB12" i="33"/>
  <c r="AA26" i="33"/>
  <c r="S26" i="33"/>
  <c r="J12" i="40"/>
  <c r="F12" i="40"/>
  <c r="AA12" i="40"/>
  <c r="W33" i="35"/>
  <c r="AA15" i="21"/>
  <c r="S17" i="37"/>
  <c r="S44" i="33"/>
  <c r="AA44" i="33"/>
  <c r="AA38" i="37"/>
  <c r="AC45" i="34"/>
  <c r="S37" i="37"/>
  <c r="F4" i="47"/>
  <c r="B2" i="47"/>
  <c r="S33" i="21"/>
  <c r="U28" i="33"/>
  <c r="AB28" i="33"/>
  <c r="J32" i="40"/>
  <c r="H32" i="40"/>
  <c r="U32" i="40"/>
  <c r="AA13" i="43"/>
  <c r="E81" i="43"/>
  <c r="B79" i="43"/>
  <c r="U46" i="33"/>
  <c r="W42" i="33"/>
  <c r="S22" i="36"/>
  <c r="N102" i="43"/>
  <c r="W37" i="34"/>
  <c r="AC13" i="39"/>
  <c r="H9" i="37"/>
  <c r="U44" i="33"/>
  <c r="AB44" i="33"/>
  <c r="J12" i="34"/>
  <c r="F12" i="34"/>
  <c r="AC31" i="36"/>
  <c r="W31" i="36"/>
  <c r="B28" i="59"/>
  <c r="B27" i="59"/>
  <c r="S29" i="59"/>
  <c r="U31" i="34"/>
  <c r="W45" i="21"/>
  <c r="AA23" i="21"/>
  <c r="S23" i="37"/>
  <c r="AA23" i="37"/>
  <c r="J23" i="35"/>
  <c r="H23" i="35"/>
  <c r="J43" i="39"/>
  <c r="H43" i="39"/>
  <c r="AA25" i="39"/>
  <c r="S11" i="36"/>
  <c r="AC35" i="21"/>
  <c r="J9" i="37"/>
  <c r="AB10" i="33"/>
  <c r="AC11" i="36"/>
  <c r="W32" i="34"/>
  <c r="AC32" i="34"/>
  <c r="AB45" i="33"/>
  <c r="U45" i="33"/>
  <c r="J14" i="34"/>
  <c r="W14" i="34"/>
  <c r="H14" i="34"/>
  <c r="D59" i="59"/>
  <c r="C60" i="59"/>
  <c r="H104" i="43"/>
  <c r="H102" i="43"/>
  <c r="S9" i="33"/>
  <c r="AB27" i="36"/>
  <c r="AC31" i="33"/>
  <c r="C24" i="59"/>
  <c r="T25" i="59"/>
  <c r="D25" i="59"/>
  <c r="U9" i="40"/>
  <c r="J12" i="33"/>
  <c r="F25" i="37"/>
  <c r="S21" i="33"/>
  <c r="X32" i="59"/>
  <c r="AB34" i="59"/>
  <c r="X22" i="59"/>
  <c r="AA8" i="35"/>
  <c r="D108" i="43"/>
  <c r="K108" i="43"/>
  <c r="S21" i="34"/>
  <c r="B75" i="43"/>
  <c r="C84" i="59"/>
  <c r="C56" i="59"/>
  <c r="B31" i="59"/>
  <c r="B32" i="59"/>
  <c r="B33" i="59"/>
  <c r="S33" i="59"/>
  <c r="Y32" i="59"/>
  <c r="Z32" i="59"/>
  <c r="F35" i="59"/>
  <c r="F36" i="59"/>
  <c r="F37" i="59"/>
  <c r="V37" i="59"/>
  <c r="AB37" i="59"/>
  <c r="Z10" i="43"/>
  <c r="AD12" i="43"/>
  <c r="AD13" i="43"/>
  <c r="AA27" i="59"/>
  <c r="U21" i="37"/>
  <c r="Y22" i="59"/>
  <c r="Z22" i="59"/>
  <c r="AA18" i="59"/>
  <c r="E108" i="43"/>
  <c r="E109" i="43"/>
  <c r="AB25" i="40"/>
  <c r="E72" i="59"/>
  <c r="E71" i="59"/>
  <c r="C31" i="59"/>
  <c r="AB32" i="59"/>
  <c r="Y35" i="59"/>
  <c r="Z35" i="59"/>
  <c r="B39" i="59"/>
  <c r="B40" i="59"/>
  <c r="B41" i="59"/>
  <c r="S41" i="59"/>
  <c r="AA12" i="59"/>
  <c r="U14" i="37"/>
  <c r="J9" i="36"/>
  <c r="C29" i="39"/>
  <c r="X33" i="59"/>
  <c r="AA35" i="59"/>
  <c r="AB17" i="59"/>
  <c r="D88" i="59"/>
  <c r="E33" i="59"/>
  <c r="U33" i="59"/>
  <c r="Y33" i="59"/>
  <c r="Z33" i="59"/>
  <c r="AB35" i="59"/>
  <c r="E45" i="59"/>
  <c r="U45" i="59"/>
  <c r="F65" i="59"/>
  <c r="V65" i="59"/>
  <c r="AC10" i="43"/>
  <c r="Y25" i="59"/>
  <c r="Z25" i="59"/>
  <c r="C72" i="59"/>
  <c r="AA30" i="59"/>
  <c r="AA32" i="59"/>
  <c r="X35" i="59"/>
  <c r="AA11" i="59"/>
  <c r="P72" i="15"/>
  <c r="AB22" i="59"/>
  <c r="U10" i="36"/>
  <c r="S13" i="40"/>
  <c r="W14" i="33"/>
  <c r="AB32" i="36"/>
  <c r="S8" i="39"/>
  <c r="J36" i="35"/>
  <c r="I105" i="9"/>
  <c r="D123" i="9"/>
  <c r="X31" i="59"/>
  <c r="AA38" i="59"/>
  <c r="B68" i="59"/>
  <c r="N68" i="59"/>
  <c r="AA12" i="43"/>
  <c r="Y34" i="59"/>
  <c r="Z34" i="59"/>
  <c r="Y26" i="59"/>
  <c r="Z26" i="59"/>
  <c r="X25" i="59"/>
  <c r="F12" i="33"/>
  <c r="Y31" i="59"/>
  <c r="Z31" i="59"/>
  <c r="B36" i="59"/>
  <c r="B37" i="59"/>
  <c r="S37" i="59"/>
  <c r="AB36" i="59"/>
  <c r="F41" i="59"/>
  <c r="V41" i="59"/>
  <c r="B48" i="59"/>
  <c r="B49" i="59"/>
  <c r="S49" i="59"/>
  <c r="E53" i="59"/>
  <c r="U53" i="59"/>
  <c r="E60" i="59"/>
  <c r="E61" i="59"/>
  <c r="U61" i="59"/>
  <c r="B76" i="59"/>
  <c r="B75" i="59"/>
  <c r="Y24" i="59"/>
  <c r="Z24" i="59"/>
  <c r="Y19" i="59"/>
  <c r="Z19" i="59"/>
  <c r="X27" i="59"/>
  <c r="AA29" i="59"/>
  <c r="X37" i="59"/>
  <c r="F52" i="59"/>
  <c r="F53" i="59"/>
  <c r="V53" i="59"/>
  <c r="F61" i="59"/>
  <c r="V61" i="59"/>
  <c r="AA25" i="59"/>
  <c r="X18" i="59"/>
  <c r="Y29" i="59"/>
  <c r="Z29" i="59"/>
  <c r="AA34" i="59"/>
  <c r="Y37" i="59"/>
  <c r="Z37" i="59"/>
  <c r="Y39" i="59"/>
  <c r="Z39" i="59"/>
  <c r="E48" i="59"/>
  <c r="E49" i="59"/>
  <c r="U49" i="59"/>
  <c r="Y18" i="59"/>
  <c r="Z18" i="59"/>
  <c r="C8" i="11"/>
  <c r="C5" i="11"/>
  <c r="G41" i="11"/>
  <c r="G22" i="11"/>
  <c r="C110" i="57"/>
  <c r="H104" i="57"/>
  <c r="D32" i="9"/>
  <c r="A131" i="9"/>
  <c r="C114" i="57"/>
  <c r="H109" i="57"/>
  <c r="B101" i="9"/>
  <c r="D39" i="50"/>
  <c r="D40" i="50"/>
  <c r="A8" i="52"/>
  <c r="B65" i="60"/>
  <c r="A12" i="52"/>
  <c r="B67" i="60"/>
  <c r="W24" i="35"/>
  <c r="AC24" i="35"/>
  <c r="U26" i="35"/>
  <c r="AB26" i="35"/>
  <c r="W9" i="34"/>
  <c r="AC9" i="34"/>
  <c r="B20" i="59"/>
  <c r="B19" i="59"/>
  <c r="B18" i="59"/>
  <c r="B17" i="59"/>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C21" i="39"/>
  <c r="AB19" i="37"/>
  <c r="AC22" i="36"/>
  <c r="W22" i="36"/>
  <c r="F39" i="37"/>
  <c r="H39" i="37"/>
  <c r="J39" i="37"/>
  <c r="F28" i="59"/>
  <c r="F27" i="59"/>
  <c r="V29" i="59"/>
  <c r="E16" i="59"/>
  <c r="E15" i="59"/>
  <c r="E14" i="59"/>
  <c r="E13" i="59"/>
  <c r="U17" i="59"/>
  <c r="F9" i="36"/>
  <c r="C45" i="59"/>
  <c r="D44" i="59"/>
  <c r="C64" i="59"/>
  <c r="D63" i="59"/>
  <c r="C41" i="59"/>
  <c r="D40" i="59"/>
  <c r="AC9" i="21"/>
  <c r="H12" i="34"/>
  <c r="M19" i="43"/>
  <c r="U41" i="59"/>
  <c r="D52" i="59"/>
  <c r="C53" i="59"/>
  <c r="B74" i="43"/>
  <c r="D67" i="59"/>
  <c r="O66" i="59"/>
  <c r="O67" i="59"/>
  <c r="F39" i="40"/>
  <c r="AA39" i="40"/>
  <c r="C36" i="59"/>
  <c r="D35" i="59"/>
  <c r="C48" i="59"/>
  <c r="D48" i="59"/>
  <c r="D47" i="59"/>
  <c r="J39" i="40"/>
  <c r="E67" i="59"/>
  <c r="P68" i="59"/>
  <c r="X25" i="31"/>
  <c r="AA18" i="36"/>
  <c r="AA36" i="59"/>
  <c r="AA22" i="59"/>
  <c r="AB18" i="59"/>
  <c r="Y20" i="59"/>
  <c r="Z20" i="59"/>
  <c r="X16" i="59"/>
  <c r="AB15" i="59"/>
  <c r="S18" i="35"/>
  <c r="AA3" i="59"/>
  <c r="Q69" i="59"/>
  <c r="X28" i="59"/>
  <c r="C29" i="59"/>
  <c r="S69" i="59"/>
  <c r="B72" i="59"/>
  <c r="B71" i="59"/>
  <c r="AB38" i="59"/>
  <c r="X34" i="59"/>
  <c r="AA31" i="59"/>
  <c r="Y16" i="59"/>
  <c r="Z16" i="59"/>
  <c r="H100" i="43"/>
  <c r="U18" i="35"/>
  <c r="D68" i="59"/>
  <c r="X29" i="59"/>
  <c r="U69" i="59"/>
  <c r="U77" i="59"/>
  <c r="AB33" i="59"/>
  <c r="AB23" i="59"/>
  <c r="AA20" i="59"/>
  <c r="AA17" i="59"/>
  <c r="X13" i="59"/>
  <c r="AA10" i="59"/>
  <c r="W18" i="35"/>
  <c r="O68" i="59"/>
  <c r="AA28" i="59"/>
  <c r="D43" i="59"/>
  <c r="F68" i="59"/>
  <c r="F72" i="59"/>
  <c r="F71" i="59"/>
  <c r="X36" i="59"/>
  <c r="AA33" i="59"/>
  <c r="X12" i="59"/>
  <c r="U29" i="59"/>
  <c r="X7" i="59"/>
  <c r="X6" i="59"/>
  <c r="X5" i="59"/>
  <c r="X8" i="59"/>
  <c r="X11" i="59"/>
  <c r="X9" i="59"/>
  <c r="V77" i="59"/>
  <c r="Y38" i="59"/>
  <c r="Z38" i="59"/>
  <c r="AA16" i="59"/>
  <c r="X10" i="59"/>
  <c r="AA13" i="59"/>
  <c r="B86" i="43"/>
  <c r="C75" i="59"/>
  <c r="D75" i="59"/>
  <c r="B15" i="50"/>
  <c r="AB30" i="59"/>
  <c r="X14" i="59"/>
  <c r="AA14" i="59"/>
  <c r="H17" i="43"/>
  <c r="AB21" i="33"/>
  <c r="C79" i="59"/>
  <c r="D79" i="59"/>
  <c r="AB29" i="59"/>
  <c r="D69" i="59"/>
  <c r="X15" i="59"/>
  <c r="AA15" i="59"/>
  <c r="I100" i="43"/>
  <c r="S21" i="21"/>
  <c r="AB28" i="59"/>
  <c r="E80" i="59"/>
  <c r="E79" i="59"/>
  <c r="Y5" i="59"/>
  <c r="Z5" i="59"/>
  <c r="Y7" i="59"/>
  <c r="Z7" i="59"/>
  <c r="Y8" i="59"/>
  <c r="Z8" i="59"/>
  <c r="Y9" i="59"/>
  <c r="Z9" i="59"/>
  <c r="Y10" i="59"/>
  <c r="Z10" i="59"/>
  <c r="Y6" i="59"/>
  <c r="Z6" i="59"/>
  <c r="F24" i="59"/>
  <c r="F23" i="59"/>
  <c r="F22" i="59"/>
  <c r="F21" i="59"/>
  <c r="X23" i="59"/>
  <c r="AB16" i="59"/>
  <c r="AB13" i="59"/>
  <c r="Y11" i="59"/>
  <c r="Z11" i="59"/>
  <c r="AB11" i="59"/>
  <c r="Y14" i="59"/>
  <c r="Z14" i="59"/>
  <c r="U27" i="31"/>
  <c r="U25" i="31"/>
  <c r="C36" i="57"/>
  <c r="D125" i="57"/>
  <c r="L108" i="57"/>
  <c r="N108" i="43"/>
  <c r="N109" i="43"/>
  <c r="AA21" i="37"/>
  <c r="AB26" i="59"/>
  <c r="Y27" i="59"/>
  <c r="Z27" i="59"/>
  <c r="F31" i="59"/>
  <c r="F32" i="59"/>
  <c r="F33" i="59"/>
  <c r="V33" i="59"/>
  <c r="E35" i="59"/>
  <c r="E36" i="59"/>
  <c r="E37" i="59"/>
  <c r="U37" i="59"/>
  <c r="AA7" i="59"/>
  <c r="AA5" i="59"/>
  <c r="AA6" i="59"/>
  <c r="AA8" i="59"/>
  <c r="AA9" i="59"/>
  <c r="V81" i="59"/>
  <c r="AB14" i="59"/>
  <c r="Y13" i="59"/>
  <c r="Z13" i="59"/>
  <c r="B67" i="59"/>
  <c r="D51" i="59"/>
  <c r="AB6" i="59"/>
  <c r="AB7" i="59"/>
  <c r="AB9" i="59"/>
  <c r="AB8" i="59"/>
  <c r="AB5" i="59"/>
  <c r="AB10" i="59"/>
  <c r="Y12" i="59"/>
  <c r="Z12" i="59"/>
  <c r="Y27" i="31"/>
  <c r="Y25" i="31"/>
  <c r="AB40" i="59"/>
  <c r="AB12" i="59"/>
  <c r="Y15" i="59"/>
  <c r="Z15" i="59"/>
  <c r="U15" i="40"/>
  <c r="W32" i="40"/>
  <c r="AC32" i="40"/>
  <c r="AA32" i="40"/>
  <c r="S12" i="40"/>
  <c r="AC27" i="40"/>
  <c r="S34" i="40"/>
  <c r="W8" i="40"/>
  <c r="S25" i="40"/>
  <c r="S21" i="39"/>
  <c r="S11" i="39"/>
  <c r="AB15" i="39"/>
  <c r="AC15" i="39"/>
  <c r="AA15" i="39"/>
  <c r="G63" i="39"/>
  <c r="C63" i="39"/>
  <c r="G58" i="40"/>
  <c r="C58" i="40"/>
  <c r="G59" i="40"/>
  <c r="C59" i="40"/>
  <c r="E8" i="43"/>
  <c r="E11" i="43"/>
  <c r="E9" i="43"/>
  <c r="E10" i="43"/>
  <c r="E12" i="59"/>
  <c r="E11" i="59"/>
  <c r="E10" i="59"/>
  <c r="E9" i="59"/>
  <c r="U13" i="59"/>
  <c r="D18" i="50"/>
  <c r="B31" i="60"/>
  <c r="A10" i="52"/>
  <c r="B66" i="60"/>
  <c r="C14" i="15"/>
  <c r="C15" i="15"/>
  <c r="D12" i="52"/>
  <c r="H70" i="43"/>
  <c r="H76" i="43"/>
  <c r="H78" i="43"/>
  <c r="H75" i="43"/>
  <c r="H73" i="43"/>
  <c r="G26" i="47"/>
  <c r="H62" i="43"/>
  <c r="H88" i="43"/>
  <c r="H83" i="43"/>
  <c r="H82" i="43"/>
  <c r="H54" i="43"/>
  <c r="H51" i="43"/>
  <c r="B20" i="60"/>
  <c r="C18" i="50"/>
  <c r="AA8" i="37"/>
  <c r="AC8" i="37"/>
  <c r="AC36" i="37"/>
  <c r="S36" i="37"/>
  <c r="S30" i="37"/>
  <c r="W31" i="37"/>
  <c r="AA29" i="37"/>
  <c r="D67" i="39"/>
  <c r="E67" i="39"/>
  <c r="E69" i="39"/>
  <c r="C18" i="12"/>
  <c r="C21" i="50"/>
  <c r="M17" i="15"/>
  <c r="F15" i="48"/>
  <c r="H15" i="48"/>
  <c r="B14" i="48"/>
  <c r="D14" i="48"/>
  <c r="F13" i="48"/>
  <c r="H13" i="48"/>
  <c r="F14" i="48"/>
  <c r="H14" i="48"/>
  <c r="L60" i="15"/>
  <c r="Q72" i="15"/>
  <c r="C10" i="11"/>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J20" i="15"/>
  <c r="C6" i="15"/>
  <c r="F51" i="15"/>
  <c r="D62" i="40"/>
  <c r="C64" i="40"/>
  <c r="D127" i="9"/>
  <c r="H14" i="62"/>
  <c r="B7" i="6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B13" i="1"/>
  <c r="I48" i="35"/>
  <c r="J48" i="35"/>
  <c r="K48" i="35"/>
  <c r="L48" i="35"/>
  <c r="M48" i="35"/>
  <c r="N48" i="35"/>
  <c r="O48" i="35"/>
  <c r="F7" i="35"/>
  <c r="D59" i="34"/>
  <c r="D46" i="36"/>
  <c r="G115" i="43"/>
  <c r="H115" i="43"/>
  <c r="E58" i="21"/>
  <c r="H72" i="43"/>
  <c r="H74" i="43"/>
  <c r="H77" i="43"/>
  <c r="F102" i="43"/>
  <c r="F107" i="43"/>
  <c r="J103" i="43"/>
  <c r="J109" i="43"/>
  <c r="M103" i="43"/>
  <c r="M105" i="43"/>
  <c r="E22" i="43"/>
  <c r="D22" i="43"/>
  <c r="C21"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C94" i="57"/>
  <c r="C96" i="57"/>
  <c r="C113" i="57"/>
  <c r="H108" i="57"/>
  <c r="C115" i="57"/>
  <c r="H110" i="57"/>
  <c r="D19" i="50"/>
  <c r="B32" i="60"/>
  <c r="C23" i="12"/>
  <c r="D128" i="9"/>
  <c r="D11" i="52"/>
  <c r="D20" i="50"/>
  <c r="C34" i="15"/>
  <c r="D8" i="62"/>
  <c r="C8" i="62"/>
  <c r="C14" i="50"/>
  <c r="B5" i="48"/>
  <c r="D5" i="48"/>
  <c r="F7" i="48"/>
  <c r="H7" i="48"/>
  <c r="F11" i="48"/>
  <c r="H11" i="48"/>
  <c r="B12" i="48"/>
  <c r="D12" i="48"/>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G20" i="57"/>
  <c r="C104" i="57"/>
  <c r="D104" i="57"/>
  <c r="D6" i="61"/>
  <c r="D4" i="61"/>
  <c r="D5" i="61"/>
  <c r="D3" i="61"/>
  <c r="D6" i="52"/>
  <c r="L106" i="9"/>
  <c r="A18" i="55"/>
  <c r="B48" i="60"/>
  <c r="D84" i="59"/>
  <c r="C83" i="59"/>
  <c r="D83" i="59"/>
  <c r="AC43" i="39"/>
  <c r="W43" i="39"/>
  <c r="W25" i="35"/>
  <c r="AC25" i="35"/>
  <c r="AC36" i="35"/>
  <c r="W36" i="35"/>
  <c r="U23" i="35"/>
  <c r="AB23" i="35"/>
  <c r="S12" i="34"/>
  <c r="AA12" i="34"/>
  <c r="D72" i="59"/>
  <c r="C71" i="59"/>
  <c r="D71" i="59"/>
  <c r="AC23" i="35"/>
  <c r="W23" i="35"/>
  <c r="W12" i="34"/>
  <c r="AC12" i="34"/>
  <c r="AC9" i="36"/>
  <c r="W9" i="36"/>
  <c r="D24" i="59"/>
  <c r="C23" i="59"/>
  <c r="AC14" i="34"/>
  <c r="S12" i="33"/>
  <c r="AA12" i="33"/>
  <c r="AB9" i="37"/>
  <c r="U9" i="37"/>
  <c r="AC12" i="40"/>
  <c r="W12" i="40"/>
  <c r="AC9" i="37"/>
  <c r="W9" i="37"/>
  <c r="W13" i="36"/>
  <c r="AC13" i="36"/>
  <c r="S13" i="33"/>
  <c r="AA13" i="33"/>
  <c r="D31" i="59"/>
  <c r="C32" i="59"/>
  <c r="C61" i="59"/>
  <c r="D60" i="59"/>
  <c r="W13" i="33"/>
  <c r="AC13" i="33"/>
  <c r="AA25" i="37"/>
  <c r="S25" i="37"/>
  <c r="C37" i="57"/>
  <c r="F125" i="57"/>
  <c r="G125" i="57"/>
  <c r="C57" i="59"/>
  <c r="D56" i="59"/>
  <c r="W12" i="33"/>
  <c r="AC12" i="33"/>
  <c r="U14" i="34"/>
  <c r="AB14" i="34"/>
  <c r="U43" i="39"/>
  <c r="AB43" i="39"/>
  <c r="C20" i="11"/>
  <c r="C28" i="11"/>
  <c r="C27" i="11"/>
  <c r="C105" i="57"/>
  <c r="D126" i="57"/>
  <c r="E125" i="57"/>
  <c r="C112" i="9"/>
  <c r="H110" i="9"/>
  <c r="C114" i="9"/>
  <c r="H112" i="9"/>
  <c r="C116" i="9"/>
  <c r="H114" i="9"/>
  <c r="C106" i="9"/>
  <c r="H102" i="9"/>
  <c r="F7" i="37"/>
  <c r="S7" i="37"/>
  <c r="J7" i="37"/>
  <c r="AC7" i="37"/>
  <c r="V42" i="37"/>
  <c r="I42" i="37"/>
  <c r="D69" i="39"/>
  <c r="K1" i="61"/>
  <c r="N66" i="59"/>
  <c r="N67" i="59"/>
  <c r="AB39" i="37"/>
  <c r="U39" i="37"/>
  <c r="S9" i="34"/>
  <c r="AA9" i="34"/>
  <c r="AB9" i="34"/>
  <c r="U9" i="34"/>
  <c r="C28" i="59"/>
  <c r="D29" i="59"/>
  <c r="T29" i="59"/>
  <c r="T41" i="59"/>
  <c r="D41" i="59"/>
  <c r="S39" i="37"/>
  <c r="AA39" i="37"/>
  <c r="S24" i="35"/>
  <c r="AA24" i="35"/>
  <c r="AB24" i="35"/>
  <c r="U24" i="35"/>
  <c r="B16" i="59"/>
  <c r="B15" i="59"/>
  <c r="B14" i="59"/>
  <c r="B13" i="59"/>
  <c r="S17" i="59"/>
  <c r="AC39" i="37"/>
  <c r="W39" i="37"/>
  <c r="Q68" i="59"/>
  <c r="F67" i="59"/>
  <c r="C65" i="59"/>
  <c r="D64" i="59"/>
  <c r="U9" i="35"/>
  <c r="AB9" i="35"/>
  <c r="T53" i="59"/>
  <c r="D53" i="59"/>
  <c r="AC9" i="35"/>
  <c r="W9" i="35"/>
  <c r="S39" i="40"/>
  <c r="P66" i="59"/>
  <c r="P67" i="59"/>
  <c r="T45" i="59"/>
  <c r="D45" i="59"/>
  <c r="AC26" i="35"/>
  <c r="W26" i="35"/>
  <c r="AC39" i="40"/>
  <c r="W39" i="40"/>
  <c r="AA9" i="36"/>
  <c r="S9" i="36"/>
  <c r="F67" i="39"/>
  <c r="G67" i="39"/>
  <c r="U12" i="34"/>
  <c r="AB12" i="34"/>
  <c r="F20" i="59"/>
  <c r="F19" i="59"/>
  <c r="F18" i="59"/>
  <c r="F17" i="59"/>
  <c r="V21" i="59"/>
  <c r="C37" i="59"/>
  <c r="D36" i="59"/>
  <c r="F69" i="39"/>
  <c r="C7" i="43"/>
  <c r="U9" i="59"/>
  <c r="E8" i="59"/>
  <c r="C18" i="15"/>
  <c r="C16" i="15"/>
  <c r="J7" i="35"/>
  <c r="AC7" i="35"/>
  <c r="V38" i="35"/>
  <c r="I38" i="35"/>
  <c r="C30" i="11"/>
  <c r="C48" i="11"/>
  <c r="C32" i="15"/>
  <c r="D5" i="43"/>
  <c r="Q59" i="15"/>
  <c r="C21" i="12"/>
  <c r="C22" i="12"/>
  <c r="C30" i="12"/>
  <c r="C28" i="12"/>
  <c r="C33" i="11"/>
  <c r="C39" i="11"/>
  <c r="C46" i="11"/>
  <c r="C45" i="11"/>
  <c r="C106" i="57"/>
  <c r="D9" i="48"/>
  <c r="E3" i="4"/>
  <c r="D7" i="62"/>
  <c r="C7" i="62"/>
  <c r="U7" i="37"/>
  <c r="C50" i="15"/>
  <c r="F60" i="15"/>
  <c r="B23" i="31"/>
  <c r="R25" i="31"/>
  <c r="AC7" i="33"/>
  <c r="V48" i="33"/>
  <c r="I48" i="33"/>
  <c r="I52" i="33"/>
  <c r="J52" i="33"/>
  <c r="D113" i="43"/>
  <c r="D64" i="40"/>
  <c r="E62" i="40"/>
  <c r="AA7" i="37"/>
  <c r="R42" i="37"/>
  <c r="R43" i="37"/>
  <c r="L49" i="15"/>
  <c r="I20" i="43"/>
  <c r="B14" i="1"/>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D22" i="50"/>
  <c r="B35" i="60"/>
  <c r="B33" i="60"/>
  <c r="C19" i="43"/>
  <c r="P24" i="43"/>
  <c r="B65" i="40"/>
  <c r="P21" i="43"/>
  <c r="B70" i="39"/>
  <c r="P23" i="43"/>
  <c r="P22" i="43"/>
  <c r="P28" i="43"/>
  <c r="N28" i="43"/>
  <c r="M28" i="43"/>
  <c r="O28" i="43"/>
  <c r="G20" i="43"/>
  <c r="E41" i="43"/>
  <c r="C41" i="43"/>
  <c r="F11" i="15"/>
  <c r="M11" i="15"/>
  <c r="J10" i="15"/>
  <c r="J5" i="15"/>
  <c r="G1" i="61"/>
  <c r="D23" i="59"/>
  <c r="C22" i="59"/>
  <c r="T57" i="59"/>
  <c r="D57" i="59"/>
  <c r="T61" i="59"/>
  <c r="D61" i="59"/>
  <c r="F126" i="57"/>
  <c r="C33" i="59"/>
  <c r="D32" i="59"/>
  <c r="J7" i="36"/>
  <c r="W7" i="36"/>
  <c r="C19" i="15"/>
  <c r="C20" i="15"/>
  <c r="C26" i="15"/>
  <c r="W7" i="37"/>
  <c r="E27" i="1"/>
  <c r="F22" i="11"/>
  <c r="F41" i="11"/>
  <c r="G69" i="39"/>
  <c r="H67" i="39"/>
  <c r="D28" i="59"/>
  <c r="C27" i="59"/>
  <c r="D27" i="59"/>
  <c r="B12" i="59"/>
  <c r="B11" i="59"/>
  <c r="B10" i="59"/>
  <c r="B9" i="59"/>
  <c r="S13" i="59"/>
  <c r="W7" i="35"/>
  <c r="T65" i="59"/>
  <c r="D65" i="59"/>
  <c r="T37" i="59"/>
  <c r="D37" i="59"/>
  <c r="E42" i="37"/>
  <c r="E46" i="37"/>
  <c r="F46" i="37"/>
  <c r="F16" i="59"/>
  <c r="F15" i="59"/>
  <c r="F14" i="59"/>
  <c r="F13" i="59"/>
  <c r="V17" i="59"/>
  <c r="Q66" i="59"/>
  <c r="Q67" i="59"/>
  <c r="E7" i="59"/>
  <c r="H7" i="36"/>
  <c r="U7" i="36"/>
  <c r="C20" i="43"/>
  <c r="C29" i="43"/>
  <c r="B5" i="55"/>
  <c r="B55" i="60"/>
  <c r="B18" i="49"/>
  <c r="B4" i="60"/>
  <c r="B24" i="31"/>
  <c r="B3" i="31"/>
  <c r="C35" i="57"/>
  <c r="I125" i="57"/>
  <c r="B2" i="31"/>
  <c r="C34" i="57"/>
  <c r="H125" i="57"/>
  <c r="E64" i="40"/>
  <c r="F62" i="40"/>
  <c r="H10" i="39"/>
  <c r="H10" i="40"/>
  <c r="J10" i="39"/>
  <c r="F10" i="40"/>
  <c r="J10" i="40"/>
  <c r="F10" i="39"/>
  <c r="I55" i="15"/>
  <c r="J58" i="15"/>
  <c r="J56" i="15"/>
  <c r="J59" i="15"/>
  <c r="Q48" i="15"/>
  <c r="L59" i="15"/>
  <c r="L57" i="15"/>
  <c r="J54" i="15"/>
  <c r="G42" i="35"/>
  <c r="H42" i="35"/>
  <c r="G43" i="35"/>
  <c r="H43" i="35"/>
  <c r="R49" i="33"/>
  <c r="E48" i="33"/>
  <c r="F7" i="36"/>
  <c r="I42" i="35"/>
  <c r="J42" i="35"/>
  <c r="C43" i="37"/>
  <c r="B2" i="37"/>
  <c r="B3" i="37"/>
  <c r="C42" i="37"/>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T33" i="59"/>
  <c r="D33" i="59"/>
  <c r="AC7" i="36"/>
  <c r="V36" i="36"/>
  <c r="I36" i="36"/>
  <c r="C21" i="59"/>
  <c r="D22" i="59"/>
  <c r="F24" i="15"/>
  <c r="C23" i="15"/>
  <c r="F25" i="12"/>
  <c r="C27" i="12"/>
  <c r="C25" i="12"/>
  <c r="AB7" i="36"/>
  <c r="T36" i="36"/>
  <c r="G36" i="36"/>
  <c r="G40" i="36"/>
  <c r="H40" i="36"/>
  <c r="E47" i="37"/>
  <c r="F47" i="37"/>
  <c r="S9" i="59"/>
  <c r="B8" i="59"/>
  <c r="B7" i="59"/>
  <c r="B6" i="59"/>
  <c r="F12" i="59"/>
  <c r="F11" i="59"/>
  <c r="F10" i="59"/>
  <c r="F9" i="59"/>
  <c r="V13" i="59"/>
  <c r="H69" i="39"/>
  <c r="I67" i="39"/>
  <c r="E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10" i="57"/>
  <c r="H126" i="57"/>
  <c r="C107" i="57"/>
  <c r="I104" i="57"/>
  <c r="D111" i="57"/>
  <c r="C108" i="57"/>
  <c r="I105" i="57"/>
  <c r="F64" i="40"/>
  <c r="G62"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C48" i="33"/>
  <c r="C49" i="33"/>
  <c r="B2" i="33"/>
  <c r="B3" i="33"/>
  <c r="E39" i="43"/>
  <c r="E38" i="43"/>
  <c r="G38" i="43"/>
  <c r="I38" i="43"/>
  <c r="C43" i="11"/>
  <c r="C23" i="11"/>
  <c r="C44" i="11"/>
  <c r="D41" i="11"/>
  <c r="C25" i="11"/>
  <c r="C42" i="11"/>
  <c r="C26" i="11"/>
  <c r="D22" i="11"/>
  <c r="C24" i="11"/>
  <c r="C61" i="15"/>
  <c r="C67" i="15"/>
  <c r="C38" i="15"/>
  <c r="C20" i="59"/>
  <c r="T21" i="59"/>
  <c r="D21" i="59"/>
  <c r="C26" i="12"/>
  <c r="D25" i="12"/>
  <c r="C32" i="12"/>
  <c r="C24" i="15"/>
  <c r="C29" i="15"/>
  <c r="J14" i="15"/>
  <c r="G41" i="36"/>
  <c r="H41" i="36"/>
  <c r="I69" i="39"/>
  <c r="J67" i="39"/>
  <c r="V9" i="59"/>
  <c r="F8" i="59"/>
  <c r="F7" i="59"/>
  <c r="F6" i="59"/>
  <c r="F5" i="59"/>
  <c r="V5" i="59"/>
  <c r="E5" i="59"/>
  <c r="U5" i="59"/>
  <c r="B5" i="59"/>
  <c r="S5" i="59"/>
  <c r="E33" i="43"/>
  <c r="G36" i="43"/>
  <c r="I36" i="43"/>
  <c r="E35" i="43"/>
  <c r="E34" i="43"/>
  <c r="G37" i="43"/>
  <c r="I37" i="43"/>
  <c r="I112" i="57"/>
  <c r="D47" i="57"/>
  <c r="N50" i="57"/>
  <c r="D116" i="57"/>
  <c r="D117" i="57"/>
  <c r="I113" i="57"/>
  <c r="D130" i="57"/>
  <c r="D10" i="52"/>
  <c r="D121" i="57"/>
  <c r="I117" i="57"/>
  <c r="G64" i="40"/>
  <c r="H62" i="40"/>
  <c r="J29" i="15"/>
  <c r="B3" i="35"/>
  <c r="B2" i="35"/>
  <c r="H59" i="34"/>
  <c r="R37" i="36"/>
  <c r="E36" i="36"/>
  <c r="I58" i="21"/>
  <c r="C41" i="11"/>
  <c r="C49" i="11"/>
  <c r="C51" i="11"/>
  <c r="C22" i="11"/>
  <c r="C31" i="11"/>
  <c r="C19" i="59"/>
  <c r="D20" i="59"/>
  <c r="J69" i="39"/>
  <c r="K67" i="39"/>
  <c r="C27" i="43"/>
  <c r="C26" i="43"/>
  <c r="B2" i="43"/>
  <c r="B3" i="43"/>
  <c r="D129" i="57"/>
  <c r="N51" i="57"/>
  <c r="D61" i="57"/>
  <c r="N57" i="57"/>
  <c r="D55" i="57"/>
  <c r="D50" i="57"/>
  <c r="N54" i="57"/>
  <c r="D57" i="57"/>
  <c r="N55" i="57"/>
  <c r="C80" i="57"/>
  <c r="C75" i="57"/>
  <c r="C95" i="57"/>
  <c r="C88" i="57"/>
  <c r="C66" i="57"/>
  <c r="C65" i="57"/>
  <c r="C69" i="57"/>
  <c r="C70" i="57"/>
  <c r="D56" i="57"/>
  <c r="D54" i="57"/>
  <c r="C74" i="57"/>
  <c r="C87" i="57"/>
  <c r="I62" i="40"/>
  <c r="H64" i="40"/>
  <c r="J58" i="21"/>
  <c r="K58" i="21"/>
  <c r="L58" i="21"/>
  <c r="M58" i="21"/>
  <c r="N58" i="21"/>
  <c r="O58" i="21"/>
  <c r="J7" i="21"/>
  <c r="F7" i="21"/>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C18" i="59"/>
  <c r="D19" i="59"/>
  <c r="K69" i="39"/>
  <c r="L67" i="39"/>
  <c r="C81" i="57"/>
  <c r="C82" i="57"/>
  <c r="E82" i="57"/>
  <c r="E83" i="57"/>
  <c r="C65" i="15"/>
  <c r="C97" i="57"/>
  <c r="C99" i="57"/>
  <c r="D60" i="57"/>
  <c r="D58" i="57"/>
  <c r="N56" i="57"/>
  <c r="O59" i="57"/>
  <c r="M70" i="57"/>
  <c r="N70" i="57"/>
  <c r="M69" i="57"/>
  <c r="N69" i="57"/>
  <c r="M68" i="57"/>
  <c r="N68" i="57"/>
  <c r="M67" i="57"/>
  <c r="N67" i="57"/>
  <c r="M65" i="57"/>
  <c r="N65" i="57"/>
  <c r="M66" i="57"/>
  <c r="N66" i="57"/>
  <c r="J62" i="40"/>
  <c r="I64" i="40"/>
  <c r="AB7" i="21"/>
  <c r="T48" i="21"/>
  <c r="G48" i="21"/>
  <c r="U7" i="21"/>
  <c r="AC7" i="21"/>
  <c r="V48" i="21"/>
  <c r="I48" i="21"/>
  <c r="W7" i="21"/>
  <c r="J59" i="34"/>
  <c r="S7" i="21"/>
  <c r="AA7" i="21"/>
  <c r="R48" i="21"/>
  <c r="Q46" i="15"/>
  <c r="C60" i="15"/>
  <c r="C57" i="15"/>
  <c r="C66" i="15"/>
  <c r="C37" i="15"/>
  <c r="C30" i="15"/>
  <c r="C39" i="15"/>
  <c r="Q68" i="15"/>
  <c r="J16" i="15"/>
  <c r="J25" i="15"/>
  <c r="C56" i="11"/>
  <c r="C57" i="11"/>
  <c r="B2" i="11"/>
  <c r="B3" i="11"/>
  <c r="C19" i="9"/>
  <c r="C20" i="9"/>
  <c r="D18" i="59"/>
  <c r="C17" i="59"/>
  <c r="C102" i="9"/>
  <c r="C101" i="9"/>
  <c r="C83" i="57"/>
  <c r="C98" i="57"/>
  <c r="E98" i="57"/>
  <c r="E99" i="57"/>
  <c r="M67" i="39"/>
  <c r="L69" i="39"/>
  <c r="N71" i="57"/>
  <c r="O71" i="57"/>
  <c r="O61" i="57"/>
  <c r="O60" i="57"/>
  <c r="Q59" i="57"/>
  <c r="J64" i="40"/>
  <c r="K62" i="40"/>
  <c r="G53" i="21"/>
  <c r="H53" i="21"/>
  <c r="G52" i="21"/>
  <c r="H52" i="21"/>
  <c r="K59" i="34"/>
  <c r="R49" i="21"/>
  <c r="E48" i="21"/>
  <c r="I52" i="21"/>
  <c r="J52" i="21"/>
  <c r="I53" i="21"/>
  <c r="J53" i="21"/>
  <c r="C59" i="15"/>
  <c r="C68" i="15"/>
  <c r="C69" i="15"/>
  <c r="C72" i="15"/>
  <c r="C40" i="15"/>
  <c r="L52" i="15"/>
  <c r="J38" i="15"/>
  <c r="J39" i="15"/>
  <c r="Q67" i="15"/>
  <c r="Q66" i="15"/>
  <c r="D17" i="59"/>
  <c r="C16" i="59"/>
  <c r="T17" i="59"/>
  <c r="M69" i="39"/>
  <c r="N67" i="39"/>
  <c r="O63" i="57"/>
  <c r="O62" i="57"/>
  <c r="L62" i="40"/>
  <c r="K64" i="40"/>
  <c r="E52" i="21"/>
  <c r="F52" i="21"/>
  <c r="E53" i="21"/>
  <c r="F53" i="21"/>
  <c r="C48" i="21"/>
  <c r="C49" i="21"/>
  <c r="B2" i="21"/>
  <c r="B3" i="21"/>
  <c r="L59" i="34"/>
  <c r="C47" i="15"/>
  <c r="J41" i="15"/>
  <c r="J42" i="15"/>
  <c r="Q54" i="15"/>
  <c r="C43" i="15"/>
  <c r="Q65" i="15"/>
  <c r="Q45" i="15"/>
  <c r="Q51" i="15"/>
  <c r="Q63" i="15"/>
  <c r="D16" i="59"/>
  <c r="C15" i="59"/>
  <c r="N69" i="39"/>
  <c r="O67" i="39"/>
  <c r="O69" i="39"/>
  <c r="D35" i="9"/>
  <c r="D34" i="9"/>
  <c r="L64" i="40"/>
  <c r="M62" i="40"/>
  <c r="M59" i="34"/>
  <c r="N59" i="34"/>
  <c r="O59" i="34"/>
  <c r="H7" i="34"/>
  <c r="L58" i="15"/>
  <c r="L61" i="15"/>
  <c r="D15" i="59"/>
  <c r="C14" i="59"/>
  <c r="H7" i="39"/>
  <c r="J7" i="39"/>
  <c r="F7" i="39"/>
  <c r="Q64" i="15"/>
  <c r="Q73" i="15"/>
  <c r="L47" i="15"/>
  <c r="F7" i="34"/>
  <c r="S7" i="34"/>
  <c r="J7" i="34"/>
  <c r="W7" i="34"/>
  <c r="M64" i="40"/>
  <c r="N62" i="40"/>
  <c r="AB7" i="34"/>
  <c r="T49" i="34"/>
  <c r="G49" i="34"/>
  <c r="U7" i="34"/>
  <c r="Q55" i="15"/>
  <c r="Q60" i="15"/>
  <c r="D55" i="9"/>
  <c r="N53" i="9"/>
  <c r="D56" i="9"/>
  <c r="N54" i="9"/>
  <c r="D59" i="9"/>
  <c r="N55" i="9"/>
  <c r="D14" i="59"/>
  <c r="C13" i="59"/>
  <c r="AA7" i="39"/>
  <c r="R47" i="39"/>
  <c r="S7" i="39"/>
  <c r="AC7" i="39"/>
  <c r="V47" i="39"/>
  <c r="I47" i="39"/>
  <c r="I51" i="39"/>
  <c r="J51" i="39"/>
  <c r="W7" i="39"/>
  <c r="U7" i="39"/>
  <c r="AB7" i="39"/>
  <c r="T47" i="39"/>
  <c r="G47" i="39"/>
  <c r="G51" i="39"/>
  <c r="H51" i="39"/>
  <c r="AA7" i="34"/>
  <c r="R49" i="34"/>
  <c r="E49" i="34"/>
  <c r="B2" i="15"/>
  <c r="B3" i="15"/>
  <c r="AC7" i="34"/>
  <c r="V49" i="34"/>
  <c r="I49" i="34"/>
  <c r="G54" i="34"/>
  <c r="H54" i="34"/>
  <c r="O62" i="40"/>
  <c r="O64" i="40"/>
  <c r="N64" i="40"/>
  <c r="G53" i="34"/>
  <c r="H53" i="34"/>
  <c r="D20" i="9"/>
  <c r="D19" i="9"/>
  <c r="D13" i="59"/>
  <c r="T13" i="59"/>
  <c r="C12" i="59"/>
  <c r="D102" i="9"/>
  <c r="G20" i="9"/>
  <c r="D101" i="9"/>
  <c r="D22" i="9"/>
  <c r="G19" i="9"/>
  <c r="E53" i="34"/>
  <c r="F53" i="34"/>
  <c r="E54" i="34"/>
  <c r="F54" i="34"/>
  <c r="G52" i="39"/>
  <c r="H52" i="39"/>
  <c r="R50" i="34"/>
  <c r="C49" i="34"/>
  <c r="R48" i="39"/>
  <c r="E47" i="39"/>
  <c r="I53" i="34"/>
  <c r="J53" i="34"/>
  <c r="I54" i="34"/>
  <c r="J54" i="34"/>
  <c r="H7" i="40"/>
  <c r="J7" i="40"/>
  <c r="F7" i="40"/>
  <c r="C11" i="59"/>
  <c r="D12" i="59"/>
  <c r="C50" i="34"/>
  <c r="B2" i="34"/>
  <c r="B3" i="34"/>
  <c r="C32" i="9"/>
  <c r="C35" i="9"/>
  <c r="C34" i="9"/>
  <c r="I52" i="39"/>
  <c r="J52" i="39"/>
  <c r="E51" i="39"/>
  <c r="F51" i="39"/>
  <c r="E52" i="39"/>
  <c r="F52" i="39"/>
  <c r="C47" i="39"/>
  <c r="C48" i="39"/>
  <c r="AC7" i="40"/>
  <c r="V42" i="40"/>
  <c r="I42" i="40"/>
  <c r="I46" i="40"/>
  <c r="J46" i="40"/>
  <c r="W7" i="40"/>
  <c r="S7" i="40"/>
  <c r="AA7" i="40"/>
  <c r="R42" i="40"/>
  <c r="R43" i="40"/>
  <c r="AB7" i="40"/>
  <c r="T42" i="40"/>
  <c r="G42" i="40"/>
  <c r="G46" i="40"/>
  <c r="H46" i="40"/>
  <c r="U7" i="40"/>
  <c r="C10" i="59"/>
  <c r="D11" i="59"/>
  <c r="B56" i="39"/>
  <c r="F56" i="39"/>
  <c r="F65" i="39"/>
  <c r="B2" i="39"/>
  <c r="B3" i="39"/>
  <c r="B61" i="39"/>
  <c r="F61" i="39"/>
  <c r="B57" i="39"/>
  <c r="F57" i="39"/>
  <c r="B62" i="39"/>
  <c r="F62" i="39"/>
  <c r="B63" i="39"/>
  <c r="F63" i="39"/>
  <c r="B60" i="39"/>
  <c r="F60" i="39"/>
  <c r="B58" i="39"/>
  <c r="F58" i="39"/>
  <c r="B64" i="39"/>
  <c r="F64" i="39"/>
  <c r="B59" i="39"/>
  <c r="F59" i="39"/>
  <c r="G47" i="40"/>
  <c r="H47" i="40"/>
  <c r="E42" i="40"/>
  <c r="D10" i="59"/>
  <c r="C9" i="59"/>
  <c r="I47" i="40"/>
  <c r="J47" i="40"/>
  <c r="E47" i="40"/>
  <c r="F47" i="40"/>
  <c r="E46" i="40"/>
  <c r="F46" i="40"/>
  <c r="C43" i="40"/>
  <c r="C42" i="40"/>
  <c r="T9" i="59"/>
  <c r="D9" i="59"/>
  <c r="C8" i="59"/>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C7" i="59"/>
  <c r="D8" i="59"/>
  <c r="D8" i="50"/>
  <c r="B22" i="60"/>
  <c r="D16" i="50"/>
  <c r="B30" i="60"/>
  <c r="D7" i="59"/>
  <c r="C6" i="59"/>
  <c r="G121" i="9"/>
  <c r="F121" i="9"/>
  <c r="F122" i="9"/>
  <c r="E121" i="9"/>
  <c r="D121" i="9"/>
  <c r="D122" i="9"/>
  <c r="I121" i="9"/>
  <c r="H121" i="9"/>
  <c r="D106" i="9"/>
  <c r="D112" i="9"/>
  <c r="D6" i="59"/>
  <c r="C5" i="59"/>
  <c r="I102" i="9"/>
  <c r="D14" i="62"/>
  <c r="H122" i="9"/>
  <c r="C103" i="9"/>
  <c r="I103" i="9"/>
  <c r="D107" i="9"/>
  <c r="D113" i="9"/>
  <c r="C104" i="9"/>
  <c r="D117" i="9"/>
  <c r="I115" i="9"/>
  <c r="I111" i="9"/>
  <c r="D126" i="9"/>
  <c r="D5" i="59"/>
  <c r="M20" i="43"/>
  <c r="T5" i="59"/>
  <c r="F14" i="62"/>
  <c r="E14" i="62"/>
  <c r="B5" i="62"/>
  <c r="N48" i="9"/>
  <c r="D45" i="9"/>
  <c r="I110" i="9"/>
  <c r="N49" i="9"/>
  <c r="D125" i="9"/>
  <c r="G14" i="62"/>
  <c r="B6" i="62"/>
  <c r="D5" i="62"/>
  <c r="C5" i="62"/>
  <c r="C64" i="9"/>
  <c r="C63" i="9"/>
  <c r="C67" i="9"/>
  <c r="C68" i="9"/>
  <c r="D54" i="9"/>
  <c r="C72" i="9"/>
  <c r="D53" i="9"/>
  <c r="D48" i="9"/>
  <c r="N52" i="9"/>
  <c r="O57" i="9"/>
  <c r="C78" i="9"/>
  <c r="C73" i="9"/>
  <c r="C93" i="9"/>
  <c r="C86" i="9"/>
  <c r="C85" i="9"/>
  <c r="D52" i="9"/>
  <c r="C95" i="9"/>
  <c r="C79" i="9"/>
  <c r="Q57" i="9"/>
  <c r="O58" i="9"/>
  <c r="D6" i="62"/>
  <c r="C6" i="62"/>
  <c r="M63" i="9"/>
  <c r="N63" i="9"/>
  <c r="M68" i="9"/>
  <c r="N68" i="9"/>
  <c r="M66" i="9"/>
  <c r="N66" i="9"/>
  <c r="M64" i="9"/>
  <c r="N64" i="9"/>
  <c r="M67" i="9"/>
  <c r="N67" i="9"/>
  <c r="O59" i="9"/>
  <c r="M65" i="9"/>
  <c r="N65" i="9"/>
  <c r="N69" i="9"/>
  <c r="O69" i="9"/>
  <c r="O61" i="9"/>
  <c r="O60" i="9"/>
  <c r="C80" i="9"/>
  <c r="E80" i="9"/>
  <c r="E81" i="9"/>
  <c r="C96" i="9"/>
  <c r="E96" i="9"/>
  <c r="E97" i="9"/>
  <c r="C97" i="9"/>
  <c r="D58"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<sst xmlns="http://schemas.openxmlformats.org/spreadsheetml/2006/main" count="6906" uniqueCount="3048">
  <si>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</si>
  <si>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</si>
  <si>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</si>
  <si>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</si>
  <si>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</si>
  <si>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</si>
  <si>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</si>
  <si>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</si>
  <si>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</si>
  <si>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</si>
  <si>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</si>
  <si>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</si>
  <si>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</si>
  <si>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</si>
  <si>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</si>
  <si>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</si>
  <si>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</si>
  <si>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</si>
  <si>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</si>
  <si>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</si>
  <si>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</si>
  <si>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</si>
  <si>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</si>
  <si>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</si>
  <si>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</si>
  <si>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</si>
  <si>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</si>
  <si>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</si>
  <si>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</si>
  <si>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</si>
  <si>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</si>
  <si>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</si>
  <si>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</si>
  <si>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</si>
  <si>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</si>
  <si>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</si>
  <si>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</si>
  <si>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</si>
  <si>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</si>
  <si>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</si>
  <si>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</si>
  <si>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</si>
  <si>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</si>
  <si>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</si>
  <si>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</si>
  <si>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</si>
  <si>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</si>
  <si>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</si>
  <si>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</si>
  <si>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</si>
  <si>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</si>
  <si>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</si>
  <si>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</si>
  <si>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</si>
  <si>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</si>
  <si>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</si>
  <si>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</si>
  <si>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</si>
  <si>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</si>
  <si>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</si>
  <si>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</si>
  <si>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</si>
  <si>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</si>
  <si>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</si>
  <si>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</si>
  <si>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</si>
  <si>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</si>
  <si>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</si>
  <si>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</si>
  <si>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</si>
  <si>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</si>
  <si>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</si>
  <si>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</si>
  <si>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</si>
  <si>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</si>
  <si>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</si>
  <si>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</si>
  <si>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</si>
  <si>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</si>
  <si>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</si>
  <si>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</si>
  <si>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</si>
  <si>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</si>
  <si>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</si>
  <si>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</si>
  <si>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</si>
  <si>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</si>
  <si>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</si>
  <si>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</si>
  <si>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</si>
  <si>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</si>
  <si>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</si>
  <si>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</si>
  <si>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</si>
  <si>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</si>
  <si>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</si>
  <si>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</si>
  <si>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</si>
  <si>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</si>
  <si>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</si>
  <si>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</si>
  <si>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</si>
  <si>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</si>
  <si>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</si>
  <si>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</si>
  <si>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</si>
  <si>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</si>
  <si>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</si>
  <si>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</si>
  <si>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</si>
  <si>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</si>
  <si>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</si>
  <si>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</si>
  <si>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</si>
  <si>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</si>
  <si>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</si>
  <si>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</si>
  <si>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</si>
  <si>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</si>
  <si>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</si>
  <si>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</si>
  <si>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</si>
  <si>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</si>
  <si>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</si>
  <si>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</si>
  <si>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</si>
  <si>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</si>
  <si>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</si>
  <si>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</si>
  <si>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</si>
  <si>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</si>
  <si>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</si>
  <si>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</si>
  <si>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</si>
  <si>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</si>
  <si>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</si>
  <si>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</si>
  <si>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</si>
  <si>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</si>
  <si>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</si>
  <si>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</si>
  <si>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</si>
  <si>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</si>
  <si>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</si>
  <si>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</si>
  <si>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</si>
  <si>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</si>
  <si>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</si>
  <si>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</si>
  <si>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</si>
  <si>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</si>
  <si>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</si>
  <si>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</si>
  <si>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</si>
  <si>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</si>
  <si>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</si>
  <si>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</si>
  <si>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</si>
  <si>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</si>
  <si>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</si>
  <si>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</si>
  <si>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</si>
  <si>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</si>
  <si>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</si>
  <si>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</si>
  <si>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</si>
  <si>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</si>
  <si>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</si>
  <si>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</si>
  <si>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</si>
  <si>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</si>
  <si>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</si>
  <si>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</si>
  <si>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</si>
  <si>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</si>
  <si>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</si>
  <si>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</si>
  <si>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</si>
  <si>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</si>
  <si>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</si>
  <si>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</si>
  <si>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</si>
  <si>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</si>
  <si>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</si>
  <si>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</si>
  <si>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</si>
  <si>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</si>
  <si>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</si>
  <si>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</si>
  <si>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</si>
  <si>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</si>
  <si>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</si>
  <si>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</si>
  <si>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</si>
  <si>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</si>
  <si>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</si>
  <si>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</si>
  <si>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</si>
  <si>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</si>
  <si>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</si>
  <si>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</si>
  <si>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</si>
  <si>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</si>
  <si>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</si>
  <si>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</si>
  <si>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</si>
  <si>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</si>
  <si>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</si>
  <si>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</si>
  <si>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</si>
  <si>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</si>
  <si>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</si>
  <si>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</si>
  <si>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</si>
  <si>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</si>
  <si>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</si>
  <si>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</si>
  <si>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</si>
  <si>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</si>
  <si>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</si>
  <si>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</si>
  <si>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</si>
  <si>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</si>
  <si>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</si>
  <si>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</si>
  <si>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</si>
  <si>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</si>
  <si>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</si>
  <si>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</si>
  <si>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</si>
  <si>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</si>
  <si>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</si>
  <si>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</si>
  <si>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</si>
  <si>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</si>
  <si>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</si>
  <si>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</si>
  <si>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</si>
  <si>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</si>
  <si>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</si>
  <si>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</si>
  <si>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</si>
  <si>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</si>
  <si>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</si>
  <si>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</si>
  <si>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</si>
  <si>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</si>
  <si>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</si>
  <si>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</si>
  <si>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</si>
  <si>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</si>
  <si>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</si>
  <si>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</si>
  <si>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</si>
  <si>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</si>
  <si>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</si>
  <si>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</si>
  <si>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</si>
  <si>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</si>
  <si>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</si>
  <si>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</si>
  <si>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</si>
  <si>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</si>
  <si>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</si>
  <si>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</si>
  <si>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</si>
  <si>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</si>
  <si>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</si>
  <si>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</si>
  <si>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</si>
  <si>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</si>
  <si>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</si>
  <si>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</si>
  <si>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</si>
  <si>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</si>
  <si>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</si>
  <si>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</si>
  <si>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</si>
  <si>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</si>
  <si>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</si>
  <si>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</si>
  <si>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</si>
  <si>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</si>
  <si>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</si>
  <si>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</si>
  <si>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</si>
  <si>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</si>
  <si>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</si>
  <si>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</si>
  <si>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</si>
  <si>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</si>
  <si>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</si>
  <si>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</si>
  <si>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</si>
  <si>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</si>
  <si>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</si>
  <si>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</si>
  <si>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</si>
  <si>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</si>
  <si>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</si>
  <si>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</si>
  <si>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</si>
  <si>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</si>
  <si>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</si>
  <si>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</si>
  <si>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</si>
  <si>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</si>
  <si>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</si>
  <si>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</si>
  <si>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</si>
  <si>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</si>
  <si>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</si>
  <si>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</si>
  <si>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</si>
  <si>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</si>
  <si>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</si>
  <si>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</si>
  <si>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</si>
  <si>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</si>
  <si>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</si>
  <si>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</si>
  <si>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</si>
  <si>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</si>
  <si>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</si>
  <si>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</si>
  <si>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</si>
  <si>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</si>
  <si>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</si>
  <si>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</si>
  <si>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</si>
  <si>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</si>
  <si>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</si>
  <si>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</si>
  <si>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</si>
  <si>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</si>
  <si>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</si>
  <si>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</si>
  <si>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</si>
  <si>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</si>
  <si>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</si>
  <si>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</si>
  <si>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</si>
  <si>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</si>
  <si>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</si>
  <si>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</si>
  <si>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</si>
  <si>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</si>
  <si>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</si>
  <si>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</si>
  <si>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</si>
  <si>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</si>
  <si>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</si>
  <si>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</si>
  <si>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</si>
  <si>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</si>
  <si>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</si>
  <si>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</si>
  <si>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</si>
  <si>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</si>
  <si>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</si>
  <si>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</si>
  <si>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</si>
  <si>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</si>
  <si>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</si>
  <si>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</si>
  <si>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</si>
  <si>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</si>
  <si>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</si>
  <si>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</si>
  <si>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</si>
  <si>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</si>
  <si>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</si>
  <si>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</si>
  <si>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</si>
  <si>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</si>
  <si>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</si>
  <si>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</si>
  <si>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</si>
  <si>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</si>
  <si>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</si>
  <si>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</si>
  <si>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</si>
  <si>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</si>
  <si>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</si>
  <si>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</si>
  <si>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</si>
  <si>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</si>
  <si>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</si>
  <si>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</si>
  <si>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</si>
  <si>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</si>
  <si>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</si>
  <si>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</si>
  <si>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</si>
  <si>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</si>
  <si>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</si>
  <si>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</si>
  <si>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</si>
  <si>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</si>
  <si>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</si>
  <si>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</si>
  <si>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</si>
  <si>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</si>
  <si>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</si>
  <si>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</si>
  <si>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</si>
  <si>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</si>
  <si>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</si>
  <si>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</si>
  <si>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</si>
  <si>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</si>
  <si>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</si>
  <si>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</si>
  <si>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</si>
  <si>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</si>
  <si>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</si>
  <si>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</si>
  <si>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</si>
  <si>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</si>
  <si>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</si>
  <si>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</si>
  <si>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</si>
  <si>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</si>
  <si>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</si>
  <si>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</si>
  <si>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</si>
  <si>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</si>
  <si>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</si>
  <si>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</si>
  <si>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</si>
  <si>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</si>
  <si>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</si>
  <si>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</si>
  <si>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</si>
  <si>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</si>
  <si>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</si>
  <si>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</si>
  <si>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</si>
  <si>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</si>
  <si>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</si>
  <si>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</si>
  <si>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</si>
  <si>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</si>
  <si>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</si>
  <si>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</si>
  <si>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</si>
  <si>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</si>
  <si>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</si>
  <si>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</si>
  <si>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</si>
  <si>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</si>
  <si>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</si>
  <si>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</si>
  <si>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</si>
  <si>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</si>
  <si>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</si>
  <si>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</si>
  <si>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</si>
  <si>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</si>
  <si>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</si>
  <si>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</si>
  <si>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</si>
  <si>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</si>
  <si>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</si>
  <si>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</si>
  <si>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</si>
  <si>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</si>
  <si>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</si>
  <si>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</si>
  <si>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</si>
  <si>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</si>
  <si>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</si>
  <si>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</si>
  <si>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</si>
  <si>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</si>
  <si>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</si>
  <si>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</si>
  <si>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</si>
  <si>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</si>
  <si>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</si>
  <si>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</si>
  <si>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</si>
  <si>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</si>
  <si>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</si>
  <si>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</si>
  <si>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</si>
  <si>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</si>
  <si>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</si>
  <si>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</si>
  <si>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</si>
  <si>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</si>
  <si>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</si>
  <si>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</si>
  <si>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</si>
  <si>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</si>
  <si>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</si>
  <si>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</si>
  <si>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</si>
  <si>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</si>
  <si>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</si>
  <si>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</si>
  <si>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</si>
  <si>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</si>
  <si>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</si>
  <si>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</si>
  <si>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</si>
  <si>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</si>
  <si>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</si>
  <si>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</si>
  <si>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</si>
  <si>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</si>
  <si>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</si>
  <si>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</si>
  <si>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</si>
  <si>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</si>
  <si>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</si>
  <si>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</si>
  <si>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</si>
  <si>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</si>
  <si>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</si>
  <si>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</si>
  <si>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</si>
  <si>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</si>
  <si>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</si>
  <si>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</si>
  <si>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</si>
  <si>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</si>
  <si>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</si>
  <si>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</si>
  <si>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</si>
  <si>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</si>
  <si>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</si>
  <si>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</si>
  <si>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</si>
  <si>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</si>
  <si>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</si>
  <si>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</si>
  <si>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</si>
  <si>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</si>
  <si>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</si>
  <si>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</si>
  <si>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</si>
  <si>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</si>
  <si>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</si>
  <si>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</si>
  <si>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</si>
  <si>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</si>
  <si>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</si>
  <si>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</si>
  <si>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</si>
  <si>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</si>
  <si>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</si>
  <si>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</si>
  <si>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</si>
  <si>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</si>
  <si>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</si>
  <si>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</si>
  <si>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</si>
  <si>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</si>
  <si>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</si>
  <si>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</si>
  <si>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</si>
  <si>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</si>
  <si>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</si>
  <si>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</si>
  <si>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</si>
  <si>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</si>
  <si>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</si>
  <si>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</si>
  <si>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</si>
  <si>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</si>
  <si>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</si>
  <si>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</si>
  <si>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</si>
  <si>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</si>
  <si>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</si>
  <si>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</si>
  <si>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</si>
  <si>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</si>
  <si>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</si>
  <si>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</si>
  <si>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</si>
  <si>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</si>
  <si>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</si>
  <si>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</si>
  <si>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</si>
  <si>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</si>
  <si>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</si>
  <si>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</si>
  <si>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</si>
  <si>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</si>
  <si>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</si>
  <si>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</si>
  <si>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</si>
  <si>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</si>
  <si>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</si>
  <si>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</si>
  <si>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</si>
  <si>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</si>
  <si>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</si>
  <si>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</si>
  <si>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</si>
  <si>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</si>
  <si>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</si>
  <si>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</si>
  <si>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</si>
  <si>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</si>
  <si>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</si>
  <si>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</si>
  <si>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</si>
  <si>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</si>
  <si>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</si>
  <si>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</si>
  <si>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</si>
  <si>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</si>
  <si>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</si>
  <si>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</si>
  <si>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</si>
  <si>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</si>
  <si>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</si>
  <si>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</si>
  <si>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</si>
  <si>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</si>
  <si>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</si>
  <si>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</si>
  <si>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</si>
  <si>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</si>
  <si>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</si>
  <si>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</si>
  <si>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</si>
  <si>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</si>
  <si>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</si>
  <si>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</si>
  <si>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</si>
  <si>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</si>
  <si>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</si>
  <si>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</si>
  <si>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</si>
  <si>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</si>
  <si>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</si>
  <si>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</si>
  <si>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</si>
  <si>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</si>
  <si>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</si>
  <si>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</si>
  <si>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</si>
  <si>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</si>
  <si>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</si>
  <si>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</si>
  <si>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</si>
  <si>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</si>
  <si>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</si>
  <si>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</si>
  <si>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</si>
  <si>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</si>
  <si>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</si>
  <si>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</si>
  <si>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</si>
  <si>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</si>
  <si>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</si>
  <si>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</si>
  <si>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</si>
  <si>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</si>
  <si>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</si>
  <si>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</si>
  <si>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</si>
  <si>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</si>
  <si>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</si>
  <si>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</si>
  <si>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</si>
  <si>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</si>
  <si>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</si>
  <si>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</si>
  <si>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</si>
  <si>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</si>
  <si>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</si>
  <si>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</si>
  <si>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</si>
  <si>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</si>
  <si>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</si>
  <si>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</si>
  <si>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</si>
  <si>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</si>
  <si>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</si>
  <si>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</si>
  <si>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</si>
  <si>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</si>
  <si>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</si>
  <si>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</si>
  <si>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</si>
  <si>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</si>
  <si>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</si>
  <si>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</si>
  <si>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</si>
  <si>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</si>
  <si>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</si>
  <si>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</si>
  <si>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</si>
  <si>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</si>
  <si>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</si>
  <si>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</si>
  <si>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</si>
  <si>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</si>
  <si>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</si>
  <si>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</si>
  <si>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</si>
  <si>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</si>
  <si>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</si>
  <si>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</si>
  <si>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</si>
  <si>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</si>
  <si>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</si>
  <si>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</si>
  <si>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</si>
  <si>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</si>
  <si>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</si>
  <si>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</si>
  <si>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</si>
  <si>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</si>
  <si>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</si>
  <si>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</si>
  <si>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</si>
  <si>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</si>
  <si>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</si>
  <si>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</si>
  <si>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</si>
  <si>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</si>
  <si>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</si>
  <si>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</si>
  <si>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</si>
  <si>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</si>
  <si>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</si>
  <si>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</si>
  <si>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</si>
  <si>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</si>
  <si>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</si>
  <si>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</si>
  <si>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</si>
  <si>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</si>
  <si>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</si>
  <si>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</si>
  <si>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</si>
  <si>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</si>
  <si>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</si>
  <si>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</si>
  <si>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</si>
  <si>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</si>
  <si>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</si>
  <si>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</si>
  <si>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</si>
  <si>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</si>
  <si>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</si>
  <si>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</si>
  <si>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</si>
  <si>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</si>
  <si>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</si>
  <si>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</si>
  <si>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</si>
  <si>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</si>
  <si>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</si>
  <si>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</si>
  <si>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</si>
  <si>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</si>
  <si>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</si>
  <si>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</si>
  <si>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</si>
  <si>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</si>
  <si>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</si>
  <si>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</si>
  <si>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</si>
  <si>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</si>
  <si>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</si>
  <si>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</si>
  <si>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</si>
  <si>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</si>
  <si>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</si>
  <si>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</si>
  <si>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</si>
  <si>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</si>
  <si>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</si>
  <si>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</si>
  <si>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</si>
  <si>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</si>
  <si>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</si>
  <si>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</si>
  <si>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</si>
  <si>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</si>
  <si>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</si>
  <si>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</si>
  <si>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</si>
  <si>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</si>
  <si>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</si>
  <si>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</si>
  <si>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</si>
  <si>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</si>
  <si>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</si>
  <si>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</si>
  <si>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</si>
  <si>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</si>
  <si>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</si>
  <si>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</si>
  <si>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</si>
  <si>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</si>
  <si>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</si>
  <si>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</si>
  <si>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</si>
  <si>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</si>
  <si>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</si>
  <si>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</si>
  <si>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</si>
  <si>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</si>
  <si>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</si>
  <si>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</si>
  <si>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</si>
  <si>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</si>
  <si>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</si>
  <si>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</si>
  <si>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</si>
  <si>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</si>
  <si>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</si>
  <si>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</si>
  <si>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</si>
  <si>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</si>
  <si>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</si>
  <si>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</si>
  <si>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</si>
  <si>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</si>
  <si>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</si>
  <si>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</si>
  <si>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</si>
  <si>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</si>
  <si>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</si>
  <si>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</si>
  <si>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</si>
  <si>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</si>
  <si>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</si>
  <si>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</si>
  <si>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</si>
  <si>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</si>
  <si>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</si>
  <si>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</si>
  <si>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</si>
  <si>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</si>
  <si>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</si>
  <si>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</si>
  <si>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</si>
  <si>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</si>
  <si>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</si>
  <si>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</si>
  <si>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</si>
  <si>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</si>
  <si>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</si>
  <si>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</si>
  <si>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</si>
  <si>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</si>
  <si>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</si>
  <si>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</si>
  <si>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</si>
  <si>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</si>
  <si>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</si>
  <si>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</si>
  <si>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</si>
  <si>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</si>
  <si>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</si>
  <si>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</si>
  <si>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</si>
  <si>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</si>
  <si>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</si>
  <si>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</si>
  <si>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</si>
  <si>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</si>
  <si>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</si>
  <si>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</si>
  <si>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</si>
  <si>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</si>
  <si>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</si>
  <si>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</si>
  <si>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</si>
  <si>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</si>
  <si>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</si>
  <si>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</si>
  <si>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</si>
  <si>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</si>
  <si>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</si>
  <si>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</si>
  <si>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</si>
  <si>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</si>
  <si>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</si>
  <si>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</si>
  <si>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</si>
  <si>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</si>
  <si>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</si>
  <si>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</si>
  <si>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</si>
  <si>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</si>
  <si>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</si>
  <si>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</si>
  <si>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</si>
  <si>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</si>
  <si>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</si>
  <si>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</si>
  <si>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</si>
  <si>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</si>
  <si>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</si>
  <si>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</si>
  <si>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</si>
  <si>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</si>
  <si>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</si>
  <si>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</si>
  <si>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</si>
  <si>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</si>
  <si>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</si>
  <si>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</si>
  <si>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</si>
  <si>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</si>
  <si>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</si>
  <si>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</si>
  <si>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</si>
  <si>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</si>
  <si>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</si>
  <si>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</si>
  <si>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</si>
  <si>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</si>
  <si>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</si>
  <si>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</si>
  <si>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</si>
  <si>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</si>
  <si>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</si>
  <si>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</si>
  <si>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</si>
  <si>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</si>
  <si>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</si>
  <si>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</si>
  <si>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</si>
  <si>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</si>
  <si>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</si>
  <si>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</si>
  <si>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</si>
  <si>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</si>
  <si>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</si>
  <si>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</si>
  <si>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</si>
  <si>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</si>
  <si>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</si>
  <si>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</si>
  <si>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</si>
  <si>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</si>
  <si>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</si>
  <si>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</si>
  <si>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</si>
  <si>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</si>
  <si>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</si>
  <si>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</si>
  <si>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</si>
  <si>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</si>
  <si>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</si>
  <si>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</si>
  <si>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</si>
  <si>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</si>
  <si>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</si>
  <si>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</si>
  <si>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</si>
  <si>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</si>
  <si>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</si>
  <si>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</si>
  <si>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</si>
  <si>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</si>
  <si>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</si>
  <si>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</si>
  <si>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</si>
  <si>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</si>
  <si>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</si>
  <si>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</si>
  <si>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</si>
  <si>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</si>
  <si>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</si>
  <si>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</si>
  <si>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</si>
  <si>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</si>
  <si>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</si>
  <si>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</si>
  <si>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</si>
  <si>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</si>
  <si>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</si>
  <si>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</si>
  <si>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</si>
  <si>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</si>
  <si>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</si>
  <si>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</si>
  <si>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</si>
  <si>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</si>
  <si>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</si>
  <si>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</si>
  <si>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</si>
  <si>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</si>
  <si>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</si>
  <si>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</si>
  <si>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</si>
  <si>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</si>
  <si>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</si>
  <si>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</si>
  <si>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</si>
  <si>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</si>
  <si>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</si>
  <si>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</si>
  <si>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</si>
  <si>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</si>
  <si>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</si>
  <si>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</si>
  <si>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</si>
  <si>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</si>
  <si>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</si>
  <si>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</si>
  <si>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</si>
  <si>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</si>
  <si>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</si>
  <si>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</si>
  <si>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</si>
  <si>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</si>
  <si>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</si>
  <si>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</si>
  <si>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</si>
  <si>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</si>
  <si>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</si>
  <si>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</si>
  <si>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</si>
  <si>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</si>
  <si>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</si>
  <si>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</si>
  <si>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</si>
  <si>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</si>
  <si>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</si>
  <si>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</si>
  <si>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</si>
  <si>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</si>
  <si>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</si>
  <si>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</si>
  <si>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</si>
  <si>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</si>
  <si>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</si>
  <si>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</si>
  <si>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</si>
  <si>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</si>
  <si>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</si>
  <si>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</si>
  <si>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</si>
  <si>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</si>
  <si>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</si>
  <si>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</si>
  <si>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</si>
  <si>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</si>
  <si>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</si>
  <si>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</si>
  <si>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</si>
  <si>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</si>
  <si>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</si>
  <si>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</si>
  <si>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</si>
  <si>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</si>
  <si>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</si>
  <si>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</si>
  <si>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</si>
  <si>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</si>
  <si>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</si>
  <si>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</si>
  <si>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</si>
  <si>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</si>
  <si>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</si>
  <si>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</si>
  <si>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</si>
  <si>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</si>
  <si>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</si>
  <si>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</si>
  <si>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</si>
  <si>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</si>
  <si>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</si>
  <si>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</si>
  <si>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</si>
  <si>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</si>
  <si>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</si>
  <si>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</si>
  <si>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</si>
  <si>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</si>
  <si>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</si>
  <si>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</si>
  <si>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</si>
  <si>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</si>
  <si>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</si>
  <si>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</si>
  <si>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</si>
  <si>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</si>
  <si>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</si>
  <si>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</si>
  <si>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</si>
  <si>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</si>
  <si>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</si>
  <si>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</si>
  <si>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</si>
  <si>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</si>
  <si>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</si>
  <si>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</si>
  <si>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</si>
  <si>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</si>
  <si>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</si>
  <si>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</si>
  <si>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</si>
  <si>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</si>
  <si>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</si>
  <si>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</si>
  <si>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</si>
  <si>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</si>
  <si>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</si>
  <si>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</si>
  <si>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</si>
  <si>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</si>
  <si>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</si>
  <si>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</si>
  <si>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</si>
  <si>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</si>
  <si>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</si>
  <si>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</si>
  <si>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</si>
  <si>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</si>
  <si>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</si>
  <si>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</si>
  <si>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</si>
  <si>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</si>
  <si>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</si>
  <si>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</si>
  <si>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</si>
  <si>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</si>
  <si>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</si>
  <si>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</si>
  <si>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</si>
  <si>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</si>
  <si>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</si>
  <si>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</si>
  <si>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</si>
  <si>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</si>
  <si>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</si>
  <si>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</si>
  <si>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</si>
  <si>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</si>
  <si>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</si>
  <si>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</si>
  <si>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</si>
  <si>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</si>
  <si>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</si>
  <si>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</si>
  <si>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</si>
  <si>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</si>
  <si>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</si>
  <si>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</si>
  <si>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</si>
  <si>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</si>
  <si>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</si>
  <si>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</si>
  <si>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</si>
  <si>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</si>
  <si>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</si>
  <si>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</si>
  <si>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</si>
  <si>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</si>
  <si>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</si>
  <si>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</si>
  <si>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</si>
  <si>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</si>
  <si>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</si>
  <si>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</si>
  <si>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</si>
  <si>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</si>
  <si>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</si>
  <si>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</si>
  <si>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</si>
  <si>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</si>
  <si>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</si>
  <si>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</si>
  <si>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</si>
  <si>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</si>
  <si>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</si>
  <si>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</si>
  <si>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</si>
  <si>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</si>
  <si>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</si>
  <si>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</si>
  <si>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</si>
  <si>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</si>
  <si>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</si>
  <si>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</si>
  <si>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</si>
  <si>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</si>
  <si>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</si>
  <si>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</si>
  <si>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</si>
  <si>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</si>
  <si>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</si>
  <si>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</si>
  <si>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</si>
  <si>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</si>
  <si>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</si>
  <si>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</si>
  <si>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</si>
  <si>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</si>
  <si>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</si>
  <si>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</si>
  <si>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</si>
  <si>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</si>
  <si>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</si>
  <si>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</si>
  <si>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</si>
  <si>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</si>
  <si>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</si>
  <si>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</si>
  <si>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</si>
  <si>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</si>
  <si>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</si>
  <si>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</si>
  <si>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</si>
  <si>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</si>
  <si>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</si>
  <si>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</si>
  <si>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</si>
  <si>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</si>
  <si>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</si>
  <si>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</si>
  <si>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</si>
  <si>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</si>
  <si>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</si>
  <si>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</si>
  <si>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</si>
  <si>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</si>
  <si>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</si>
  <si>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</si>
  <si>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</si>
  <si>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</si>
  <si>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</si>
  <si>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</si>
  <si>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</si>
  <si>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</si>
  <si>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</si>
  <si>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</si>
  <si>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</si>
  <si>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</si>
  <si>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</si>
  <si>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</si>
  <si>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</si>
  <si>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</si>
  <si>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</si>
  <si>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</si>
  <si>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</si>
  <si>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</si>
  <si>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</si>
  <si>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</si>
  <si>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</si>
  <si>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</si>
  <si>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</si>
  <si>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</si>
  <si>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</si>
  <si>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</si>
  <si>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</si>
  <si>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</si>
  <si>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</si>
  <si>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</si>
  <si>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</si>
  <si>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</si>
  <si>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</si>
  <si>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</si>
  <si>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</si>
  <si>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</si>
  <si>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</si>
  <si>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</si>
  <si>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</si>
  <si>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</si>
  <si>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</si>
  <si>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</si>
  <si>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</si>
  <si>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</si>
  <si>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</si>
  <si>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</si>
  <si>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</si>
  <si>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</si>
  <si>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</si>
  <si>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</si>
  <si>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</si>
  <si>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</si>
  <si>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</si>
  <si>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</si>
  <si>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</si>
  <si>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</si>
  <si>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</si>
  <si>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</si>
  <si>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</si>
  <si>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</si>
  <si>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</si>
  <si>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</si>
  <si>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</si>
  <si>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</si>
  <si>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</si>
  <si>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</si>
  <si>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</si>
  <si>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</si>
  <si>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</si>
  <si>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</si>
  <si>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</si>
  <si>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</si>
  <si>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</si>
  <si>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</si>
  <si>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</si>
  <si>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</si>
  <si>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</si>
  <si>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</si>
  <si>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</si>
  <si>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</si>
  <si>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</si>
  <si>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</si>
  <si>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</si>
  <si>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</si>
  <si>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</si>
  <si>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</si>
  <si>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</si>
  <si>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</si>
  <si>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</si>
  <si>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</si>
  <si>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</si>
  <si>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</si>
  <si>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</si>
  <si>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</si>
  <si>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</si>
  <si>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</si>
  <si>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</si>
  <si>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</si>
  <si>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</si>
  <si>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</si>
  <si>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</si>
  <si>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</si>
  <si>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</si>
  <si>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</si>
  <si>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</si>
  <si>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</si>
  <si>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</si>
  <si>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</si>
  <si>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</si>
  <si>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</si>
  <si>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</si>
  <si>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</si>
  <si>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</si>
  <si>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</si>
  <si>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</si>
  <si>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</si>
  <si>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</si>
  <si>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</si>
  <si>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</si>
  <si>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</si>
  <si>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</si>
  <si>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</si>
  <si>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</si>
  <si>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</si>
  <si>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</si>
  <si>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</si>
  <si>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</si>
  <si>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</si>
  <si>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</si>
  <si>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</si>
  <si>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</si>
  <si>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</si>
  <si>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</si>
  <si>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</si>
  <si>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</si>
  <si>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</si>
  <si>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</si>
  <si>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</si>
  <si>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</si>
  <si>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</si>
  <si>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</si>
  <si>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</si>
  <si>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</si>
  <si>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</si>
  <si>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</si>
  <si>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</si>
  <si>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</si>
  <si>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</si>
  <si>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</si>
  <si>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</si>
  <si>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</si>
  <si>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</si>
  <si>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</si>
  <si>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</si>
  <si>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</si>
  <si>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</si>
  <si>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</si>
  <si>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</si>
  <si>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</si>
  <si>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</si>
  <si>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</si>
  <si>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</si>
  <si>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</si>
  <si>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</si>
  <si>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</si>
  <si>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</si>
  <si>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</si>
  <si>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</si>
  <si>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</si>
  <si>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</si>
  <si>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</si>
  <si>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</si>
  <si>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</si>
  <si>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</si>
  <si>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</si>
  <si>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</si>
  <si>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</si>
  <si>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</si>
  <si>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</si>
  <si>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</si>
  <si>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</si>
  <si>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</si>
  <si>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</si>
  <si>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</si>
  <si>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</si>
  <si>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</si>
  <si>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</si>
  <si>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</si>
  <si>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</si>
  <si>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</si>
  <si>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</si>
  <si>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</si>
  <si>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</si>
  <si>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</si>
  <si>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</si>
  <si>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</si>
  <si>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</si>
  <si>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</si>
  <si>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</si>
  <si>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</si>
  <si>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</si>
  <si>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</si>
  <si>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</si>
  <si>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</si>
  <si>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</si>
  <si>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</si>
  <si>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</si>
  <si>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</si>
  <si>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</si>
  <si>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</si>
  <si>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</si>
  <si>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</si>
  <si>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</si>
  <si>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</si>
  <si>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</si>
  <si>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</si>
  <si>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</si>
  <si>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</si>
  <si>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</si>
  <si>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</si>
  <si>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</si>
  <si>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</si>
  <si>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</si>
  <si>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</si>
  <si>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</si>
  <si>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</si>
  <si>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</si>
  <si>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</si>
  <si>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</si>
  <si>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</si>
  <si>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</si>
  <si>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</si>
  <si>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</si>
  <si>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</si>
  <si>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</si>
  <si>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</si>
  <si>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</si>
  <si>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</si>
  <si>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</si>
  <si>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</si>
  <si>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</si>
  <si>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</si>
  <si>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</si>
  <si>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</si>
  <si>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</si>
  <si>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</si>
  <si>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</si>
  <si>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</si>
  <si>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</si>
  <si>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</si>
  <si>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</si>
  <si>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</si>
  <si>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</si>
  <si>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</si>
  <si>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</si>
  <si>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</si>
  <si>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</si>
  <si>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</si>
  <si>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</si>
  <si>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</si>
  <si>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</si>
  <si>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</si>
  <si>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</si>
  <si>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</si>
  <si>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</si>
  <si>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</si>
  <si>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</si>
  <si>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</si>
  <si>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</si>
  <si>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</si>
  <si>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</si>
  <si>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</si>
  <si>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</si>
  <si>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</si>
  <si>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</si>
  <si>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</si>
  <si>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</si>
  <si>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</si>
  <si>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</si>
  <si>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</si>
  <si>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</si>
  <si>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</si>
  <si>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</si>
  <si>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</si>
  <si>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</si>
  <si>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</si>
  <si>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</si>
  <si>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</si>
  <si>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</si>
  <si>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</si>
  <si>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</si>
  <si>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</si>
  <si>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</si>
  <si>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</si>
  <si>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</si>
  <si>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</si>
  <si>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</si>
  <si>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</si>
  <si>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</si>
  <si>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</si>
  <si>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</si>
  <si>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</si>
  <si>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</si>
  <si>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</si>
  <si>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</si>
  <si>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</si>
  <si>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</si>
  <si>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</si>
  <si>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</si>
  <si>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</si>
  <si>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</si>
  <si>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</si>
  <si>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</si>
  <si>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</si>
  <si>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</si>
  <si>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</si>
  <si>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</si>
  <si>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</si>
  <si>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</si>
  <si>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</si>
  <si>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</si>
  <si>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</si>
  <si>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</si>
  <si>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</si>
  <si>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</si>
  <si>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</si>
  <si>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</si>
  <si>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</si>
  <si>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</si>
  <si>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</si>
  <si>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</si>
  <si>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</si>
  <si>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</si>
  <si>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</si>
  <si>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</si>
  <si>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</si>
  <si>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</si>
  <si>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</si>
  <si>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</si>
  <si>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</si>
  <si>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</si>
  <si>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</si>
  <si>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</si>
  <si>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</si>
  <si>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</si>
  <si>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</si>
  <si>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</si>
  <si>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</si>
  <si>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</si>
  <si>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</si>
  <si>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</si>
  <si>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</si>
  <si>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</si>
  <si>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</si>
  <si>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</si>
  <si>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</si>
  <si>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</si>
  <si>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</si>
  <si>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</si>
  <si>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</si>
  <si>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</si>
  <si>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</si>
  <si>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</si>
  <si>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</si>
  <si>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</si>
  <si>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</si>
  <si>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</si>
  <si>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</si>
  <si>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</si>
  <si>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</si>
  <si>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</si>
  <si>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</si>
  <si>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</si>
  <si>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</si>
  <si>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</si>
  <si>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</si>
  <si>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</si>
  <si>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</si>
  <si>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</si>
  <si>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</si>
  <si>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</si>
  <si>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</si>
  <si>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</si>
  <si>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</si>
  <si>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</si>
  <si>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</si>
  <si>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</si>
  <si>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</si>
  <si>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</si>
  <si>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</si>
  <si>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</si>
  <si>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</si>
  <si>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</si>
  <si>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</si>
  <si>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</si>
  <si>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</si>
  <si>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</si>
  <si>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</si>
  <si>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</si>
  <si>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</si>
  <si>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</si>
  <si>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</si>
  <si>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</si>
  <si>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</si>
  <si>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</si>
  <si>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</si>
  <si>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</si>
  <si>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</si>
  <si>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</si>
  <si>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</si>
  <si>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</si>
  <si>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</si>
  <si>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</si>
  <si>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</si>
  <si>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</si>
  <si>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</si>
  <si>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</si>
  <si>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</si>
  <si>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</si>
  <si>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</si>
  <si>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</si>
  <si>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</si>
  <si>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</si>
  <si>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</si>
  <si>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</si>
  <si>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</si>
  <si>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</si>
  <si>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</si>
  <si>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</si>
  <si>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</si>
  <si>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</si>
  <si>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</si>
  <si>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</si>
  <si>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</si>
  <si>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</si>
  <si>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</si>
  <si>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</si>
  <si>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</si>
  <si>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</si>
  <si>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</si>
  <si>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</si>
  <si>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</si>
  <si>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</si>
  <si>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</si>
  <si>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</si>
  <si>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</si>
  <si>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</si>
  <si>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</si>
  <si>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</si>
  <si>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</si>
  <si>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</si>
  <si>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</si>
  <si>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</si>
  <si>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</si>
  <si>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</si>
  <si>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</si>
  <si>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</si>
  <si>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</si>
  <si>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</si>
  <si>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</si>
  <si>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</si>
  <si>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</si>
  <si>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</si>
  <si>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</si>
  <si>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</si>
  <si>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</si>
  <si>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</si>
  <si>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</si>
  <si>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</si>
  <si>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</si>
  <si>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</si>
  <si>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</si>
  <si>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</si>
  <si>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</si>
  <si>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</si>
  <si>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</si>
  <si>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</si>
  <si>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</si>
  <si>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</si>
  <si>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</si>
  <si>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</si>
  <si>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</si>
  <si>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</si>
  <si>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</si>
  <si>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</si>
  <si>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</si>
  <si>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</si>
  <si>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</si>
  <si>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</si>
  <si>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</si>
  <si>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</si>
  <si>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</si>
  <si>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</si>
  <si>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</si>
  <si>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</si>
  <si>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</si>
  <si>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</si>
  <si>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</si>
  <si>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</si>
  <si>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</si>
  <si>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</si>
  <si>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</si>
  <si>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</si>
  <si>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</si>
  <si>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</si>
  <si>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</si>
  <si>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</si>
  <si>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</si>
  <si>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</si>
  <si>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</si>
  <si>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</si>
  <si>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</si>
  <si>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</si>
  <si>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</si>
  <si>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</si>
  <si>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</si>
  <si>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</si>
  <si>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</si>
  <si>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</si>
  <si>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</si>
  <si>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</si>
  <si>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</si>
  <si>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</si>
  <si>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</si>
  <si>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</si>
  <si>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</si>
  <si>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</si>
  <si>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</si>
  <si>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</si>
  <si>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</si>
  <si>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</si>
  <si>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</si>
  <si>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</si>
  <si>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</si>
  <si>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</si>
  <si>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</si>
  <si>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</si>
  <si>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</si>
  <si>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</si>
  <si>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</si>
  <si>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</si>
  <si>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</si>
  <si>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</si>
  <si>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</si>
  <si>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</si>
  <si>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</si>
  <si>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</si>
  <si>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</si>
  <si>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</si>
  <si>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</si>
  <si>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</si>
  <si>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</si>
  <si>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</si>
  <si>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</si>
  <si>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</si>
  <si>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</si>
  <si>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</si>
  <si>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</si>
  <si>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</si>
  <si>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</si>
  <si>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</si>
  <si>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</si>
  <si>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</si>
  <si>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</si>
  <si>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</si>
  <si>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</si>
  <si>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</si>
  <si>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</si>
  <si>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</si>
  <si>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</si>
  <si>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</si>
  <si>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</si>
  <si>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</si>
  <si>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</si>
  <si>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</si>
  <si>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</si>
  <si>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</si>
  <si>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</si>
  <si>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</si>
  <si>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</si>
  <si>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</si>
  <si>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</si>
  <si>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</si>
  <si>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</si>
  <si>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</si>
  <si>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</si>
  <si>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</si>
  <si>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</si>
  <si>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</si>
  <si>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</si>
  <si>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</si>
  <si>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</si>
  <si>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</si>
  <si>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</si>
  <si>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</si>
  <si>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</si>
  <si>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</si>
  <si>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</si>
  <si>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</si>
  <si>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</si>
  <si>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</si>
  <si>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</si>
  <si>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</si>
  <si>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</si>
  <si>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</si>
  <si>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</si>
  <si>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</si>
  <si>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</si>
  <si>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</si>
  <si>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</si>
  <si>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</si>
  <si>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</si>
  <si>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</si>
  <si>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</si>
  <si>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</si>
  <si>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</si>
  <si>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</si>
  <si>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</si>
  <si>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</si>
  <si>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</si>
  <si>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</si>
  <si>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</si>
  <si>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</si>
  <si>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</si>
  <si>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</si>
  <si>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</si>
  <si>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</si>
  <si>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</si>
  <si>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</si>
  <si>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</si>
  <si>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</si>
  <si>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</si>
  <si>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</si>
  <si>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</si>
  <si>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</si>
  <si>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</si>
  <si>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</si>
  <si>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</si>
  <si>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</si>
  <si>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</si>
  <si>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</si>
  <si>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</si>
  <si>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</si>
  <si>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</si>
  <si>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</si>
  <si>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</si>
  <si>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</si>
  <si>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</si>
  <si>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</si>
  <si>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</si>
  <si>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</si>
  <si>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</si>
  <si>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</si>
  <si>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</si>
  <si>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</si>
  <si>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</si>
  <si>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</si>
  <si>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</si>
  <si>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</si>
  <si>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</si>
  <si>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</si>
  <si>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</si>
  <si>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</si>
  <si>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</si>
  <si>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</si>
  <si>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</si>
  <si>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</si>
  <si>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</si>
  <si>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</si>
  <si>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</si>
  <si>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</si>
  <si>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</si>
  <si>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</si>
  <si>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</si>
  <si>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</si>
  <si>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</si>
  <si>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</si>
  <si>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</si>
  <si>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</si>
  <si>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</si>
  <si>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</si>
  <si>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</si>
  <si>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</si>
  <si>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</si>
  <si>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</si>
  <si>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</si>
  <si>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</si>
  <si>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</si>
  <si>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</si>
  <si>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</si>
  <si>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</si>
  <si>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</si>
  <si>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</si>
  <si>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</si>
  <si>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</si>
  <si>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</si>
  <si>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</si>
  <si>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</si>
  <si>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</si>
  <si>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</si>
  <si>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</si>
  <si>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</si>
  <si>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</si>
  <si>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</si>
  <si>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</si>
  <si>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</si>
  <si>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</si>
  <si>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</si>
  <si>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</si>
  <si>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</si>
  <si>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</si>
  <si>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</si>
  <si>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</si>
  <si>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</si>
  <si>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</si>
  <si>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</si>
  <si>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</si>
  <si>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</si>
  <si>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</si>
  <si>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</si>
  <si>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</si>
  <si>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</si>
  <si>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</si>
  <si>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</si>
  <si>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</si>
  <si>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</si>
  <si>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</si>
  <si>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</si>
  <si>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</si>
  <si>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</si>
  <si>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</si>
  <si>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</si>
  <si>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</si>
  <si>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</si>
  <si>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</si>
  <si>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</si>
  <si>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</si>
  <si>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</si>
  <si>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</si>
  <si>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</si>
  <si>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</si>
  <si>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</si>
  <si>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</si>
  <si>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</si>
  <si>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</si>
  <si>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</si>
  <si>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</si>
  <si>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</si>
  <si>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</si>
  <si>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</si>
  <si>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</si>
  <si>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</si>
  <si>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</si>
  <si>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</si>
  <si>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</si>
  <si>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</si>
  <si>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</si>
  <si>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</si>
  <si>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</si>
  <si>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</si>
  <si>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</si>
  <si>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</si>
  <si>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</si>
  <si>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</si>
  <si>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</si>
  <si>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</si>
  <si>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</si>
  <si>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</si>
  <si>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</si>
  <si>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</si>
  <si>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</si>
  <si>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</si>
  <si>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</si>
  <si>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</si>
  <si>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</si>
  <si>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</si>
  <si>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</si>
  <si>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</si>
  <si>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</si>
  <si>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</si>
  <si>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</si>
  <si>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</si>
  <si>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</si>
  <si>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</si>
  <si>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</si>
  <si>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</si>
  <si>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</si>
  <si>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</si>
  <si>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</si>
  <si>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</si>
  <si>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</si>
  <si>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</si>
  <si>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</si>
  <si>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</si>
  <si>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</si>
  <si>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</si>
  <si>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</si>
  <si>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</si>
  <si>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</si>
  <si>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</si>
  <si>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</si>
  <si>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</si>
  <si>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</si>
  <si>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</si>
  <si>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</si>
  <si>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</si>
  <si>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</si>
  <si>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</si>
  <si>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</si>
  <si>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</si>
  <si>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</si>
  <si>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</si>
  <si>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</si>
  <si>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</si>
  <si>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</si>
  <si>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</si>
  <si>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</si>
  <si>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</si>
  <si>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</si>
  <si>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</si>
  <si>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</si>
  <si>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</si>
  <si>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</si>
  <si>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</si>
  <si>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</si>
  <si>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</si>
  <si>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</si>
  <si>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</si>
  <si>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</si>
  <si>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</si>
  <si>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</si>
  <si>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</si>
  <si>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</si>
  <si>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</si>
  <si>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</si>
  <si>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</si>
  <si>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</si>
  <si>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</si>
  <si>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</si>
  <si>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</si>
  <si>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</si>
  <si>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</si>
  <si>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</si>
  <si>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</si>
  <si>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</si>
  <si>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</si>
  <si>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</si>
  <si>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</si>
  <si>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</si>
  <si>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</si>
  <si>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</si>
  <si>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</si>
  <si>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</si>
  <si>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</si>
  <si>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</si>
  <si>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</si>
  <si>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</si>
  <si>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</si>
  <si>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</si>
  <si>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</si>
  <si>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</si>
  <si>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</si>
  <si>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</si>
  <si>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</si>
  <si>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</si>
  <si>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</si>
  <si>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</si>
  <si>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</si>
  <si>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</si>
  <si>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</si>
  <si>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</si>
  <si>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</si>
  <si>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</si>
  <si>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</si>
  <si>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</si>
  <si>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</si>
  <si>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</si>
  <si>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</si>
  <si>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</si>
  <si>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</si>
  <si>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</si>
  <si>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</si>
  <si>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</si>
  <si>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</si>
  <si>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</si>
  <si>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</si>
  <si>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</si>
  <si>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</si>
  <si>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</si>
  <si>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</si>
  <si>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</si>
  <si>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</si>
  <si>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</si>
  <si>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</si>
  <si>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</si>
  <si>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</si>
  <si>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</si>
  <si>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</si>
  <si>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</si>
  <si>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</si>
  <si>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</si>
  <si>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</si>
  <si>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</si>
  <si>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</si>
  <si>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</si>
  <si>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</si>
  <si>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</si>
  <si>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</si>
  <si>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</si>
  <si>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</si>
  <si>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</si>
  <si>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</si>
  <si>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</si>
  <si>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</si>
  <si>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</si>
  <si>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</si>
  <si>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</si>
  <si>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</si>
  <si>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</si>
  <si>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</si>
  <si>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</si>
  <si>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</si>
  <si>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</si>
  <si>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</si>
  <si>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</si>
  <si>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</si>
  <si>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</si>
  <si>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</si>
  <si>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</si>
  <si>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</si>
  <si>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</si>
  <si>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</si>
  <si>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</si>
  <si>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</si>
  <si>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</si>
  <si>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</si>
  <si>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</si>
  <si>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</si>
  <si>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</si>
  <si>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</si>
  <si>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</si>
  <si>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</si>
  <si>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</si>
  <si>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</si>
  <si>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</si>
  <si>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</si>
  <si>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</si>
  <si>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</si>
  <si>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</si>
  <si>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</si>
  <si>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</si>
  <si>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</si>
  <si>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</si>
  <si>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</si>
  <si>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</si>
  <si>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</si>
  <si>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</si>
  <si>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</si>
  <si>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</si>
  <si>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</si>
  <si>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</si>
  <si>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</si>
  <si>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</si>
  <si>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</si>
  <si>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</si>
  <si>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</si>
  <si>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</si>
  <si>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</si>
  <si>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</si>
  <si>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</si>
  <si>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</si>
  <si>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</si>
  <si>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</si>
  <si>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</si>
  <si>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</si>
  <si>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</si>
  <si>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</si>
  <si>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</si>
  <si>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</si>
  <si>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</si>
  <si>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</si>
  <si>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</si>
  <si>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</si>
  <si>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</si>
  <si>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</si>
  <si>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</si>
  <si>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</si>
  <si>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</si>
  <si>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</si>
  <si>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</si>
  <si>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</si>
  <si>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</si>
  <si>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</si>
  <si>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</si>
  <si>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</si>
  <si>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</si>
  <si>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</si>
  <si>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</si>
  <si>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</si>
  <si>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</si>
  <si>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</si>
  <si>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</si>
  <si>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</si>
  <si>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</si>
  <si>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</si>
  <si>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</si>
  <si>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</si>
  <si>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</si>
  <si>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</si>
  <si>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</si>
  <si>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</si>
  <si>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</si>
  <si>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</si>
  <si>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</si>
  <si>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</si>
  <si>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</si>
  <si>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</si>
  <si>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</si>
  <si>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</si>
  <si>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</si>
  <si>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</si>
  <si>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</si>
  <si>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</si>
  <si>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</si>
  <si>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</si>
  <si>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</si>
  <si>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</si>
  <si>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</si>
  <si>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</si>
  <si>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</si>
  <si>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</si>
  <si>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</si>
  <si>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</si>
  <si>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</si>
  <si>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</si>
  <si>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</si>
  <si>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</si>
  <si>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</si>
  <si>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</si>
  <si>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</si>
  <si>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</si>
  <si>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</si>
  <si>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</si>
  <si>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</si>
  <si>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</si>
  <si>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</si>
  <si>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</si>
  <si>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</si>
  <si>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</si>
  <si>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</si>
  <si>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</si>
  <si>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</si>
  <si>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</si>
  <si>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</si>
  <si>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</si>
  <si>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</si>
  <si>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</si>
  <si>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</si>
  <si>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</si>
  <si>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</si>
  <si>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</si>
  <si>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</si>
  <si>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</si>
  <si>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</si>
  <si>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</si>
  <si>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</si>
  <si>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</si>
  <si>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</si>
  <si>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</si>
  <si>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</si>
  <si>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</si>
  <si>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</si>
  <si>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</si>
  <si>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</si>
  <si>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</si>
  <si>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</si>
  <si>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</si>
  <si>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</si>
  <si>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</si>
  <si>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</si>
  <si>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</si>
  <si>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</si>
  <si>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</si>
  <si>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</si>
  <si>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</si>
  <si>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</si>
  <si>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</si>
  <si>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</si>
  <si>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</si>
  <si>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</si>
  <si>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</si>
  <si>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</si>
  <si>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</si>
  <si>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</si>
  <si>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</si>
  <si>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</si>
  <si>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</si>
  <si>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</si>
  <si>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</si>
  <si>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</si>
  <si>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</si>
  <si>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</si>
  <si>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</si>
  <si>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</si>
  <si>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</si>
  <si>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</si>
  <si>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</si>
  <si>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</si>
  <si>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</si>
  <si>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</si>
  <si>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</si>
  <si>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</si>
  <si>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</si>
  <si>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</si>
  <si>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</si>
  <si>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</si>
  <si>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</si>
  <si>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</si>
  <si>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</si>
  <si>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</si>
  <si>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</si>
  <si>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</si>
  <si>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</si>
  <si>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</si>
  <si>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</si>
  <si>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</si>
  <si>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</si>
  <si>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</si>
  <si>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</si>
  <si>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</si>
  <si>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</si>
  <si>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</si>
  <si>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</si>
  <si>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</si>
  <si>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</si>
  <si>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</si>
  <si>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</si>
  <si>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</si>
  <si>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</si>
  <si>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</si>
  <si>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</si>
  <si>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</si>
  <si>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</si>
  <si>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</si>
  <si>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</si>
  <si>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</si>
  <si>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</si>
  <si>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</si>
  <si>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</si>
  <si>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</si>
  <si>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</si>
  <si>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</si>
  <si>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</si>
  <si>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</si>
  <si>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</si>
  <si>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</si>
  <si>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</si>
  <si>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</si>
  <si>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</si>
  <si>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</si>
  <si>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</si>
  <si>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</si>
  <si>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</si>
  <si>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</si>
  <si>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</si>
  <si>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</si>
  <si>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</si>
  <si>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</si>
  <si>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</si>
  <si>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</si>
  <si>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</si>
  <si>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</si>
  <si>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</si>
  <si>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</si>
  <si>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</si>
  <si>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</si>
  <si>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</si>
  <si>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</si>
  <si>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</si>
  <si>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</si>
  <si>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</si>
  <si>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</si>
  <si>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</si>
  <si>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</si>
  <si>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</si>
  <si>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</si>
  <si>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</si>
  <si>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</si>
  <si>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</si>
  <si>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</si>
  <si>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</si>
  <si>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</si>
  <si>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</si>
  <si>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</si>
  <si>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</si>
  <si>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</si>
  <si>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</si>
  <si>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</si>
  <si>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</si>
  <si>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</si>
  <si>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</si>
  <si>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</si>
  <si>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</si>
  <si>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</si>
  <si>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</si>
  <si>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</si>
  <si>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</si>
  <si>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</si>
  <si>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</si>
  <si>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</si>
  <si>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</si>
  <si>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</si>
  <si>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</si>
  <si>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</si>
  <si>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</si>
  <si>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</si>
  <si>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</si>
  <si>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</si>
  <si>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</si>
  <si>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</si>
  <si>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</si>
  <si>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</si>
  <si>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</si>
  <si>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</si>
  <si>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</si>
  <si>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</si>
  <si>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</si>
  <si>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</si>
  <si>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</si>
  <si>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</si>
  <si>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</si>
  <si>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</si>
  <si>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</si>
  <si>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</si>
  <si>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</si>
  <si>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</si>
  <si>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</si>
  <si>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</si>
  <si>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</si>
  <si>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</si>
  <si>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</si>
  <si>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</si>
  <si>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</si>
  <si>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</si>
  <si>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</si>
  <si>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</si>
  <si>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</si>
  <si>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</si>
  <si>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</si>
  <si>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</si>
  <si>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</si>
  <si>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</si>
  <si>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</si>
  <si>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</si>
  <si>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</si>
  <si>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</si>
  <si>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</si>
  <si>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</si>
  <si>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</si>
  <si>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</si>
  <si>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</si>
  <si>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</si>
  <si>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</si>
  <si>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</si>
  <si>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</si>
  <si>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</si>
  <si>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</si>
  <si>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</si>
  <si>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</si>
  <si>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</si>
  <si>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</si>
  <si>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</si>
  <si>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</si>
  <si>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</si>
  <si>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</si>
  <si>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</si>
  <si>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</si>
  <si>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</si>
  <si>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</si>
  <si>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</si>
  <si>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</si>
  <si>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</si>
  <si>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</si>
  <si>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</si>
  <si>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</si>
  <si>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</si>
  <si>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</si>
  <si>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</si>
  <si>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</si>
  <si>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</si>
  <si>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</si>
  <si>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</si>
  <si>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</si>
  <si>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</si>
  <si>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</si>
  <si>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</si>
  <si>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</si>
  <si>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</si>
  <si>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</si>
  <si>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</si>
  <si>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</si>
  <si>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</si>
  <si>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</si>
  <si>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</si>
  <si>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</si>
  <si>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</si>
  <si>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</si>
  <si>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</si>
  <si>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</si>
  <si>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</si>
  <si>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</si>
  <si>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</si>
  <si>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</si>
  <si>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</si>
  <si>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</si>
  <si>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</si>
  <si>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</si>
  <si>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</si>
  <si>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</si>
  <si>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</si>
  <si>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</si>
  <si>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</si>
  <si>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</si>
  <si>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</si>
  <si>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</si>
  <si>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</si>
  <si>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</si>
  <si>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</si>
  <si>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</si>
  <si>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</si>
  <si>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</si>
  <si>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</si>
  <si>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</si>
  <si>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</si>
  <si>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</si>
  <si>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</si>
  <si>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</si>
  <si>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</si>
  <si>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</si>
  <si>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</si>
  <si>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</si>
  <si>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</si>
  <si>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</si>
  <si>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</si>
  <si>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</si>
  <si>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</si>
  <si>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</si>
  <si>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</si>
  <si>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</si>
  <si>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</si>
  <si>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</si>
  <si>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</si>
  <si>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</si>
  <si>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</si>
  <si>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</si>
  <si>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</si>
  <si>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</si>
  <si>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</si>
  <si>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</si>
  <si>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</si>
  <si>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</si>
  <si>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</si>
  <si>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</si>
  <si>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</si>
  <si>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</si>
  <si>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</si>
  <si>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</si>
  <si>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</si>
  <si>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</si>
  <si>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</si>
  <si>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</si>
  <si>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</si>
  <si>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</si>
  <si>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</si>
  <si>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</si>
  <si>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</si>
  <si>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</si>
  <si>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</si>
  <si>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</si>
  <si>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</si>
  <si>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</si>
  <si>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</si>
  <si>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</si>
  <si>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</si>
  <si>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</si>
  <si>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</si>
  <si>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</si>
  <si>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</si>
  <si>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</si>
  <si>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</si>
  <si>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</si>
  <si>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</si>
  <si>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</si>
  <si>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</si>
  <si>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</si>
  <si>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</si>
  <si>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</si>
  <si>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</si>
  <si>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</si>
  <si>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</si>
  <si>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</si>
  <si>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</si>
  <si>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</si>
  <si>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</si>
  <si>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</si>
  <si>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</si>
  <si>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</si>
  <si>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</si>
  <si>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</si>
  <si>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</si>
  <si>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</si>
  <si>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</si>
  <si>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</si>
  <si>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</si>
  <si>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</si>
  <si>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</si>
  <si>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</si>
  <si>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</si>
  <si>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</si>
  <si>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</si>
  <si>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</si>
  <si>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</si>
  <si>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</si>
  <si>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</si>
  <si>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</si>
  <si>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</si>
  <si>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</si>
  <si>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</si>
  <si>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</si>
  <si>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</si>
  <si>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</si>
  <si>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</si>
  <si>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</si>
  <si>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</si>
  <si>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</si>
  <si>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</si>
  <si>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</si>
  <si>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</si>
  <si>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</si>
  <si>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</si>
  <si>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</si>
  <si>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</si>
  <si>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</si>
  <si>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</si>
  <si>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</si>
  <si>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</si>
  <si>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</si>
  <si>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</si>
  <si>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</si>
  <si>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</si>
  <si>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</si>
  <si>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</si>
  <si>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</si>
  <si>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</si>
  <si>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</si>
  <si>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</si>
  <si>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</si>
  <si>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</si>
  <si>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</si>
  <si>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</si>
  <si>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</si>
  <si>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</si>
  <si>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</si>
  <si>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</si>
  <si>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</si>
  <si>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</si>
  <si>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</si>
  <si>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</si>
  <si>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</si>
  <si>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</si>
  <si>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</si>
  <si>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</si>
  <si>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</si>
  <si>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</si>
  <si>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</si>
  <si>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</si>
  <si>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</si>
  <si>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</si>
  <si>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</si>
  <si>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</si>
  <si>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</si>
  <si>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</si>
  <si>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</si>
  <si>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</si>
  <si>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</si>
  <si>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</si>
  <si>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</si>
  <si>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</si>
  <si>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</si>
  <si>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</si>
  <si>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</si>
  <si>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</si>
  <si>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</si>
  <si>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</si>
  <si>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</si>
  <si>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</si>
  <si>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</si>
  <si>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</si>
  <si>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</si>
  <si>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</si>
  <si>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</si>
  <si>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</si>
  <si>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</si>
  <si>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</si>
  <si>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</si>
  <si>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</si>
  <si>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</si>
  <si>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</si>
  <si>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</si>
  <si>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</si>
  <si>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</si>
  <si>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</si>
  <si>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</si>
  <si>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</si>
  <si>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</si>
  <si>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</si>
  <si>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</si>
  <si>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</si>
  <si>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</si>
  <si>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</si>
  <si>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</si>
  <si>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</si>
  <si>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</si>
  <si>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</si>
  <si>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</si>
  <si>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</si>
  <si>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</si>
  <si>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</si>
  <si>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</si>
  <si>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</si>
  <si>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</si>
  <si>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</si>
  <si>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</si>
  <si>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</si>
  <si>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</si>
  <si>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</si>
  <si>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</si>
  <si>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</si>
  <si>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</si>
  <si>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</si>
  <si>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</si>
  <si>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</si>
  <si>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</si>
  <si>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</si>
  <si>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</si>
  <si>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</si>
  <si>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</si>
  <si>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</si>
  <si>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</si>
  <si>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</si>
  <si>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</si>
  <si>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</si>
  <si>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</si>
  <si>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</si>
  <si>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</si>
  <si>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</si>
  <si>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</si>
  <si>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</si>
  <si>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</si>
  <si>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</si>
  <si>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</si>
  <si>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</si>
  <si>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</si>
  <si>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</si>
  <si>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</si>
  <si>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</si>
  <si>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</si>
  <si>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</si>
  <si>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</si>
  <si>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</si>
  <si>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</si>
  <si>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</si>
  <si>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</si>
  <si>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</si>
  <si>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</si>
  <si>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</si>
  <si>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</si>
  <si>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</si>
  <si>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</si>
  <si>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</si>
  <si>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</si>
  <si>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</si>
  <si>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</si>
  <si>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</si>
  <si>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</si>
  <si>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</si>
  <si>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</si>
  <si>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</si>
  <si>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</si>
  <si>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</si>
  <si>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</si>
  <si>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</si>
  <si>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</si>
  <si>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</si>
  <si>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</si>
  <si>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</si>
  <si>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</si>
  <si>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</si>
  <si>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</si>
  <si>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</si>
  <si>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</si>
  <si>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</si>
  <si>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</si>
  <si>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</si>
  <si>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</si>
  <si>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</si>
  <si>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</si>
  <si>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</si>
  <si>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</si>
  <si>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</si>
  <si>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</si>
  <si>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</si>
  <si>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</si>
  <si>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</si>
  <si>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</si>
  <si>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</si>
  <si>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</si>
  <si>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</si>
  <si>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</si>
  <si>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</si>
  <si>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</si>
  <si>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</si>
  <si>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</si>
  <si>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</si>
  <si>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</si>
  <si>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</si>
  <si>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</si>
  <si>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</si>
  <si>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</si>
  <si>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</si>
  <si>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</si>
  <si>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</si>
  <si>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</si>
  <si>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</si>
  <si>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</si>
  <si>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</si>
  <si>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</si>
  <si>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</si>
  <si>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</si>
  <si>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</si>
  <si>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</si>
  <si>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</si>
  <si>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</si>
  <si>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</si>
  <si>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</si>
  <si>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</si>
  <si>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</si>
  <si>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</si>
  <si>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</si>
  <si>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</si>
  <si>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</si>
  <si>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</si>
  <si>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</si>
  <si>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</si>
  <si>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</si>
  <si>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</si>
  <si>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</si>
  <si>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</si>
  <si>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</si>
  <si>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</si>
  <si>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</si>
  <si>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</si>
  <si>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</si>
  <si>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</si>
  <si>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</si>
  <si>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</si>
  <si>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</si>
  <si>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</si>
  <si>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</si>
  <si>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</si>
  <si>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</si>
  <si>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</si>
  <si>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</si>
  <si>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</si>
  <si>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</si>
  <si>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</si>
  <si>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</si>
  <si>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</si>
  <si>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</si>
  <si>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</si>
  <si>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</si>
  <si>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</si>
  <si>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</si>
  <si>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</si>
  <si>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</si>
  <si>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</si>
  <si>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</si>
  <si>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</si>
  <si>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</si>
  <si>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</si>
  <si>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</si>
  <si>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</si>
  <si>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</si>
  <si>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</si>
  <si>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</si>
  <si>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</si>
  <si>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</si>
  <si>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</si>
  <si>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</si>
  <si>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</si>
  <si>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</si>
  <si>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</si>
  <si>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</si>
  <si>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</si>
  <si>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</si>
  <si>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</si>
  <si>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</si>
  <si>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</si>
  <si>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</si>
  <si>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</si>
  <si>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</si>
  <si>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</si>
  <si>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</si>
  <si>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</si>
  <si>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</si>
  <si>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</si>
  <si>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</si>
  <si>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</si>
  <si>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</si>
  <si>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</si>
  <si>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</si>
  <si>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</si>
  <si>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</si>
  <si>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</si>
  <si>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</si>
  <si>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</si>
  <si>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</si>
  <si>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</si>
  <si>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</si>
  <si>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</si>
  <si>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</si>
  <si>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</si>
  <si>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</si>
  <si>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</si>
  <si>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</si>
  <si>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</si>
  <si>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</si>
  <si>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</si>
  <si>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</si>
  <si>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</si>
  <si>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</si>
  <si>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</si>
  <si>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</si>
  <si>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</si>
  <si>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</si>
  <si>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</si>
  <si>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</si>
  <si>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</si>
  <si>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</si>
  <si>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</si>
  <si>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</si>
  <si>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</si>
  <si>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</si>
  <si>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</si>
  <si>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</si>
  <si>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</si>
  <si>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</si>
  <si>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</si>
  <si>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</si>
  <si>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</si>
  <si>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</si>
  <si>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</si>
  <si>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</si>
  <si>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</si>
  <si>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</si>
  <si>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</si>
  <si>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</si>
  <si>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</si>
  <si>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</si>
  <si>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</si>
  <si>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</si>
  <si>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</si>
  <si>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</si>
  <si>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</si>
  <si>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</si>
  <si>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</si>
  <si>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</si>
  <si>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</si>
  <si>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</si>
  <si>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</si>
  <si>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</si>
  <si>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</si>
  <si>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</si>
  <si>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</si>
  <si>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</si>
  <si>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</si>
  <si>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</si>
  <si>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</si>
  <si>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</si>
  <si>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</si>
  <si>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</si>
  <si>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</si>
  <si>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</si>
  <si>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</si>
  <si>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</si>
  <si>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</si>
  <si>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</si>
  <si>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</si>
  <si>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</si>
  <si>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</si>
  <si>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</si>
  <si>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</si>
  <si>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</si>
  <si>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商业</t>
  </si>
  <si>
    <t>无租约</t>
  </si>
  <si>
    <t>利息：取LPR加浮动点数</t>
  </si>
  <si>
    <t>钢混</t>
  </si>
  <si>
    <t>非生产用房</t>
  </si>
  <si>
    <t>是</t>
  </si>
  <si>
    <t>未包含在土地购买价格中</t>
  </si>
  <si>
    <t>已包含在土地取得成本中</t>
  </si>
  <si>
    <t>成本法</t>
  </si>
  <si>
    <t>收益法</t>
  </si>
  <si>
    <t>元</t>
  </si>
  <si>
    <t>企业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</si>
</sst>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119107</xdr:rowOff>
    </xdr:from>
    <xdr:to>
      <xdr:col>10</xdr:col>
      <xdr:colOff>377944</xdr:colOff>
      <xdr:row>29</xdr:row>
      <xdr:rowOff>75281</xdr:rowOff>
    </xdr:to>
    <xdr:pic>
      <xdr:nvPicPr>
        <xdr:cNvPr id="2" name="图片 1">
          <a:extLst>
            <a:ext uri="{FF2B5EF4-FFF2-40B4-BE49-F238E27FC236}">
              <a16:creationId xmlns:a16="http://schemas.microsoft.com/office/drawing/2014/main" id="{2D57FA1C-2FEF-46B9-4FF9-A608B182E9CC}"/>
            </a:ext>
          </a:extLst>
        </xdr:cNvPr>
        <xdr:cNvPicPr>
          <a:picLocks noChangeAspect="1"/>
        </xdr:cNvPicPr>
      </xdr:nvPicPr>
      <xdr:blipFill>
        <a:blip xmlns:r="http://schemas.openxmlformats.org/officeDocument/2006/relationships" r:embed="rId1"/>
        <a:stretch>
          <a:fillRect/>
        </a:stretch>
      </xdr:blipFill>
      <xdr:spPr>
        <a:xfrm>
          <a:off x="0" y="119107"/>
          <a:ext cx="6588244" cy="5259694"/>
        </a:xfrm>
        <a:prstGeom prst="rect">
          <a:avLst/>
        </a:prstGeom>
      </xdr:spPr>
    </xdr:pic>
    <xdr:clientData/>
  </xdr:twoCellAnchor>
  <xdr:twoCellAnchor editAs="oneCell">
    <xdr:from>
      <xdr:col>11</xdr:col>
      <xdr:colOff>186081</xdr:colOff>
      <xdr:row>2</xdr:row>
      <xdr:rowOff>30480</xdr:rowOff>
    </xdr:from>
    <xdr:to>
      <xdr:col>21</xdr:col>
      <xdr:colOff>448389</xdr:colOff>
      <xdr:row>32</xdr:row>
      <xdr:rowOff>69450</xdr:rowOff>
    </xdr:to>
    <xdr:pic>
      <xdr:nvPicPr>
        <xdr:cNvPr id="4" name="图片 3">
          <a:extLst>
            <a:ext uri="{FF2B5EF4-FFF2-40B4-BE49-F238E27FC236}">
              <a16:creationId xmlns:a16="http://schemas.microsoft.com/office/drawing/2014/main" id="{B6B39F94-7C4F-6FB1-45B9-DAC2EEAB5584}"/>
            </a:ext>
          </a:extLst>
        </xdr:cNvPr>
        <xdr:cNvPicPr>
          <a:picLocks noChangeAspect="1"/>
        </xdr:cNvPicPr>
      </xdr:nvPicPr>
      <xdr:blipFill>
        <a:blip xmlns:r="http://schemas.openxmlformats.org/officeDocument/2006/relationships" r:embed="rId2"/>
        <a:stretch>
          <a:fillRect/>
        </a:stretch>
      </xdr:blipFill>
      <xdr:spPr>
        <a:xfrm>
          <a:off x="7005981" y="396240"/>
          <a:ext cx="6358308" cy="5525370"/>
        </a:xfrm>
        <a:prstGeom prst="rect">
          <a:avLst/>
        </a:prstGeom>
      </xdr:spPr>
    </xdr:pic>
    <xdr:clientData/>
  </xdr:twoCellAnchor>
  <xdr:twoCellAnchor editAs="oneCell">
    <xdr:from>
      <xdr:col>0</xdr:col>
      <xdr:colOff>35046</xdr:colOff>
      <xdr:row>29</xdr:row>
      <xdr:rowOff>91440</xdr:rowOff>
    </xdr:from>
    <xdr:to>
      <xdr:col>10</xdr:col>
      <xdr:colOff>63591</xdr:colOff>
      <xdr:row>56</xdr:row>
      <xdr:rowOff>12417</xdr:rowOff>
    </xdr:to>
    <xdr:pic>
      <xdr:nvPicPr>
        <xdr:cNvPr id="5" name="图片 4">
          <a:extLst>
            <a:ext uri="{FF2B5EF4-FFF2-40B4-BE49-F238E27FC236}">
              <a16:creationId xmlns:a16="http://schemas.microsoft.com/office/drawing/2014/main" id="{473DCF27-44BD-0D02-22F4-C625F1393937}"/>
            </a:ext>
          </a:extLst>
        </xdr:cNvPr>
        <xdr:cNvPicPr>
          <a:picLocks noChangeAspect="1"/>
        </xdr:cNvPicPr>
      </xdr:nvPicPr>
      <xdr:blipFill>
        <a:blip xmlns:r="http://schemas.openxmlformats.org/officeDocument/2006/relationships" r:embed="rId3"/>
        <a:stretch>
          <a:fillRect/>
        </a:stretch>
      </xdr:blipFill>
      <xdr:spPr>
        <a:xfrm>
          <a:off x="35046" y="5394960"/>
          <a:ext cx="6238845" cy="48587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35199;&#30452;&#38376;&#22320;&#199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7">
          <cell r="C37">
            <v>17885</v>
          </cell>
          <cell r="D37">
            <v>455.84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估价对象为北京市房地产，为XX所有。根据《》[]，估价对象建筑面积为455.84平方米。根据《》[]，估价对象（分摊）出让国有建设用地使用权面积为平方米。估价对象用途为。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2022年12月13日</v>
      </c>
    </row>
    <row r="10" spans="1:2">
      <c r="A10" s="1084" t="s">
        <v>865</v>
      </c>
      <c r="B10" s="1071" t="str">
        <f>'预评函-1'!A13</f>
        <v>本次估价的“房地产价值”是指在正常市场情况下，在价值时点2022年12月13日，估价对象规划用途为，假定未设立法定优先受偿款下的房地产市场价值。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455.84</v>
      </c>
    </row>
    <row r="19" spans="1:2">
      <c r="A19" s="1084" t="s">
        <v>874</v>
      </c>
      <c r="B19" s="1071">
        <f>'预评函-2（1）'!D7</f>
        <v>0</v>
      </c>
    </row>
    <row r="20" spans="1:2">
      <c r="A20" s="1084" t="s">
        <v>912</v>
      </c>
      <c r="B20" s="1071" t="str">
        <f>'预评函-2（1）'!C7</f>
        <v>总价（元）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单位：元、元/平方米（单位：人民币）</v>
      </c>
    </row>
    <row r="60" spans="1:2">
      <c r="A60" s="1086" t="s">
        <v>920</v>
      </c>
      <c r="B60" s="1071" t="str">
        <f>'预评函-2（2）'!D2</f>
        <v>出让国有建设用地使用权价值</v>
      </c>
    </row>
    <row r="61" spans="1:2">
      <c r="A61" s="1086" t="s">
        <v>921</v>
      </c>
      <c r="B61" s="1071" t="str">
        <f>'预评函-2（2）'!A14</f>
        <v>单位：平方米、元、元/平方米（币种：人民币）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B7" sqref="B7"/>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44908</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ht="24">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3047</v>
      </c>
      <c r="C7" s="1369" t="str">
        <f>IF(B7="自然人","姓名","名称")</f>
        <v>名称</v>
      </c>
      <c r="D7" s="1290" t="s">
        <v>2480</v>
      </c>
      <c r="E7" s="748"/>
      <c r="F7" s="748"/>
      <c r="G7" s="1067"/>
    </row>
    <row r="8" spans="1:17" ht="13.8" thickTop="1">
      <c r="A8" s="3110" t="s">
        <v>1301</v>
      </c>
      <c r="B8" s="1291" t="s">
        <v>1302</v>
      </c>
      <c r="C8" s="3123"/>
      <c r="D8" s="3124"/>
      <c r="E8" s="2339" t="s">
        <v>1303</v>
      </c>
      <c r="F8" s="2340" t="s">
        <v>1304</v>
      </c>
      <c r="G8" s="2341" t="str">
        <f>C6</f>
        <v>XX</v>
      </c>
    </row>
    <row r="9" spans="1:17" ht="26.4">
      <c r="A9" s="3110"/>
      <c r="B9" s="255" t="s">
        <v>1305</v>
      </c>
      <c r="C9" s="1284"/>
      <c r="D9" s="1292" t="s">
        <v>3034</v>
      </c>
      <c r="E9" s="2609" t="s">
        <v>1306</v>
      </c>
      <c r="F9" s="2342"/>
      <c r="G9" s="2343"/>
    </row>
    <row r="10" spans="1:17" ht="13.8" thickBot="1">
      <c r="A10" s="3110"/>
      <c r="B10" s="255" t="s">
        <v>1307</v>
      </c>
      <c r="C10" s="3125"/>
      <c r="D10" s="3126"/>
      <c r="E10" s="2610" t="s">
        <v>1308</v>
      </c>
      <c r="F10" s="2344"/>
      <c r="G10" s="2345"/>
    </row>
    <row r="11" spans="1:17" ht="13.8" thickBot="1">
      <c r="A11" s="3110"/>
      <c r="B11" s="1294" t="s">
        <v>1309</v>
      </c>
      <c r="C11" s="3127"/>
      <c r="D11" s="3128"/>
      <c r="E11" s="724"/>
      <c r="F11" s="724"/>
      <c r="G11" s="753"/>
    </row>
    <row r="12" spans="1:17" ht="13.8" thickBot="1">
      <c r="A12" s="3114" t="s">
        <v>2587</v>
      </c>
      <c r="B12" s="2611" t="s">
        <v>1310</v>
      </c>
      <c r="C12" s="732">
        <v>455.84</v>
      </c>
      <c r="D12" s="1295" t="s">
        <v>1311</v>
      </c>
      <c r="E12" s="1296"/>
      <c r="F12" s="1297"/>
      <c r="G12" s="753"/>
    </row>
    <row r="13" spans="1:17" ht="21" customHeight="1" thickBot="1">
      <c r="A13" s="3115"/>
      <c r="B13" s="2612" t="s">
        <v>1312</v>
      </c>
      <c r="C13" s="733"/>
      <c r="D13" s="1298" t="s">
        <v>1313</v>
      </c>
      <c r="E13" s="1299"/>
      <c r="F13" s="724"/>
      <c r="G13" s="753"/>
      <c r="I13" s="3133"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33"/>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8" thickBot="1">
      <c r="A15" s="2348"/>
      <c r="B15" s="2613" t="s">
        <v>1315</v>
      </c>
      <c r="C15" s="749"/>
      <c r="D15" s="748"/>
      <c r="E15" s="748"/>
      <c r="F15" s="748"/>
      <c r="G15" s="1067"/>
      <c r="I15" s="3133"/>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29" t="s">
        <v>1320</v>
      </c>
      <c r="C17" s="3130"/>
      <c r="D17" s="3131" t="s">
        <v>1321</v>
      </c>
      <c r="E17" s="313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42" t="s">
        <v>2586</v>
      </c>
      <c r="B24" s="3142"/>
      <c r="C24" s="3142"/>
      <c r="D24" s="3142"/>
      <c r="E24" s="3142"/>
      <c r="F24" s="3142"/>
      <c r="G24" s="3142"/>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17" t="s">
        <v>1334</v>
      </c>
      <c r="D28" s="3118"/>
      <c r="E28" s="725"/>
      <c r="F28" s="727" t="s">
        <v>1334</v>
      </c>
      <c r="G28" s="725"/>
      <c r="K28" s="2615"/>
    </row>
    <row r="29" spans="1:66">
      <c r="A29" s="728" t="s">
        <v>1335</v>
      </c>
      <c r="B29" s="722"/>
      <c r="C29" s="3119" t="s">
        <v>1336</v>
      </c>
      <c r="D29" s="3120"/>
      <c r="E29" s="722"/>
      <c r="F29" s="728" t="s">
        <v>1336</v>
      </c>
      <c r="G29" s="722"/>
      <c r="K29" s="2615"/>
    </row>
    <row r="30" spans="1:66">
      <c r="A30" s="728" t="s">
        <v>1337</v>
      </c>
      <c r="B30" s="722"/>
      <c r="C30" s="3119" t="s">
        <v>1337</v>
      </c>
      <c r="D30" s="3120"/>
      <c r="E30" s="722"/>
      <c r="F30" s="728" t="s">
        <v>1338</v>
      </c>
      <c r="G30" s="722"/>
      <c r="K30" s="2615"/>
    </row>
    <row r="31" spans="1:66">
      <c r="A31" s="728" t="s">
        <v>1339</v>
      </c>
      <c r="B31" s="722"/>
      <c r="C31" s="3139" t="s">
        <v>1340</v>
      </c>
      <c r="D31" s="724"/>
      <c r="E31" s="2362" t="str">
        <f>E32&amp;" "&amp;E33&amp;" "&amp;E34&amp;" "&amp;E35</f>
        <v xml:space="preserve">   </v>
      </c>
      <c r="F31" s="728" t="s">
        <v>1341</v>
      </c>
      <c r="G31" s="722"/>
    </row>
    <row r="32" spans="1:66">
      <c r="A32" s="728" t="s">
        <v>1342</v>
      </c>
      <c r="B32" s="722"/>
      <c r="C32" s="3140"/>
      <c r="D32" s="255" t="s">
        <v>1343</v>
      </c>
      <c r="E32" s="722"/>
      <c r="F32" s="728" t="s">
        <v>1344</v>
      </c>
      <c r="G32" s="722"/>
    </row>
    <row r="33" spans="1:7" ht="24.6" thickBot="1">
      <c r="A33" s="729" t="s">
        <v>1345</v>
      </c>
      <c r="B33" s="726"/>
      <c r="C33" s="3140"/>
      <c r="D33" s="255" t="s">
        <v>1346</v>
      </c>
      <c r="E33" s="722"/>
      <c r="F33" s="728" t="s">
        <v>1347</v>
      </c>
      <c r="G33" s="722"/>
    </row>
    <row r="34" spans="1:7">
      <c r="A34" s="727" t="s">
        <v>1348</v>
      </c>
      <c r="B34" s="725"/>
      <c r="C34" s="3140"/>
      <c r="D34" s="255" t="s">
        <v>1349</v>
      </c>
      <c r="E34" s="722"/>
      <c r="F34" s="728" t="s">
        <v>1350</v>
      </c>
      <c r="G34" s="722"/>
    </row>
    <row r="35" spans="1:7" ht="13.8" thickBot="1">
      <c r="A35" s="728" t="s">
        <v>1351</v>
      </c>
      <c r="B35" s="722"/>
      <c r="C35" s="3141"/>
      <c r="D35" s="255" t="s">
        <v>1352</v>
      </c>
      <c r="E35" s="722"/>
      <c r="F35" s="729" t="s">
        <v>1353</v>
      </c>
      <c r="G35" s="2363"/>
    </row>
    <row r="36" spans="1:7">
      <c r="A36" s="728" t="s">
        <v>1310</v>
      </c>
      <c r="B36" s="722"/>
      <c r="C36" s="3119" t="s">
        <v>1354</v>
      </c>
      <c r="D36" s="3120"/>
      <c r="E36" s="722"/>
      <c r="F36" s="2364" t="s">
        <v>1355</v>
      </c>
      <c r="G36" s="725"/>
    </row>
    <row r="37" spans="1:7" ht="24.6" thickBot="1">
      <c r="A37" s="728" t="s">
        <v>1356</v>
      </c>
      <c r="B37" s="722"/>
      <c r="C37" s="3121" t="s">
        <v>1357</v>
      </c>
      <c r="D37" s="3122"/>
      <c r="E37" s="726"/>
      <c r="F37" s="1314" t="s">
        <v>1358</v>
      </c>
      <c r="G37" s="722"/>
    </row>
    <row r="38" spans="1:7" ht="13.8" thickBot="1">
      <c r="A38" s="728" t="s">
        <v>1359</v>
      </c>
      <c r="B38" s="722"/>
      <c r="C38" s="3111" t="s">
        <v>1360</v>
      </c>
      <c r="D38" s="1295" t="s">
        <v>1344</v>
      </c>
      <c r="E38" s="725"/>
      <c r="F38" s="729" t="s">
        <v>1361</v>
      </c>
      <c r="G38" s="726"/>
    </row>
    <row r="39" spans="1:7">
      <c r="A39" s="728" t="s">
        <v>1362</v>
      </c>
      <c r="B39" s="722"/>
      <c r="C39" s="3112"/>
      <c r="D39" s="255" t="s">
        <v>1351</v>
      </c>
      <c r="E39" s="722"/>
      <c r="F39" s="727" t="s">
        <v>1363</v>
      </c>
      <c r="G39" s="725"/>
    </row>
    <row r="40" spans="1:7">
      <c r="A40" s="728" t="s">
        <v>1364</v>
      </c>
      <c r="B40" s="722"/>
      <c r="C40" s="3112" t="s">
        <v>1365</v>
      </c>
      <c r="D40" s="255" t="s">
        <v>1310</v>
      </c>
      <c r="E40" s="722"/>
      <c r="F40" s="728" t="s">
        <v>1366</v>
      </c>
      <c r="G40" s="722"/>
    </row>
    <row r="41" spans="1:7" ht="24.75" customHeight="1" thickBot="1">
      <c r="A41" s="729" t="s">
        <v>1367</v>
      </c>
      <c r="B41" s="726"/>
      <c r="C41" s="3113"/>
      <c r="D41" s="1298" t="s">
        <v>1312</v>
      </c>
      <c r="E41" s="726"/>
      <c r="F41" s="729" t="s">
        <v>1368</v>
      </c>
      <c r="G41" s="726"/>
    </row>
    <row r="42" spans="1:7" ht="24">
      <c r="A42" s="730" t="s">
        <v>1369</v>
      </c>
      <c r="B42" s="2365"/>
      <c r="C42" s="3134" t="s">
        <v>1369</v>
      </c>
      <c r="D42" s="3135"/>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36" t="s">
        <v>1372</v>
      </c>
      <c r="D49" s="3137"/>
      <c r="E49" s="743"/>
      <c r="F49" s="729" t="s">
        <v>1373</v>
      </c>
      <c r="G49" s="726"/>
    </row>
    <row r="50" spans="1:66">
      <c r="A50" s="728" t="s">
        <v>1374</v>
      </c>
      <c r="B50" s="742"/>
      <c r="C50" s="3111" t="s">
        <v>1375</v>
      </c>
      <c r="D50" s="3138"/>
      <c r="E50" s="2367"/>
      <c r="F50" s="759"/>
      <c r="G50" s="760"/>
    </row>
    <row r="51" spans="1:66" ht="13.8" thickBot="1">
      <c r="A51" s="728" t="s">
        <v>1376</v>
      </c>
      <c r="B51" s="742"/>
      <c r="C51" s="3113" t="s">
        <v>1377</v>
      </c>
      <c r="D51" s="3116"/>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46.8">
      <c r="A3" s="3143"/>
      <c r="B3" s="3143"/>
      <c r="C3" s="3143"/>
      <c r="D3" s="3144"/>
      <c r="E3" s="31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F37" sqref="F37"/>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44908</v>
      </c>
      <c r="D2" s="3145" t="s">
        <v>1381</v>
      </c>
      <c r="E2" s="2370"/>
      <c r="F2" s="2371"/>
      <c r="G2" s="2672"/>
      <c r="H2" s="2672"/>
    </row>
    <row r="3" spans="1:41" s="1520" customFormat="1" ht="15" customHeight="1" thickBot="1">
      <c r="A3" s="2374" t="s">
        <v>1382</v>
      </c>
      <c r="B3" s="2372" t="s">
        <v>3046</v>
      </c>
      <c r="D3" s="3146"/>
      <c r="E3" s="2373"/>
      <c r="F3" s="2371"/>
      <c r="G3" s="2672"/>
      <c r="H3" s="2672"/>
    </row>
    <row r="4" spans="1:41" s="1520" customFormat="1" ht="15" thickBot="1">
      <c r="A4" s="2376" t="s">
        <v>1383</v>
      </c>
      <c r="B4" s="2372" t="s">
        <v>3035</v>
      </c>
      <c r="D4" s="3146"/>
      <c r="E4" s="2373"/>
      <c r="F4" s="2371"/>
      <c r="G4" s="2672"/>
      <c r="H4" s="2672"/>
    </row>
    <row r="5" spans="1:41" s="1520" customFormat="1" ht="15" thickBot="1">
      <c r="A5" s="2374" t="s">
        <v>1384</v>
      </c>
      <c r="B5" s="2375">
        <f>项目基本情况!C12</f>
        <v>455.84</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3036</v>
      </c>
      <c r="D10" s="2627" t="s">
        <v>1389</v>
      </c>
      <c r="E10" s="2631" t="s">
        <v>1390</v>
      </c>
      <c r="F10" s="2772" t="s">
        <v>2596</v>
      </c>
    </row>
    <row r="11" spans="1:41" s="1865" customFormat="1" ht="14.4">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v>52835</v>
      </c>
      <c r="D12" s="2634" t="s">
        <v>1395</v>
      </c>
      <c r="E12" s="2384">
        <v>200</v>
      </c>
      <c r="F12" s="1180"/>
    </row>
    <row r="13" spans="1:41" s="1520" customFormat="1" ht="15" thickBot="1">
      <c r="A13" s="2635" t="s">
        <v>1396</v>
      </c>
      <c r="B13" s="2636">
        <f>IF(B12="",B11-(YEAR($B$2)-B27+B24),ROUNDDOWN(MIN((B12-$B$2)/365,B11),2))</f>
        <v>21.71</v>
      </c>
      <c r="C13" s="2671"/>
      <c r="D13" s="2637" t="s">
        <v>1397</v>
      </c>
      <c r="E13" s="2385">
        <f>ROUND(E12*B5,0)</f>
        <v>91168</v>
      </c>
      <c r="F13" s="1179" t="s">
        <v>1398</v>
      </c>
    </row>
    <row r="14" spans="1:41" s="1520" customFormat="1" ht="14.4">
      <c r="A14" s="2634" t="s">
        <v>1399</v>
      </c>
      <c r="B14" s="2638">
        <f>IF(ISERROR(ROUND(POWER(1+B15,B11-B13)*(POWER(1+B15,B13)-1)/(POWER(1+B15,B11)-1),3)),0,ROUND(POWER(1+B15,B11-B13)*(POWER(1+B15,B13)-1)/(POWER(1+B15,B11)-1),3))</f>
        <v>0.76100000000000001</v>
      </c>
      <c r="D14" s="2639" t="s">
        <v>1400</v>
      </c>
      <c r="E14" s="2386">
        <v>200</v>
      </c>
      <c r="F14" s="1180"/>
    </row>
    <row r="15" spans="1:41" s="1520" customFormat="1" ht="14.4">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1823360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ROUND(1-(2022-B27)/60,2)</f>
        <v>0.78</v>
      </c>
      <c r="F20" s="862"/>
    </row>
    <row r="21" spans="1:14" s="1520" customFormat="1" ht="14.4">
      <c r="A21" s="2646" t="s">
        <v>1408</v>
      </c>
      <c r="B21" s="2391"/>
      <c r="D21" s="2634" t="s">
        <v>1410</v>
      </c>
      <c r="E21" s="2394">
        <v>0.03</v>
      </c>
      <c r="F21" s="2405" t="s">
        <v>2605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 thickBot="1">
      <c r="A27" s="2655" t="s">
        <v>1419</v>
      </c>
      <c r="B27" s="2399">
        <v>2009</v>
      </c>
      <c r="C27" s="1520"/>
      <c r="D27" s="2820" t="s">
        <v>3038</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0.15</v>
      </c>
      <c r="G28" s="2672"/>
      <c r="H28" s="2672"/>
      <c r="K28" s="1520"/>
      <c r="N28" s="1520"/>
    </row>
    <row r="29" spans="1:14" ht="14.4">
      <c r="A29" s="2657" t="s">
        <v>1421</v>
      </c>
      <c r="B29" s="2400" t="s">
        <v>3037</v>
      </c>
      <c r="D29" s="2639" t="s">
        <v>1423</v>
      </c>
      <c r="E29" s="2658">
        <f>E30+E31</f>
        <v>5.6000000000000001E-2</v>
      </c>
      <c r="F29" s="1179"/>
      <c r="G29" s="2672"/>
      <c r="H29" s="2672"/>
      <c r="K29" s="1520"/>
      <c r="N29" s="1520"/>
    </row>
    <row r="30" spans="1:14" ht="14.4">
      <c r="A30" s="2634" t="str">
        <f>IF(B29="租赁期内按合同租金","合同租金","市场租金")</f>
        <v>市场租金</v>
      </c>
      <c r="B30" s="2402">
        <v>3</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6.000000000000001E-3</v>
      </c>
      <c r="F31" s="1179"/>
      <c r="G31" s="2672"/>
      <c r="H31" s="2672"/>
      <c r="K31" s="1520"/>
      <c r="N31" s="1520"/>
    </row>
    <row r="32" spans="1:14" ht="14.4">
      <c r="A32" s="2634" t="s">
        <v>1426</v>
      </c>
      <c r="B32" s="2387">
        <v>0.03</v>
      </c>
      <c r="D32" s="2641" t="s">
        <v>1429</v>
      </c>
      <c r="E32" s="2404">
        <v>7.0000000000000007E-2</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21.71</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0.01</v>
      </c>
      <c r="C45" s="1330" t="s">
        <v>2602</v>
      </c>
      <c r="D45" s="1536" t="s">
        <v>1456</v>
      </c>
      <c r="E45" s="2402"/>
      <c r="F45" s="1180">
        <v>12</v>
      </c>
      <c r="G45" s="2369"/>
      <c r="H45" s="2369"/>
      <c r="M45" s="1520"/>
      <c r="N45" s="1520"/>
    </row>
    <row r="46" spans="1:14" ht="14.4">
      <c r="A46" s="2634" t="s">
        <v>1455</v>
      </c>
      <c r="B46" s="2415">
        <v>1.5E-3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455.84</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44908</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877.08169999999996</v>
      </c>
      <c r="C5" s="2320">
        <f ca="1">ROUND(B5*10000/$B$1,0)</f>
        <v>19241</v>
      </c>
      <c r="D5" s="2320" t="e">
        <f ca="1">ROUND(B5*10000/$B$2,0)</f>
        <v>#DIV/0!</v>
      </c>
      <c r="E5" s="1471"/>
      <c r="F5" s="2321"/>
      <c r="G5" s="2321"/>
    </row>
    <row r="6" spans="1:9" ht="15.6">
      <c r="A6" s="2320" t="s">
        <v>981</v>
      </c>
      <c r="B6" s="2320">
        <f ca="1">SUM(G14:G23)</f>
        <v>877.08169999999996</v>
      </c>
      <c r="C6" s="2320">
        <f t="shared" ref="C6:C8" ca="1" si="0">ROUND(B6*10000/$B$1,0)</f>
        <v>19241</v>
      </c>
      <c r="D6" s="2320" t="e">
        <f t="shared" ref="D6:D8" ca="1" si="1">ROUND(B6*10000/$B$2,0)</f>
        <v>#DIV/0!</v>
      </c>
      <c r="E6" s="1471"/>
      <c r="F6" s="2321"/>
      <c r="G6" s="2321"/>
    </row>
    <row r="7" spans="1:9" ht="15.6">
      <c r="A7" s="2320" t="s">
        <v>982</v>
      </c>
      <c r="B7" s="2320" t="e">
        <f>SUM(H14:H23)</f>
        <v>#VALUE!</v>
      </c>
      <c r="C7" s="2320" t="e">
        <f>ROUND(B7*10000/$B$1,0)</f>
        <v>#VALUE!</v>
      </c>
      <c r="D7" s="2320" t="e">
        <f t="shared" si="1"/>
        <v>#VALUE!</v>
      </c>
      <c r="E7" s="1471"/>
      <c r="F7" s="2321"/>
      <c r="G7" s="2321"/>
    </row>
    <row r="8" spans="1:9" ht="15.6">
      <c r="A8" s="2320" t="s">
        <v>983</v>
      </c>
      <c r="B8" s="2320" t="e">
        <f>SUM(I14:I23)</f>
        <v>#VALUE!</v>
      </c>
      <c r="C8" s="2320" t="e">
        <f t="shared" si="0"/>
        <v>#VALUE!</v>
      </c>
      <c r="D8" s="2320" t="e">
        <f t="shared" si="1"/>
        <v>#VALUE!</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455.84</v>
      </c>
      <c r="C14" s="2624">
        <f>项目基本情况!C13</f>
        <v>0</v>
      </c>
      <c r="D14" s="2624">
        <f ca="1">IF('数据-取费表'!B3="万元",IF(A14="估价对象1（结果表）",结果表!H121,'结果表 (1修多)'!H125),IF(A14="估价对象1（结果表）",结果表!H121,'结果表 (1修多)'!H125)/10000)</f>
        <v>877.08169999999996</v>
      </c>
      <c r="E14" s="2624">
        <f ca="1">ROUND(D14*10000/B14,0)</f>
        <v>19241</v>
      </c>
      <c r="F14" s="2624" t="e">
        <f ca="1">ROUND(D14*10000/C14,0)</f>
        <v>#DIV/0!</v>
      </c>
      <c r="G14" s="2624">
        <f ca="1">IF('数据-取费表'!B3="万元",IF(A14="估价对象1（结果表）",结果表!D125,'结果表 (1修多)'!D129),IF(A14="估价对象1（结果表）",结果表!D125,'结果表 (1修多)'!D129)/10000)</f>
        <v>877.08169999999996</v>
      </c>
      <c r="H14" s="2624" t="e">
        <f>IF('数据-取费表'!B3="万元",IF(A14="估价对象1（结果表）",结果表!D127,'结果表 (1修多)'!D131),IF(A14="估价对象1（结果表）",结果表!D127,'结果表 (1修多)'!D131)/10000)</f>
        <v>#VALUE!</v>
      </c>
      <c r="I14" s="2624" t="e">
        <f>IF('数据-取费表'!B3="万元",IF(A14="估价对象1（结果表）",结果表!D129,'结果表 (1修多)'!D133),IF(A14="估价对象1（结果表）",结果表!D129,'结果表 (1修多)'!D133)/10000)</f>
        <v>#VALUE!</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F15" sqref="F15"/>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20" t="str">
        <f>项目基本情况!B1</f>
        <v>北京市房地产抵押价值预评估</v>
      </c>
      <c r="B2" s="3220"/>
      <c r="C2" s="3220"/>
      <c r="D2" s="3220"/>
      <c r="E2" s="3220"/>
      <c r="F2" s="3220"/>
      <c r="G2" s="3220"/>
      <c r="H2" s="3220"/>
      <c r="I2" s="3220"/>
      <c r="J2" s="2559"/>
    </row>
    <row r="3" spans="1:15" ht="13.2">
      <c r="A3" s="3225" t="s">
        <v>1471</v>
      </c>
      <c r="B3" s="3226"/>
      <c r="C3" s="3226"/>
      <c r="D3" s="3226"/>
      <c r="E3" s="3226"/>
      <c r="F3" s="3226"/>
      <c r="G3" s="3226"/>
      <c r="H3" s="3226"/>
      <c r="I3" s="3226"/>
      <c r="J3" s="2560"/>
    </row>
    <row r="4" spans="1:15" ht="14.4">
      <c r="A4" s="2433" t="s">
        <v>1472</v>
      </c>
      <c r="B4" s="2433" t="s">
        <v>1473</v>
      </c>
      <c r="C4" s="2434" t="s">
        <v>3044</v>
      </c>
      <c r="D4" s="2434" t="s">
        <v>3045</v>
      </c>
      <c r="E4" s="3222" t="s">
        <v>1474</v>
      </c>
      <c r="F4" s="3210"/>
      <c r="G4" s="3210"/>
      <c r="H4" s="3210"/>
      <c r="I4" s="3211"/>
      <c r="J4" s="2561"/>
      <c r="L4" s="1313" t="str">
        <f>IF(ISNUMBER(FIND("比较法",结果表!C4)),"比较法",IF(ISNUMBER(FIND("成本法",结果表!C4)),"成本法",IF(ISNUMBER(FIND("假设开发法",结果表!C4)),"假设开发法",IF(ISNUMBER(FIND("收益法",结果表!C4)),"收益法","基准地价系数修正法"))))</f>
        <v>成本法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v>4</v>
      </c>
      <c r="D14" s="3224">
        <v>6</v>
      </c>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4</v>
      </c>
      <c r="D17" s="2436">
        <f>SUM(D5:D16)</f>
        <v>6</v>
      </c>
      <c r="E17" s="1330"/>
      <c r="F17" s="1330"/>
      <c r="G17" s="1330"/>
      <c r="H17" s="1330"/>
      <c r="I17" s="1330"/>
      <c r="J17" s="2562"/>
    </row>
    <row r="18" spans="1:36" ht="30" customHeight="1" thickBot="1">
      <c r="A18" s="2437" t="s">
        <v>1493</v>
      </c>
      <c r="B18" s="2438"/>
      <c r="C18" s="2439">
        <f>ROUND(C17/SUM(C17:D17),2)</f>
        <v>0.4</v>
      </c>
      <c r="D18" s="2439">
        <f>1-C18</f>
        <v>0.6</v>
      </c>
      <c r="E18" s="3241" t="s">
        <v>2576</v>
      </c>
      <c r="F18" s="3242"/>
      <c r="G18" s="3242"/>
      <c r="H18" s="3242"/>
      <c r="I18" s="3242"/>
      <c r="J18" s="2562"/>
    </row>
    <row r="19" spans="1:36" ht="14.4">
      <c r="A19" s="1856" t="s">
        <v>1494</v>
      </c>
      <c r="B19" s="2440" t="s">
        <v>1495</v>
      </c>
      <c r="C19" s="2441">
        <f ca="1">SUMIF(INDIRECT("'"&amp;C4&amp;"'"&amp;"!A:A"),结果表!B19,INDIRECT("'"&amp;C4&amp;"'"&amp;"!B:B"))</f>
        <v>13631982</v>
      </c>
      <c r="D19" s="2442">
        <f ca="1">SUMIF(INDIRECT("'"&amp;D4&amp;"'"&amp;"!A:A"),结果表!B19,INDIRECT("'"&amp;D4&amp;"'"&amp;"!B:B"))</f>
        <v>5529925</v>
      </c>
      <c r="E19" s="1856" t="s">
        <v>1496</v>
      </c>
      <c r="F19" s="2440" t="s">
        <v>1495</v>
      </c>
      <c r="G19" s="2443">
        <f ca="1">ROUND(C19*$C$18+D19*$D$18,0)</f>
        <v>8770748</v>
      </c>
      <c r="H19" s="2444" t="str">
        <f>'数据-取费表'!B3</f>
        <v>元</v>
      </c>
      <c r="I19" s="2489"/>
      <c r="J19" s="2563"/>
    </row>
    <row r="20" spans="1:36" ht="14.4">
      <c r="A20" s="2445"/>
      <c r="B20" s="1519" t="s">
        <v>1497</v>
      </c>
      <c r="C20" s="1737">
        <f ca="1">SUMIF(INDIRECT("'"&amp;C4&amp;"'"&amp;"!A:A"),结果表!B20,INDIRECT("'"&amp;C4&amp;"'"&amp;"!B:B"))</f>
        <v>29905</v>
      </c>
      <c r="D20" s="1740">
        <f ca="1">SUMIF(INDIRECT("'"&amp;D4&amp;"'"&amp;"!A:A"),结果表!B20,INDIRECT("'"&amp;D4&amp;"'"&amp;"!B:B"))</f>
        <v>12131</v>
      </c>
      <c r="E20" s="2445"/>
      <c r="F20" s="1519" t="s">
        <v>1497</v>
      </c>
      <c r="G20" s="1884">
        <f ca="1">ROUND(C20*$C$18+D20*$D$18,0)</f>
        <v>19241</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1.4651296355737196</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19241</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12103</v>
      </c>
      <c r="D34" s="2468">
        <f ca="1">IF(D33="自定义",ROUND(C34/C32,3),1-D35)</f>
        <v>0.629</v>
      </c>
      <c r="E34" s="1287" t="s">
        <v>1510</v>
      </c>
      <c r="F34" s="2469">
        <v>2000</v>
      </c>
      <c r="G34" s="862"/>
      <c r="H34" s="862"/>
      <c r="I34" s="862"/>
      <c r="J34" s="2562"/>
    </row>
    <row r="35" spans="1:17" ht="15" thickBot="1">
      <c r="A35" s="1317"/>
      <c r="B35" s="2470" t="s">
        <v>1511</v>
      </c>
      <c r="C35" s="2471">
        <f ca="1">IF(D33="自定义",F35,ROUND(C32*D35,0))</f>
        <v>7138</v>
      </c>
      <c r="D35" s="2472">
        <f ca="1">IF(D33="自定义",ROUND(C35/C32,3),IF(D33="成本法成本比率",成本法!C56,IF(D33="收益法收益比率",收益法!J38,收益法!J41)))</f>
        <v>0.371</v>
      </c>
      <c r="E35" s="2473" t="s">
        <v>1512</v>
      </c>
      <c r="F35" s="2474">
        <v>4460</v>
      </c>
      <c r="G35" s="862"/>
      <c r="H35" s="862"/>
      <c r="I35" s="862"/>
      <c r="J35" s="2562"/>
    </row>
    <row r="36" spans="1:17" ht="15" thickBot="1">
      <c r="A36" s="3230" t="s">
        <v>1513</v>
      </c>
      <c r="B36" s="1318" t="s">
        <v>1514</v>
      </c>
      <c r="C36" s="2475">
        <v>0</v>
      </c>
      <c r="D36" s="2476"/>
      <c r="E36" s="1180"/>
      <c r="F36" s="1180"/>
      <c r="G36" s="862"/>
      <c r="H36" s="862"/>
      <c r="I36" s="862"/>
      <c r="J36" s="2562"/>
    </row>
    <row r="37" spans="1:17" ht="15" thickBot="1">
      <c r="A37" s="3235"/>
      <c r="B37" s="1885" t="s">
        <v>1515</v>
      </c>
      <c r="C37" s="2477">
        <v>0</v>
      </c>
      <c r="D37" s="1180"/>
      <c r="E37" s="1180"/>
      <c r="F37" s="1180"/>
      <c r="G37" s="1180"/>
      <c r="H37" s="1180"/>
      <c r="I37" s="1180"/>
      <c r="J37" s="2566"/>
    </row>
    <row r="38" spans="1:17" ht="15" thickBot="1">
      <c r="A38" s="3236"/>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55" t="s">
        <v>1524</v>
      </c>
      <c r="B45" s="3156"/>
      <c r="C45" s="3166"/>
      <c r="D45" s="242">
        <f ca="1">ROUND(I102*F45,0)</f>
        <v>8770817</v>
      </c>
      <c r="E45" s="1386" t="s">
        <v>1525</v>
      </c>
      <c r="F45" s="2301">
        <v>1</v>
      </c>
      <c r="G45" s="2302" t="s">
        <v>1526</v>
      </c>
      <c r="H45" s="862"/>
      <c r="I45" s="862"/>
      <c r="J45" s="2562"/>
      <c r="K45" s="3161" t="s">
        <v>2505</v>
      </c>
      <c r="L45" s="3161"/>
      <c r="M45" s="3161"/>
      <c r="N45" s="3161"/>
      <c r="O45" s="3161"/>
      <c r="P45" s="3161"/>
      <c r="Q45" s="1177"/>
    </row>
    <row r="46" spans="1:17" ht="14.25" customHeight="1">
      <c r="A46" s="3232" t="s">
        <v>1528</v>
      </c>
      <c r="B46" s="3233"/>
      <c r="C46" s="3233"/>
      <c r="D46" s="3233"/>
      <c r="E46" s="3233"/>
      <c r="F46" s="3233"/>
      <c r="G46" s="3234"/>
      <c r="H46" s="2678"/>
      <c r="I46" s="862"/>
      <c r="J46" s="2562"/>
      <c r="K46" s="2276">
        <v>1</v>
      </c>
      <c r="L46" s="3162" t="s">
        <v>2506</v>
      </c>
      <c r="M46" s="3162"/>
      <c r="N46" s="3163" t="str">
        <f>项目基本情况!B1</f>
        <v>北京市房地产抵押价值预评估</v>
      </c>
      <c r="O46" s="3163"/>
      <c r="P46" s="3163"/>
      <c r="Q46" s="1177"/>
    </row>
    <row r="47" spans="1:17" ht="12" customHeight="1">
      <c r="A47" s="34" t="s">
        <v>1530</v>
      </c>
      <c r="B47" s="35"/>
      <c r="C47" s="36"/>
      <c r="D47" s="979" t="s">
        <v>1531</v>
      </c>
      <c r="E47" s="231" t="s">
        <v>1532</v>
      </c>
      <c r="F47" s="37" t="s">
        <v>1533</v>
      </c>
      <c r="G47" s="2303" t="s">
        <v>1534</v>
      </c>
      <c r="H47" s="2678"/>
      <c r="I47" s="862"/>
      <c r="J47" s="2562"/>
      <c r="K47" s="2276">
        <v>2</v>
      </c>
      <c r="L47" s="3162" t="s">
        <v>2507</v>
      </c>
      <c r="M47" s="3162"/>
      <c r="N47" s="3164">
        <f>'数据-取费表'!B2</f>
        <v>44908</v>
      </c>
      <c r="O47" s="3164"/>
      <c r="P47" s="3164"/>
      <c r="Q47" s="1177"/>
    </row>
    <row r="48" spans="1:17" ht="26.4">
      <c r="A48" s="3237" t="s">
        <v>1536</v>
      </c>
      <c r="B48" s="3171"/>
      <c r="C48" s="3171"/>
      <c r="D48" s="11">
        <f ca="1">IF(H48="情况1",0,IF(H48="情况2",D52,IF(H48="情况3",D53,IF(H48="情况4",D54))))</f>
        <v>467777</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162" t="s">
        <v>2508</v>
      </c>
      <c r="M48" s="3162"/>
      <c r="N48" s="3163">
        <f ca="1">I102</f>
        <v>8770817</v>
      </c>
      <c r="O48" s="3163"/>
      <c r="P48" s="3163"/>
      <c r="Q48" s="1177"/>
    </row>
    <row r="49" spans="1:17" ht="25.5" customHeight="1">
      <c r="A49" s="1883" t="s">
        <v>1540</v>
      </c>
      <c r="B49" s="3210" t="s">
        <v>1541</v>
      </c>
      <c r="C49" s="3210"/>
      <c r="D49" s="2307">
        <v>0</v>
      </c>
      <c r="E49" s="257" t="s">
        <v>1542</v>
      </c>
      <c r="F49" s="2308" t="s">
        <v>48</v>
      </c>
      <c r="G49" s="3152"/>
      <c r="H49" s="2309" t="s">
        <v>2582</v>
      </c>
      <c r="I49" s="2310"/>
      <c r="J49" s="2570"/>
      <c r="K49" s="2276">
        <v>4</v>
      </c>
      <c r="L49" s="3162" t="str">
        <f>IF(项目基本情况!F5="房地产抵押价值","房地产抵押价值","抵押担保权已注销时的房地产抵押价值")</f>
        <v>房地产抵押价值</v>
      </c>
      <c r="M49" s="3162"/>
      <c r="N49" s="3163">
        <f ca="1">IF(项目基本情况!F5="房地产抵押价值",I110,I112)</f>
        <v>8770817</v>
      </c>
      <c r="O49" s="3163"/>
      <c r="P49" s="3163"/>
      <c r="Q49" s="1177"/>
    </row>
    <row r="50" spans="1:17" ht="25.5" customHeight="1">
      <c r="A50" s="1875"/>
      <c r="B50" s="3210" t="s">
        <v>1543</v>
      </c>
      <c r="C50" s="3210"/>
      <c r="D50" s="2311"/>
      <c r="E50" s="265"/>
      <c r="F50" s="2308"/>
      <c r="G50" s="3153"/>
      <c r="H50" s="2312" t="s">
        <v>2501</v>
      </c>
      <c r="I50" s="2310"/>
      <c r="J50" s="2570"/>
      <c r="K50" s="3162" t="s">
        <v>2509</v>
      </c>
      <c r="L50" s="3162"/>
      <c r="M50" s="3162"/>
      <c r="N50" s="3162"/>
      <c r="O50" s="3162"/>
      <c r="P50" s="3162"/>
      <c r="Q50" s="1177"/>
    </row>
    <row r="51" spans="1:17" ht="20.399999999999999" customHeight="1">
      <c r="A51" s="2313"/>
      <c r="B51" s="3210" t="s">
        <v>1545</v>
      </c>
      <c r="C51" s="3210"/>
      <c r="D51" s="979"/>
      <c r="E51" s="260"/>
      <c r="F51" s="2308"/>
      <c r="G51" s="3154"/>
      <c r="H51" s="2312" t="s">
        <v>2502</v>
      </c>
      <c r="I51" s="2310"/>
      <c r="J51" s="2570"/>
      <c r="K51" s="2277" t="s">
        <v>2510</v>
      </c>
      <c r="L51" s="3162" t="s">
        <v>2511</v>
      </c>
      <c r="M51" s="3162"/>
      <c r="N51" s="2277" t="s">
        <v>2512</v>
      </c>
      <c r="O51" s="2277" t="s">
        <v>2513</v>
      </c>
      <c r="P51" s="2277" t="s">
        <v>2514</v>
      </c>
      <c r="Q51" s="1177"/>
    </row>
    <row r="52" spans="1:17" ht="24" customHeight="1">
      <c r="A52" s="1876" t="s">
        <v>1551</v>
      </c>
      <c r="B52" s="3210" t="s">
        <v>1552</v>
      </c>
      <c r="C52" s="3210"/>
      <c r="D52" s="979">
        <f ca="1">ROUND(D45*'数据-取费表'!E29/(1+'数据-取费表'!F30),0)</f>
        <v>467777</v>
      </c>
      <c r="E52" s="1199" t="s">
        <v>1553</v>
      </c>
      <c r="F52" s="2314">
        <f>'数据-取费表'!E29</f>
        <v>5.6000000000000001E-2</v>
      </c>
      <c r="G52" s="2315"/>
      <c r="H52" s="862"/>
      <c r="I52" s="2679"/>
      <c r="J52" s="2570"/>
      <c r="K52" s="2276">
        <v>1</v>
      </c>
      <c r="L52" s="3151" t="s">
        <v>2515</v>
      </c>
      <c r="M52" s="3151"/>
      <c r="N52" s="2278">
        <f ca="1">D48</f>
        <v>467777</v>
      </c>
      <c r="O52" s="2276" t="str">
        <f>E48</f>
        <v>销售额×税（费）率</v>
      </c>
      <c r="P52" s="2279">
        <f>F48</f>
        <v>5.6000000000000001E-2</v>
      </c>
      <c r="Q52" s="1177"/>
    </row>
    <row r="53" spans="1:17" ht="12" customHeight="1">
      <c r="A53" s="1876" t="s">
        <v>1555</v>
      </c>
      <c r="B53" s="3222" t="s">
        <v>2593</v>
      </c>
      <c r="C53" s="3211"/>
      <c r="D53" s="979">
        <f ca="1">ROUND(D45*'数据-取费表'!E29/(1+'数据-取费表'!F30),0)</f>
        <v>467777</v>
      </c>
      <c r="E53" s="1199" t="s">
        <v>1553</v>
      </c>
      <c r="F53" s="2314">
        <f>'数据-取费表'!E29</f>
        <v>5.6000000000000001E-2</v>
      </c>
      <c r="G53" s="2315"/>
      <c r="H53" s="862"/>
      <c r="I53" s="2679"/>
      <c r="J53" s="2570"/>
      <c r="K53" s="2276">
        <v>2</v>
      </c>
      <c r="L53" s="3151" t="s">
        <v>2516</v>
      </c>
      <c r="M53" s="3151"/>
      <c r="N53" s="2278">
        <f t="shared" ref="N53:P54" si="1">D55</f>
        <v>0</v>
      </c>
      <c r="O53" s="2276" t="str">
        <f t="shared" si="1"/>
        <v>销售额×税（费）率</v>
      </c>
      <c r="P53" s="2279" t="str">
        <f t="shared" si="1"/>
        <v>免征</v>
      </c>
      <c r="Q53" s="1177"/>
    </row>
    <row r="54" spans="1:17" ht="12" customHeight="1">
      <c r="A54" s="1876" t="s">
        <v>1557</v>
      </c>
      <c r="B54" s="3222" t="s">
        <v>2594</v>
      </c>
      <c r="C54" s="3211"/>
      <c r="D54" s="979">
        <f ca="1">C68</f>
        <v>467777</v>
      </c>
      <c r="E54" s="260" t="s">
        <v>1558</v>
      </c>
      <c r="F54" s="2314">
        <f>'数据-取费表'!E29</f>
        <v>5.6000000000000001E-2</v>
      </c>
      <c r="G54" s="2315"/>
      <c r="H54" s="2680"/>
      <c r="I54" s="2679"/>
      <c r="J54" s="2570"/>
      <c r="K54" s="2276">
        <v>3</v>
      </c>
      <c r="L54" s="3151" t="s">
        <v>2517</v>
      </c>
      <c r="M54" s="3151"/>
      <c r="N54" s="2278">
        <f t="shared" si="1"/>
        <v>0</v>
      </c>
      <c r="O54" s="2276" t="str">
        <f t="shared" si="1"/>
        <v>增值额×税（费）率</v>
      </c>
      <c r="P54" s="2280" t="str">
        <f t="shared" si="1"/>
        <v>免征</v>
      </c>
      <c r="Q54" s="1177"/>
    </row>
    <row r="55" spans="1:17" ht="24" customHeight="1">
      <c r="A55" s="3175" t="s">
        <v>1560</v>
      </c>
      <c r="B55" s="3171"/>
      <c r="C55" s="3171"/>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151" t="str">
        <f>IF(H59="非个人房产","——","个人所得税")</f>
        <v>——</v>
      </c>
      <c r="M55" s="3151"/>
      <c r="N55" s="2281" t="str">
        <f>D59</f>
        <v>——</v>
      </c>
      <c r="O55" s="2282" t="str">
        <f>E59</f>
        <v>——</v>
      </c>
      <c r="P55" s="2283" t="str">
        <f>F59</f>
        <v>——</v>
      </c>
      <c r="Q55" s="1177"/>
    </row>
    <row r="56" spans="1:17" ht="25.2">
      <c r="A56" s="3175" t="s">
        <v>1563</v>
      </c>
      <c r="B56" s="3171"/>
      <c r="C56" s="3171"/>
      <c r="D56" s="11">
        <f>IF(H56="个人住宅",D57,D58)</f>
        <v>0</v>
      </c>
      <c r="E56" s="1199" t="s">
        <v>1564</v>
      </c>
      <c r="F56" s="2314" t="str">
        <f>IF(H56="正常",F58,"免征")</f>
        <v>免征</v>
      </c>
      <c r="G56" s="2316" t="s">
        <v>1565</v>
      </c>
      <c r="H56" s="2317" t="s">
        <v>2498</v>
      </c>
      <c r="I56" s="2681"/>
      <c r="J56" s="2570"/>
      <c r="K56" s="2276" t="str">
        <f>IF(项目基本情况!I6="上海银行",IF(K55="",4,K55+1),"")</f>
        <v/>
      </c>
      <c r="L56" s="3149" t="str">
        <f>IF(项目基本情况!I6="上海银行","其他处置费用","")</f>
        <v/>
      </c>
      <c r="M56" s="3169"/>
      <c r="N56" s="2278" t="str">
        <f>IF(项目基本情况!I6="上海银行",N69,"")</f>
        <v/>
      </c>
      <c r="O56" s="3149" t="str">
        <f>IF(项目基本情况!I6="上海银行","包含处置中涉及的律师、诉讼、拍卖、评估等费用","")</f>
        <v/>
      </c>
      <c r="P56" s="3150"/>
      <c r="Q56" s="1177"/>
    </row>
    <row r="57" spans="1:17" ht="13.2">
      <c r="A57" s="1876" t="s">
        <v>1540</v>
      </c>
      <c r="B57" s="3222" t="s">
        <v>1566</v>
      </c>
      <c r="C57" s="3211"/>
      <c r="D57" s="2307">
        <v>0</v>
      </c>
      <c r="E57" s="257" t="s">
        <v>1542</v>
      </c>
      <c r="F57" s="231"/>
      <c r="G57" s="2315"/>
      <c r="H57" s="2681"/>
      <c r="I57" s="2681"/>
      <c r="J57" s="2570"/>
      <c r="K57" s="3151">
        <f>IF(AND(K55="",K56=""),4,IF(项目基本情况!I6="上海银行",K56+1,K55+1))</f>
        <v>4</v>
      </c>
      <c r="L57" s="3151" t="s">
        <v>2518</v>
      </c>
      <c r="M57" s="2284" t="s">
        <v>2519</v>
      </c>
      <c r="N57" s="2285"/>
      <c r="O57" s="2286">
        <f ca="1">SUMIF(N52:N56,"&lt;9e307")</f>
        <v>467777</v>
      </c>
      <c r="P57" s="2287"/>
      <c r="Q57" s="1175">
        <f ca="1">O57/N49</f>
        <v>5.3333343974683319E-2</v>
      </c>
    </row>
    <row r="58" spans="1:17" ht="25.2">
      <c r="A58" s="1876" t="s">
        <v>1551</v>
      </c>
      <c r="B58" s="3222" t="s">
        <v>1569</v>
      </c>
      <c r="C58" s="3210"/>
      <c r="D58" s="11">
        <f ca="1">IF(H58="转让取得",C81,C97)</f>
        <v>4964282</v>
      </c>
      <c r="E58" s="1199" t="s">
        <v>1564</v>
      </c>
      <c r="F58" s="231" t="s">
        <v>48</v>
      </c>
      <c r="G58" s="2315"/>
      <c r="H58" s="2317" t="s">
        <v>1570</v>
      </c>
      <c r="I58" s="2681"/>
      <c r="J58" s="2570"/>
      <c r="K58" s="3151"/>
      <c r="L58" s="3151"/>
      <c r="M58" s="2284" t="s">
        <v>2520</v>
      </c>
      <c r="N58" s="2288"/>
      <c r="O58" s="2289" t="str">
        <f ca="1">IF(H19="元",NUMBERSTRING(INT(O57),2)&amp;"元整",NUMBERSTRING(INT(O57*10000),2)&amp;"元整")</f>
        <v>肆拾陆万柒仟柒佰柒拾柒元整</v>
      </c>
      <c r="P58" s="2290"/>
      <c r="Q58" s="1177"/>
    </row>
    <row r="59" spans="1:17" ht="24.6" thickBot="1">
      <c r="A59" s="3238" t="s">
        <v>1572</v>
      </c>
      <c r="B59" s="3239"/>
      <c r="C59" s="3239"/>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04">
        <f>K57+1</f>
        <v>5</v>
      </c>
      <c r="L59" s="3151" t="s">
        <v>2521</v>
      </c>
      <c r="M59" s="2276" t="s">
        <v>2519</v>
      </c>
      <c r="N59" s="2291"/>
      <c r="O59" s="2292">
        <f ca="1">N49-O57</f>
        <v>8303040</v>
      </c>
      <c r="P59" s="2293"/>
      <c r="Q59" s="1177"/>
    </row>
    <row r="60" spans="1:17" ht="12" customHeight="1">
      <c r="A60" s="1309"/>
      <c r="B60" s="1313"/>
      <c r="C60" s="1313"/>
      <c r="D60" s="1313"/>
      <c r="E60" s="735"/>
      <c r="F60" s="2682"/>
      <c r="G60" s="2682"/>
      <c r="H60" s="2683"/>
      <c r="I60" s="27"/>
      <c r="K60" s="3205"/>
      <c r="L60" s="3151"/>
      <c r="M60" s="2284" t="s">
        <v>2520</v>
      </c>
      <c r="N60" s="2288"/>
      <c r="O60" s="2289" t="str">
        <f ca="1">IF(H19="元",NUMBERSTRING(INT(O59),2)&amp;"元整",NUMBERSTRING(INT(O59*10000),2)&amp;"元整")</f>
        <v>捌佰叁拾万叁仟零肆拾元整</v>
      </c>
      <c r="P60" s="2290"/>
      <c r="Q60" s="1177"/>
    </row>
    <row r="61" spans="1:17" ht="13.8" thickBot="1">
      <c r="A61" s="3240" t="s">
        <v>1574</v>
      </c>
      <c r="B61" s="3240"/>
      <c r="C61" s="3240"/>
      <c r="D61" s="3240"/>
      <c r="E61" s="3240"/>
      <c r="F61" s="2682"/>
      <c r="G61" s="2682"/>
      <c r="H61" s="33"/>
      <c r="I61" s="27"/>
      <c r="K61" s="2276">
        <f>K59+1</f>
        <v>6</v>
      </c>
      <c r="L61" s="3151" t="s">
        <v>2522</v>
      </c>
      <c r="M61" s="3151"/>
      <c r="N61" s="2294"/>
      <c r="O61" s="2295">
        <f ca="1">IF(H19="元",ROUND(O59/项目基本情况!C12,0),ROUND(O59*10000/项目基本情况!C12,0))</f>
        <v>18215</v>
      </c>
      <c r="P61" s="2296"/>
      <c r="Q61" s="1177"/>
    </row>
    <row r="62" spans="1:17" ht="13.2">
      <c r="A62" s="3189" t="s">
        <v>1576</v>
      </c>
      <c r="B62" s="3190"/>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8353159</v>
      </c>
      <c r="D63" s="43"/>
      <c r="E63" s="44"/>
      <c r="F63" s="2682"/>
      <c r="G63" s="2682"/>
      <c r="H63" s="33"/>
      <c r="I63" s="27"/>
      <c r="K63" s="3170" t="s">
        <v>2523</v>
      </c>
      <c r="L63" s="2298" t="s">
        <v>2524</v>
      </c>
      <c r="M63" s="2298">
        <f ca="1">IF(N49&gt;10000,N49*0.5%,IF(AND(N49&gt;1000,N49&lt;=10000),N49*1%,IF(AND(N49&gt;100,N49&lt;=1000),N49*3%,IF(AND(N49&gt;10,N49&lt;=100),N49*5%,N49*8%))))</f>
        <v>43854.084999999999</v>
      </c>
      <c r="N63" s="2299">
        <f ca="1">ROUND(M63,1)</f>
        <v>43854.1</v>
      </c>
      <c r="O63" s="2297"/>
      <c r="P63" s="2297"/>
      <c r="Q63" s="1177"/>
    </row>
    <row r="64" spans="1:17" ht="13.2">
      <c r="A64" s="45" t="s">
        <v>71</v>
      </c>
      <c r="B64" s="46" t="s">
        <v>1582</v>
      </c>
      <c r="C64" s="2502">
        <f ca="1">D45</f>
        <v>8770817</v>
      </c>
      <c r="D64" s="46" t="s">
        <v>41</v>
      </c>
      <c r="E64" s="48"/>
      <c r="F64" s="2682"/>
      <c r="G64" s="2682"/>
      <c r="H64" s="33"/>
      <c r="I64" s="27"/>
      <c r="K64" s="3170"/>
      <c r="L64" s="2298" t="s">
        <v>2525</v>
      </c>
      <c r="M64" s="2298">
        <f ca="1">IF(N49&gt;2000,N49*0.5%,IF(AND(N49&gt;1000,N49&lt;=2000),N49*0.6%,IF(AND(N49&gt;500,N49&lt;=1000),N49*0.7%,IF(AND(N49&gt;200,N49&lt;=500),N49*0.8%,IF(AND(N49&gt;100,N49&lt;=200),N49*0.9%,IF(AND(N49&gt;50,N49&lt;=100),N49*1%,IF(AND(N49&gt;20,N49&lt;=50),N49*1.5%,IF(AND(N49&gt;10,N49&lt;=20),N49*2%,IF(AND(N49&gt;1,N49&lt;=10),N49*2.5%)))))))))</f>
        <v>43854.084999999999</v>
      </c>
      <c r="N64" s="2299">
        <f t="shared" ref="N64:N65" ca="1" si="2">ROUND(M64,1)</f>
        <v>43854.1</v>
      </c>
      <c r="O64" s="2297" t="s">
        <v>2526</v>
      </c>
      <c r="P64" s="2297"/>
      <c r="Q64" s="1177"/>
    </row>
    <row r="65" spans="1:36" ht="13.2">
      <c r="A65" s="45" t="s">
        <v>72</v>
      </c>
      <c r="B65" s="46" t="s">
        <v>1585</v>
      </c>
      <c r="C65" s="2503"/>
      <c r="D65" s="46"/>
      <c r="E65" s="48"/>
      <c r="F65" s="2682"/>
      <c r="G65" s="2682"/>
      <c r="H65" s="33"/>
      <c r="I65" s="27"/>
      <c r="K65" s="3170"/>
      <c r="L65" s="2298" t="s">
        <v>2527</v>
      </c>
      <c r="M65" s="2298">
        <f ca="1">IF(N49&gt;1000,N49*0.1%,IF(AND(N49&gt;500,N49&lt;=1000),N49*0.5%,IF(AND(N49&gt;50,N49&lt;=500),N49*1%,IF(AND(N49&gt;1,N49&lt;=50),N49*1.5%))))</f>
        <v>8770.8170000000009</v>
      </c>
      <c r="N65" s="2299">
        <f t="shared" ca="1" si="2"/>
        <v>8770.7999999999993</v>
      </c>
      <c r="O65" s="2297" t="s">
        <v>2526</v>
      </c>
      <c r="P65" s="2297"/>
      <c r="Q65" s="1177"/>
    </row>
    <row r="66" spans="1:36" ht="25.2">
      <c r="A66" s="49" t="s">
        <v>47</v>
      </c>
      <c r="B66" s="50" t="s">
        <v>1587</v>
      </c>
      <c r="C66" s="2504"/>
      <c r="D66" s="50" t="s">
        <v>41</v>
      </c>
      <c r="E66" s="1185" t="s">
        <v>1588</v>
      </c>
      <c r="F66" s="2682"/>
      <c r="G66" s="2682"/>
      <c r="H66" s="33"/>
      <c r="I66" s="27"/>
      <c r="K66" s="3170"/>
      <c r="L66" s="2298" t="s">
        <v>2528</v>
      </c>
      <c r="M66" s="2298">
        <f ca="1">N49*0.5%</f>
        <v>43854.084999999999</v>
      </c>
      <c r="N66" s="2299">
        <f ca="1">IF(M66&gt;0.5,0.5,ROUND(M66,0))</f>
        <v>0.5</v>
      </c>
      <c r="O66" s="2297" t="s">
        <v>2529</v>
      </c>
      <c r="P66" s="2297"/>
      <c r="Q66" s="1177"/>
    </row>
    <row r="67" spans="1:36" ht="13.2">
      <c r="A67" s="49" t="s">
        <v>42</v>
      </c>
      <c r="B67" s="50" t="s">
        <v>1591</v>
      </c>
      <c r="C67" s="2505">
        <f ca="1">C63-C66</f>
        <v>8353159</v>
      </c>
      <c r="D67" s="46" t="s">
        <v>41</v>
      </c>
      <c r="E67" s="48"/>
      <c r="F67" s="2682"/>
      <c r="G67" s="2682"/>
      <c r="H67" s="33"/>
      <c r="I67" s="27"/>
      <c r="K67" s="3170"/>
      <c r="L67" s="2298" t="s">
        <v>2530</v>
      </c>
      <c r="M67" s="2298">
        <f ca="1">IF(N49&gt;=10000,(8.25+(N49-10000)*0.01%),IF(AND(N49&gt;=8000,N49&lt;10000),(7.85+(N49-8000)*0.02%),IF(AND(N49&gt;=5000,N49&lt;8000),(6.65+(N49-5000)*0.04%),IF(AND(N49&gt;=2000,N49&lt;5000),(4.25+(PN49-2000)*0.08%),IF(AND(N49&gt;=1000,N49&lt;2000),(2.75+(N49-1000)*0.15%),IF(AND(N49&gt;=100,N49&lt;1000),(0.5+(N49-100)*0.25%),IF(AND(N49&gt;0,N49&lt;100),N49*0.5%)))))))</f>
        <v>884.33170000000007</v>
      </c>
      <c r="N67" s="2299">
        <f ca="1">ROUND(M67*0.9,1)</f>
        <v>795.9</v>
      </c>
      <c r="O67" s="2297"/>
      <c r="P67" s="2297"/>
      <c r="Q67" s="1177"/>
    </row>
    <row r="68" spans="1:36" ht="13.8" thickBot="1">
      <c r="A68" s="51" t="s">
        <v>46</v>
      </c>
      <c r="B68" s="52" t="s">
        <v>1593</v>
      </c>
      <c r="C68" s="2506">
        <f ca="1">IF(C67&lt;=0,0,ROUND(C67*D68,0))</f>
        <v>467777</v>
      </c>
      <c r="D68" s="2023">
        <f>'数据-取费表'!E29</f>
        <v>5.6000000000000001E-2</v>
      </c>
      <c r="E68" s="53"/>
      <c r="F68" s="2682"/>
      <c r="G68" s="2682"/>
      <c r="H68" s="33"/>
      <c r="I68" s="27"/>
      <c r="K68" s="3170"/>
      <c r="L68" s="2298" t="s">
        <v>2531</v>
      </c>
      <c r="M68" s="2298">
        <f ca="1">IF(N49&gt;10000,N49*0.5%,IF(AND(N49&gt;5000,N49&lt;=10000),N49*1%,IF(AND(N49&gt;1000,N49&lt;=5000),N49*2%,IF(AND(N49&gt;200,N49&lt;=1000),N49*3%,N49*5%))))</f>
        <v>43854.084999999999</v>
      </c>
      <c r="N68" s="2299">
        <f ca="1">ROUND(M68,1)</f>
        <v>43854.1</v>
      </c>
      <c r="O68" s="2297"/>
      <c r="P68" s="2297"/>
      <c r="Q68" s="1177"/>
    </row>
    <row r="69" spans="1:36" ht="7.5" customHeight="1">
      <c r="A69" s="1326"/>
      <c r="B69" s="1327"/>
      <c r="C69" s="1328"/>
      <c r="D69" s="1329"/>
      <c r="E69" s="1330"/>
      <c r="F69" s="735"/>
      <c r="G69" s="735"/>
      <c r="H69" s="786"/>
      <c r="I69" s="1313"/>
      <c r="K69" s="3170"/>
      <c r="L69" s="2298" t="s">
        <v>54</v>
      </c>
      <c r="M69" s="2298"/>
      <c r="N69" s="2299">
        <f ca="1">ROUND(SUM(N63:N68),0)</f>
        <v>141130</v>
      </c>
      <c r="O69" s="2300">
        <f ca="1">N69/N49</f>
        <v>1.6090861318848633E-2</v>
      </c>
      <c r="P69" s="2297"/>
      <c r="Q69" s="1177"/>
    </row>
    <row r="70" spans="1:36" s="582" customFormat="1" ht="14.4" thickBot="1">
      <c r="A70" s="3191" t="s">
        <v>1596</v>
      </c>
      <c r="B70" s="3192"/>
      <c r="C70" s="3192"/>
      <c r="D70" s="3192"/>
      <c r="E70" s="3192"/>
      <c r="F70" s="3192"/>
      <c r="G70" s="3192"/>
      <c r="H70" s="3192"/>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189" t="s">
        <v>1576</v>
      </c>
      <c r="B71" s="3190"/>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8353159</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50119</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222" t="s">
        <v>1606</v>
      </c>
      <c r="F76" s="3210"/>
      <c r="G76" s="3210"/>
      <c r="H76" s="3223"/>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50119</v>
      </c>
      <c r="D78" s="2514">
        <f>'数据-取费表'!E31</f>
        <v>6.000000000000001E-3</v>
      </c>
      <c r="E78" s="3158" t="s">
        <v>1611</v>
      </c>
      <c r="F78" s="3159"/>
      <c r="G78" s="3159"/>
      <c r="H78" s="3179"/>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8303040</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165.66651369740018</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f ca="1">ROUND(IF(C79&lt;=0,0,IF(C80&gt;=200%,C79*60%-C73*35%,IF(C80&gt;=100%,C79*50%-C73*15%,IF(C80&gt;=50%,C79*40%-C73*5%,IF(C80&lt;50%,C79*30%,0))))),0)</f>
        <v>4964282</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191" t="s">
        <v>1615</v>
      </c>
      <c r="B83" s="3192"/>
      <c r="C83" s="3192"/>
      <c r="D83" s="3192"/>
      <c r="E83" s="3192"/>
      <c r="F83" s="3192"/>
      <c r="G83" s="3192"/>
      <c r="H83" s="3192"/>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189" t="s">
        <v>1576</v>
      </c>
      <c r="B84" s="3190"/>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8353159</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50119</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198" t="s">
        <v>2493</v>
      </c>
      <c r="H90" s="3198"/>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58" t="s">
        <v>1623</v>
      </c>
      <c r="F91" s="3159"/>
      <c r="G91" s="3159"/>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58" t="s">
        <v>1626</v>
      </c>
      <c r="F92" s="3159"/>
      <c r="G92" s="3159"/>
      <c r="H92" s="3179"/>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50119</v>
      </c>
      <c r="D93" s="2514">
        <f>'数据-取费表'!E31</f>
        <v>6.000000000000001E-3</v>
      </c>
      <c r="E93" s="3158" t="s">
        <v>1611</v>
      </c>
      <c r="F93" s="3159"/>
      <c r="G93" s="3159"/>
      <c r="H93" s="3179"/>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58" t="s">
        <v>1628</v>
      </c>
      <c r="F94" s="3159"/>
      <c r="G94" s="3159"/>
      <c r="H94" s="3179"/>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8303040</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165.66651369740018</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f ca="1">ROUND(IF(C95&lt;=0,0,IF(C96&gt;=200%,C95*60%-C86*35%,IF(C96&gt;=100%,C95*50%-C86*15%,IF(C96&gt;=50%,C95*40%-C86*5%,IF(C96&lt;50%,C95*30%,0))))),0)</f>
        <v>4964282</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176" t="s">
        <v>1630</v>
      </c>
      <c r="B99" s="3177"/>
      <c r="C99" s="3177"/>
      <c r="D99" s="3178"/>
      <c r="E99" s="1313"/>
      <c r="F99" s="3186" t="s">
        <v>1631</v>
      </c>
      <c r="G99" s="3187"/>
      <c r="H99" s="3187"/>
      <c r="I99" s="3188"/>
      <c r="J99" s="2576"/>
    </row>
    <row r="100" spans="1:36" ht="15">
      <c r="A100" s="3193" t="s">
        <v>1632</v>
      </c>
      <c r="B100" s="3194"/>
      <c r="C100" s="1176" t="str">
        <f>C4</f>
        <v>成本法</v>
      </c>
      <c r="D100" s="2524" t="str">
        <f>D4</f>
        <v>收益法</v>
      </c>
      <c r="E100" s="1313"/>
      <c r="F100" s="3195" t="s">
        <v>2537</v>
      </c>
      <c r="G100" s="3197"/>
      <c r="H100" s="3195" t="s">
        <v>2538</v>
      </c>
      <c r="I100" s="3196"/>
      <c r="J100" s="2577"/>
    </row>
    <row r="101" spans="1:36" ht="13.2">
      <c r="A101" s="3212" t="s">
        <v>2570</v>
      </c>
      <c r="B101" s="1840" t="str">
        <f>IF(H19="元","总价（元）","总价（万元）")</f>
        <v>总价（元）</v>
      </c>
      <c r="C101" s="1176">
        <f ca="1">C19</f>
        <v>13631982</v>
      </c>
      <c r="D101" s="2524">
        <f ca="1">D19</f>
        <v>5529925</v>
      </c>
      <c r="E101" s="1313"/>
      <c r="F101" s="3195" t="str">
        <f>项目基本情况!I1</f>
        <v>北京市房地产</v>
      </c>
      <c r="G101" s="3197"/>
      <c r="H101" s="3199">
        <f>项目基本情况!C12</f>
        <v>455.84</v>
      </c>
      <c r="I101" s="3196"/>
      <c r="J101" s="2577"/>
    </row>
    <row r="102" spans="1:36" ht="13.2">
      <c r="A102" s="3212"/>
      <c r="B102" s="1840" t="s">
        <v>2571</v>
      </c>
      <c r="C102" s="2525">
        <f ca="1">C20</f>
        <v>29905</v>
      </c>
      <c r="D102" s="2526">
        <f ca="1">D20</f>
        <v>12131</v>
      </c>
      <c r="E102" s="1313"/>
      <c r="F102" s="3182" t="s">
        <v>2567</v>
      </c>
      <c r="G102" s="3183"/>
      <c r="H102" s="2534" t="str">
        <f>C106</f>
        <v>总价（元）</v>
      </c>
      <c r="I102" s="2535">
        <f ca="1">H121</f>
        <v>8770817</v>
      </c>
      <c r="J102" s="2577"/>
    </row>
    <row r="103" spans="1:36" ht="13.2">
      <c r="A103" s="3212" t="s">
        <v>2572</v>
      </c>
      <c r="B103" s="2026" t="str">
        <f>B101</f>
        <v>总价（元）</v>
      </c>
      <c r="C103" s="2529">
        <f ca="1">H121</f>
        <v>8770817</v>
      </c>
      <c r="D103" s="2527"/>
      <c r="E103" s="1313"/>
      <c r="F103" s="3182"/>
      <c r="G103" s="3183"/>
      <c r="H103" s="2534" t="s">
        <v>2540</v>
      </c>
      <c r="I103" s="48">
        <f ca="1">I121</f>
        <v>19241</v>
      </c>
      <c r="J103" s="2561"/>
    </row>
    <row r="104" spans="1:36" ht="13.8" thickBot="1">
      <c r="A104" s="3213"/>
      <c r="B104" s="2531" t="s">
        <v>2571</v>
      </c>
      <c r="C104" s="2532">
        <f ca="1">I121</f>
        <v>19241</v>
      </c>
      <c r="D104" s="2533"/>
      <c r="E104" s="1313"/>
      <c r="F104" s="3182"/>
      <c r="G104" s="3183"/>
      <c r="H104" s="3214"/>
      <c r="I104" s="3215"/>
      <c r="J104" s="2578"/>
    </row>
    <row r="105" spans="1:36" ht="13.8">
      <c r="A105" s="3176" t="s">
        <v>1633</v>
      </c>
      <c r="B105" s="3177"/>
      <c r="C105" s="3177"/>
      <c r="D105" s="3178"/>
      <c r="E105" s="1313"/>
      <c r="F105" s="3218" t="s">
        <v>2541</v>
      </c>
      <c r="G105" s="3219"/>
      <c r="H105" s="2536" t="str">
        <f>C108</f>
        <v>总额（元）</v>
      </c>
      <c r="I105" s="2535">
        <f>SUMIF(I106:I108,"&lt;9E307")</f>
        <v>0</v>
      </c>
      <c r="J105" s="2577"/>
    </row>
    <row r="106" spans="1:36" ht="13.8">
      <c r="A106" s="3182" t="s">
        <v>2564</v>
      </c>
      <c r="B106" s="3183"/>
      <c r="C106" s="2534" t="str">
        <f>B101</f>
        <v>总价（元）</v>
      </c>
      <c r="D106" s="2535">
        <f ca="1">H121</f>
        <v>8770817</v>
      </c>
      <c r="E106" s="1313"/>
      <c r="F106" s="3184" t="s">
        <v>2542</v>
      </c>
      <c r="G106" s="3185"/>
      <c r="H106" s="2536" t="str">
        <f>C109</f>
        <v>总额（元）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82"/>
      <c r="B107" s="3183"/>
      <c r="C107" s="2534" t="s">
        <v>2565</v>
      </c>
      <c r="D107" s="48">
        <f ca="1">I121</f>
        <v>19241</v>
      </c>
      <c r="E107" s="1313"/>
      <c r="F107" s="3184" t="s">
        <v>2543</v>
      </c>
      <c r="G107" s="3185"/>
      <c r="H107" s="2536" t="str">
        <f>C110</f>
        <v>总额（元）</v>
      </c>
      <c r="I107" s="48">
        <f>C37</f>
        <v>0</v>
      </c>
      <c r="J107" s="2561"/>
    </row>
    <row r="108" spans="1:36" ht="13.2">
      <c r="A108" s="3253" t="s">
        <v>2541</v>
      </c>
      <c r="B108" s="3254"/>
      <c r="C108" s="2536" t="str">
        <f>IF(H19="元","总额（元）","总额（万元）")</f>
        <v>总额（元）</v>
      </c>
      <c r="D108" s="2535">
        <f>IF(D36="正常操作",I106+I107+I108,I107+I108)</f>
        <v>0</v>
      </c>
      <c r="E108" s="1313"/>
      <c r="F108" s="3184" t="s">
        <v>2568</v>
      </c>
      <c r="G108" s="3185"/>
      <c r="H108" s="2536" t="str">
        <f>C111</f>
        <v>总额（元）</v>
      </c>
      <c r="I108" s="48">
        <f>C38</f>
        <v>0</v>
      </c>
      <c r="J108" s="2561"/>
    </row>
    <row r="109" spans="1:36" ht="13.2">
      <c r="A109" s="3184" t="s">
        <v>2542</v>
      </c>
      <c r="B109" s="3185"/>
      <c r="C109" s="2536" t="str">
        <f>C108</f>
        <v>总额（元）</v>
      </c>
      <c r="D109" s="48">
        <f>IF(D36="同一抵押权人同一抵押物续贷",C36&amp;"（未扣减，详见特别提示）",C36)</f>
        <v>0</v>
      </c>
      <c r="E109" s="1313"/>
      <c r="F109" s="3182"/>
      <c r="G109" s="3183"/>
      <c r="H109" s="3216"/>
      <c r="I109" s="3217"/>
      <c r="J109" s="2579"/>
    </row>
    <row r="110" spans="1:36" ht="28.5" customHeight="1">
      <c r="A110" s="3184" t="s">
        <v>2566</v>
      </c>
      <c r="B110" s="3185"/>
      <c r="C110" s="2536" t="str">
        <f>C108</f>
        <v>总额（元）</v>
      </c>
      <c r="D110" s="48">
        <f>C37</f>
        <v>0</v>
      </c>
      <c r="E110" s="1313"/>
      <c r="F110" s="3165" t="str">
        <f>IF(项目基本情况!F5="已注销","——","3.房地产抵押价值")</f>
        <v>3.房地产抵押价值</v>
      </c>
      <c r="G110" s="3166"/>
      <c r="H110" s="2522" t="str">
        <f>C112</f>
        <v>总价（元）</v>
      </c>
      <c r="I110" s="2535">
        <f ca="1">IF(F110="——","——",I102-I105)</f>
        <v>8770817</v>
      </c>
      <c r="J110" s="2577"/>
    </row>
    <row r="111" spans="1:36" ht="13.2">
      <c r="A111" s="3184" t="s">
        <v>2545</v>
      </c>
      <c r="B111" s="3185"/>
      <c r="C111" s="2536" t="str">
        <f>C108</f>
        <v>总额（元）</v>
      </c>
      <c r="D111" s="48">
        <f>C38</f>
        <v>0</v>
      </c>
      <c r="E111" s="1313"/>
      <c r="F111" s="3167"/>
      <c r="G111" s="3168"/>
      <c r="H111" s="2534" t="s">
        <v>2540</v>
      </c>
      <c r="I111" s="2538">
        <f ca="1">D113</f>
        <v>19241</v>
      </c>
      <c r="J111" s="2580"/>
    </row>
    <row r="112" spans="1:36" ht="26.25" customHeight="1">
      <c r="A112" s="3182" t="str">
        <f>IF(项目基本情况!F5="已注销","——","3.房地产抵押价值")</f>
        <v>3.房地产抵押价值</v>
      </c>
      <c r="B112" s="3183"/>
      <c r="C112" s="2534" t="str">
        <f>B101</f>
        <v>总价（元）</v>
      </c>
      <c r="D112" s="2535">
        <f ca="1">IF(A112="——","——",D106-D108)</f>
        <v>8770817</v>
      </c>
      <c r="E112" s="1313"/>
      <c r="F112" s="3165" t="str">
        <f>IF(项目基本情况!F5="已注销及未注销","4.抵押担保权已注销时的房地产抵押价值",IF(项目基本情况!F5="已注销","3.抵押担保权已注销时的房地产抵押价值","——"))</f>
        <v>——</v>
      </c>
      <c r="G112" s="3166"/>
      <c r="H112" s="2522" t="str">
        <f>C114</f>
        <v>总价（元）</v>
      </c>
      <c r="I112" s="2535" t="str">
        <f>IF(F112="——","——",I102-I107-I108)</f>
        <v>——</v>
      </c>
      <c r="J112" s="2577"/>
    </row>
    <row r="113" spans="1:16" ht="13.2">
      <c r="A113" s="3182"/>
      <c r="B113" s="3183"/>
      <c r="C113" s="2534" t="s">
        <v>2533</v>
      </c>
      <c r="D113" s="48">
        <f ca="1">ROUND(IF(D112=D106,D107,IF(H19="元",D112/项目基本情况!C12,D112*10000/项目基本情况!C12)),0)</f>
        <v>19241</v>
      </c>
      <c r="E113" s="1313"/>
      <c r="F113" s="3167"/>
      <c r="G113" s="3168"/>
      <c r="H113" s="2534" t="s">
        <v>2569</v>
      </c>
      <c r="I113" s="48" t="str">
        <f>D115</f>
        <v>——</v>
      </c>
      <c r="J113" s="2561"/>
    </row>
    <row r="114" spans="1:16" ht="13.2">
      <c r="A114" s="3182" t="str">
        <f>IF(项目基本情况!F5="已注销及未注销","4.抵押担保权已注销时的房地产抵押价值",IF(项目基本情况!F5="已注销","3.抵押担保权已注销时的房地产抵押价值","——"))</f>
        <v>——</v>
      </c>
      <c r="B114" s="3183"/>
      <c r="C114" s="2534" t="str">
        <f>B101</f>
        <v>总价（元）</v>
      </c>
      <c r="D114" s="2535" t="str">
        <f>IF(A114="——","——",D106-D110-D111)</f>
        <v>——</v>
      </c>
      <c r="E114" s="1313"/>
      <c r="F114" s="3165" t="str">
        <f>IF(项目基本情况!G5="抵押净值",IF(OR(项目基本情况!F5="已注销",项目基本情况!F5="房地产抵押价值"),"4.抵押净值","5.抵押净值"),"——")</f>
        <v>——</v>
      </c>
      <c r="G114" s="3166"/>
      <c r="H114" s="2534" t="str">
        <f>C116</f>
        <v>总价（元）</v>
      </c>
      <c r="I114" s="2535" t="str">
        <f>IF(F114="——","——",O59)</f>
        <v>——</v>
      </c>
      <c r="J114" s="2577"/>
    </row>
    <row r="115" spans="1:16" ht="13.8" thickBot="1">
      <c r="A115" s="3182"/>
      <c r="B115" s="3183"/>
      <c r="C115" s="2534" t="s">
        <v>2533</v>
      </c>
      <c r="D115" s="48" t="str">
        <f>IF(A114="——","——",ROUND(IF(D114=D106,D107,IF(H19="元",D114/项目基本情况!C12,D114*10000/项目基本情况!C12)),0))</f>
        <v>——</v>
      </c>
      <c r="E115" s="1313"/>
      <c r="F115" s="3245"/>
      <c r="G115" s="3246"/>
      <c r="H115" s="2539" t="s">
        <v>2533</v>
      </c>
      <c r="I115" s="2523" t="str">
        <f ca="1">D117</f>
        <v>——</v>
      </c>
      <c r="J115" s="2561"/>
    </row>
    <row r="116" spans="1:16" ht="15.6">
      <c r="A116" s="3182" t="str">
        <f>IF(项目基本情况!G5="抵押净值",IF(OR(项目基本情况!F5="已注销",项目基本情况!F5="房地产抵押价值"),"4.抵押净值","5.抵押净值"),"——")</f>
        <v>——</v>
      </c>
      <c r="B116" s="3183"/>
      <c r="C116" s="2534" t="str">
        <f>B101</f>
        <v>总价（元）</v>
      </c>
      <c r="D116" s="2535" t="str">
        <f>IF(A116="——","——",O59)</f>
        <v>——</v>
      </c>
      <c r="E116" s="1313"/>
      <c r="F116" s="3160"/>
      <c r="G116" s="3160"/>
      <c r="H116" s="3201"/>
      <c r="I116" s="3201"/>
      <c r="J116" s="2581"/>
      <c r="O116" s="28"/>
      <c r="P116" s="28"/>
    </row>
    <row r="117" spans="1:16" ht="13.8" thickBot="1">
      <c r="A117" s="3251"/>
      <c r="B117" s="3252"/>
      <c r="C117" s="2539" t="s">
        <v>2533</v>
      </c>
      <c r="D117" s="2523" t="str">
        <f ca="1">IF(D116=D112,D113,IF(A116="——","——",O61))</f>
        <v>——</v>
      </c>
      <c r="E117" s="1313"/>
      <c r="F117" s="3244" t="str">
        <f>IF(B32="总价","（以上估价结果中单价为总价除以建筑面积得出）","（以上估价结果中总价为楼面单价乘以建筑面积得出）")</f>
        <v>（以上估价结果中总价为楼面单价乘以建筑面积得出）</v>
      </c>
      <c r="G117" s="3244"/>
      <c r="H117" s="3244"/>
      <c r="I117" s="3244"/>
      <c r="J117" s="2582"/>
      <c r="O117" s="28"/>
      <c r="P117" s="28"/>
    </row>
    <row r="118" spans="1:16" ht="14.4">
      <c r="A118" s="3202" t="s">
        <v>1634</v>
      </c>
      <c r="B118" s="3203"/>
      <c r="C118" s="3203"/>
      <c r="D118" s="3203"/>
      <c r="E118" s="3203"/>
      <c r="F118" s="3203"/>
      <c r="G118" s="3203"/>
      <c r="H118" s="3203"/>
      <c r="I118" s="3203"/>
      <c r="J118" s="2583"/>
    </row>
    <row r="119" spans="1:16" ht="13.2">
      <c r="A119" s="3175" t="s">
        <v>2551</v>
      </c>
      <c r="B119" s="3173" t="s">
        <v>2561</v>
      </c>
      <c r="C119" s="3173" t="s">
        <v>2562</v>
      </c>
      <c r="D119" s="3180" t="s">
        <v>2553</v>
      </c>
      <c r="E119" s="3181"/>
      <c r="F119" s="3171" t="s">
        <v>2563</v>
      </c>
      <c r="G119" s="3171"/>
      <c r="H119" s="3171" t="s">
        <v>2554</v>
      </c>
      <c r="I119" s="3172"/>
      <c r="J119" s="2561"/>
    </row>
    <row r="120" spans="1:16" ht="13.2">
      <c r="A120" s="3175"/>
      <c r="B120" s="3174"/>
      <c r="C120" s="3174"/>
      <c r="D120" s="1199" t="s">
        <v>2555</v>
      </c>
      <c r="E120" s="1199" t="s">
        <v>2560</v>
      </c>
      <c r="F120" s="1199" t="s">
        <v>2555</v>
      </c>
      <c r="G120" s="1199" t="s">
        <v>2556</v>
      </c>
      <c r="H120" s="1199" t="s">
        <v>2555</v>
      </c>
      <c r="I120" s="48" t="s">
        <v>2556</v>
      </c>
      <c r="J120" s="2561"/>
    </row>
    <row r="121" spans="1:16" ht="13.2">
      <c r="A121" s="1876" t="str">
        <f>项目基本情况!I1</f>
        <v>北京市房地产</v>
      </c>
      <c r="B121" s="1199">
        <f>项目基本情况!C12</f>
        <v>455.84</v>
      </c>
      <c r="C121" s="1199">
        <f>项目基本情况!C13</f>
        <v>0</v>
      </c>
      <c r="D121" s="1199">
        <f ca="1">ROUND(IF(B32="总价",C34,IF('数据-取费表'!B3="万元",E121*B121/10000,E121*B121)),0)</f>
        <v>5517032</v>
      </c>
      <c r="E121" s="1199">
        <f ca="1">ROUND(IF(B32="楼面单价",C34,IF(H19="元",D121/B121,D121*10000/B121)),0)</f>
        <v>12103</v>
      </c>
      <c r="F121" s="1199">
        <f ca="1">ROUND(IF(B32="总价",C35,IF('数据-取费表'!B3="万元",G121*B121/10000,G121*B121)),0)</f>
        <v>3253786</v>
      </c>
      <c r="G121" s="1199">
        <f ca="1">ROUND(IF(B32="楼面单价",C35,IF(H19="元",F121/B121,F121*10000/B121)),0)</f>
        <v>7138</v>
      </c>
      <c r="H121" s="1199">
        <f ca="1">ROUND(IF(B32="总价",C32,IF('数据-取费表'!B3="万元",I121*B121/10000,I121*B121)),0)</f>
        <v>8770817</v>
      </c>
      <c r="I121" s="48">
        <f ca="1">ROUND(IF(B32="楼面单价",C32,IF(H19="元",H121/B121,H121*10000/B121)),0)</f>
        <v>19241</v>
      </c>
      <c r="J121" s="2561"/>
    </row>
    <row r="122" spans="1:16" ht="13.2">
      <c r="A122" s="3175" t="s">
        <v>2557</v>
      </c>
      <c r="B122" s="3171"/>
      <c r="C122" s="3171"/>
      <c r="D122" s="3206" t="str">
        <f ca="1">IF(H19="元",NUMBERSTRING(INT(D121),2)&amp;"元整",NUMBERSTRING(INT(D121*10000),2)&amp;"元整")</f>
        <v>伍佰伍拾壹万柒仟零叁拾贰元整</v>
      </c>
      <c r="E122" s="3207"/>
      <c r="F122" s="3206" t="str">
        <f ca="1">IF(H19="元",NUMBERSTRING(INT(F121),2)&amp;"元整",NUMBERSTRING(INT(F121*10000),2)&amp;"元整")</f>
        <v>叁佰贰拾伍万叁仟柒佰捌拾陆元整</v>
      </c>
      <c r="G122" s="3207"/>
      <c r="H122" s="3206" t="str">
        <f ca="1">IF(H19="元",NUMBERSTRING(INT(H121),2)&amp;"元整",NUMBERSTRING(INT(H121*10000),2)&amp;"元整")</f>
        <v>捌佰柒拾柒万零捌佰壹拾柒元整</v>
      </c>
      <c r="I122" s="3255"/>
      <c r="J122" s="2584"/>
    </row>
    <row r="123" spans="1:16" ht="13.2">
      <c r="A123" s="3195" t="str">
        <f>IF(项目基本情况!D5="房地产市场价值","——",MID(A108,3,LEN(A108)-2))</f>
        <v>估价师所知悉的法定优先受偿款</v>
      </c>
      <c r="B123" s="3208"/>
      <c r="C123" s="3197"/>
      <c r="D123" s="3199">
        <f>I105</f>
        <v>0</v>
      </c>
      <c r="E123" s="3208"/>
      <c r="F123" s="3208"/>
      <c r="G123" s="3208"/>
      <c r="H123" s="3208"/>
      <c r="I123" s="3196"/>
      <c r="J123" s="2577"/>
    </row>
    <row r="124" spans="1:16" ht="13.2">
      <c r="A124" s="3209" t="s">
        <v>2557</v>
      </c>
      <c r="B124" s="3210"/>
      <c r="C124" s="3211"/>
      <c r="D124" s="3247">
        <f>H109</f>
        <v>0</v>
      </c>
      <c r="E124" s="3248"/>
      <c r="F124" s="3248"/>
      <c r="G124" s="3248"/>
      <c r="H124" s="3248"/>
      <c r="I124" s="3249"/>
      <c r="J124" s="2585"/>
    </row>
    <row r="125" spans="1:16" ht="13.2">
      <c r="A125" s="3182" t="str">
        <f>IF(项目基本情况!D5="房地产市场价值","——",MID(A112,3,LEN(A112)-2))</f>
        <v>房地产抵押价值</v>
      </c>
      <c r="B125" s="3183"/>
      <c r="C125" s="3183"/>
      <c r="D125" s="3199">
        <f ca="1">I110</f>
        <v>8770817</v>
      </c>
      <c r="E125" s="3208"/>
      <c r="F125" s="3208"/>
      <c r="G125" s="3208"/>
      <c r="H125" s="3208"/>
      <c r="I125" s="3196"/>
      <c r="J125" s="2577"/>
    </row>
    <row r="126" spans="1:16" ht="13.2">
      <c r="A126" s="3175" t="s">
        <v>2557</v>
      </c>
      <c r="B126" s="3171"/>
      <c r="C126" s="3171"/>
      <c r="D126" s="3247">
        <f ca="1">I111</f>
        <v>19241</v>
      </c>
      <c r="E126" s="3248"/>
      <c r="F126" s="3248"/>
      <c r="G126" s="3248"/>
      <c r="H126" s="3248"/>
      <c r="I126" s="3249"/>
      <c r="J126" s="2585"/>
    </row>
    <row r="127" spans="1:16" ht="13.8" thickBot="1">
      <c r="A127" s="3182" t="str">
        <f>IF(项目基本情况!D5="房地产市场价值","——",MID(A114,3,LEN(A114)-2))</f>
        <v/>
      </c>
      <c r="B127" s="3183"/>
      <c r="C127" s="3183"/>
      <c r="D127" s="3155" t="str">
        <f>I112</f>
        <v>——</v>
      </c>
      <c r="E127" s="3156"/>
      <c r="F127" s="3156"/>
      <c r="G127" s="3156"/>
      <c r="H127" s="3156"/>
      <c r="I127" s="3157"/>
      <c r="J127" s="2577"/>
    </row>
    <row r="128" spans="1:16" ht="14.4" thickTop="1" thickBot="1">
      <c r="A128" s="3175" t="s">
        <v>2557</v>
      </c>
      <c r="B128" s="3171"/>
      <c r="C128" s="3222"/>
      <c r="D128" s="3200" t="str">
        <f>I113</f>
        <v>——</v>
      </c>
      <c r="E128" s="3200"/>
      <c r="F128" s="3200"/>
      <c r="G128" s="3200"/>
      <c r="H128" s="3200"/>
      <c r="I128" s="3200"/>
      <c r="J128" s="2585"/>
    </row>
    <row r="129" spans="1:10" ht="14.4" thickTop="1" thickBot="1">
      <c r="A129" s="3182" t="str">
        <f>IF(项目基本情况!D5="房地产市场价值","——",MID(F114,3,LEN(F114)-2))</f>
        <v/>
      </c>
      <c r="B129" s="3183"/>
      <c r="C129" s="3199"/>
      <c r="D129" s="3250" t="str">
        <f>I114</f>
        <v>——</v>
      </c>
      <c r="E129" s="3250"/>
      <c r="F129" s="3250"/>
      <c r="G129" s="3250"/>
      <c r="H129" s="3250"/>
      <c r="I129" s="3250"/>
      <c r="J129" s="2577"/>
    </row>
    <row r="130" spans="1:10" ht="14.4" thickTop="1" thickBot="1">
      <c r="A130" s="3238" t="s">
        <v>2557</v>
      </c>
      <c r="B130" s="3239"/>
      <c r="C130" s="3239"/>
      <c r="D130" s="3256">
        <f>H116</f>
        <v>0</v>
      </c>
      <c r="E130" s="3257"/>
      <c r="F130" s="3257"/>
      <c r="G130" s="3257"/>
      <c r="H130" s="3257"/>
      <c r="I130" s="3258"/>
      <c r="J130" s="2585"/>
    </row>
    <row r="131" spans="1:10" ht="13.2">
      <c r="A131" s="1330" t="str">
        <f>IF(H19="元","单位：平方米、元、元/平方米（币种：人民币）","单位：平方米、万元、元/平方米（币种：人民币）")</f>
        <v>单位：平方米、元、元/平方米（币种：人民币）</v>
      </c>
      <c r="B131" s="1330"/>
      <c r="C131" s="1330"/>
      <c r="D131" s="1330"/>
      <c r="E131" s="1330"/>
      <c r="F131" s="1330"/>
      <c r="G131" s="1330"/>
      <c r="H131" s="1330"/>
      <c r="I131" s="1330"/>
      <c r="J131" s="2562"/>
    </row>
    <row r="132" spans="1:10" ht="13.8" thickBot="1">
      <c r="A132" s="3243" t="str">
        <f>IF(B32="总价","（以上估价结果中楼面单价为总价除以建筑面积得出）","（以上估价结果中总价为楼面单价乘以建筑面积得出）")</f>
        <v>（以上估价结果中总价为楼面单价乘以建筑面积得出）</v>
      </c>
      <c r="B132" s="3243"/>
      <c r="C132" s="3243"/>
      <c r="D132" s="3243"/>
      <c r="E132" s="3243"/>
      <c r="F132" s="3243"/>
      <c r="G132" s="3243"/>
      <c r="H132" s="3243"/>
      <c r="I132" s="3243"/>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65" t="s">
        <v>1643</v>
      </c>
      <c r="B2" s="3265"/>
      <c r="C2" s="3265"/>
      <c r="D2" s="3265"/>
      <c r="E2" s="3265"/>
      <c r="F2" s="3265"/>
      <c r="G2" s="3265"/>
      <c r="H2" s="3265"/>
      <c r="I2" s="3265"/>
      <c r="J2" s="2588"/>
    </row>
    <row r="3" spans="1:15" ht="13.2">
      <c r="A3" s="3225" t="s">
        <v>1471</v>
      </c>
      <c r="B3" s="3226"/>
      <c r="C3" s="3226"/>
      <c r="D3" s="3226"/>
      <c r="E3" s="3226"/>
      <c r="F3" s="3226"/>
      <c r="G3" s="3226"/>
      <c r="H3" s="3226"/>
      <c r="I3" s="3226"/>
      <c r="J3" s="2560"/>
    </row>
    <row r="4" spans="1:15" ht="14.4">
      <c r="A4" s="2433" t="s">
        <v>1472</v>
      </c>
      <c r="B4" s="2433" t="s">
        <v>1473</v>
      </c>
      <c r="C4" s="2434"/>
      <c r="D4" s="2434"/>
      <c r="E4" s="3222" t="s">
        <v>1644</v>
      </c>
      <c r="F4" s="3210"/>
      <c r="G4" s="3210"/>
      <c r="H4" s="3210"/>
      <c r="I4" s="3211"/>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c r="D14" s="3224"/>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41" t="s">
        <v>2576</v>
      </c>
      <c r="F18" s="3242"/>
      <c r="G18" s="3242"/>
      <c r="H18" s="3242"/>
      <c r="I18" s="3242"/>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87" t="s">
        <v>1647</v>
      </c>
      <c r="B32" s="3287"/>
      <c r="C32" s="3287"/>
      <c r="D32" s="3287"/>
      <c r="E32" s="3287"/>
      <c r="F32" s="3287"/>
      <c r="G32" s="3287"/>
      <c r="H32" s="3287"/>
      <c r="I32" s="3287"/>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元</v>
      </c>
      <c r="E36" s="862"/>
      <c r="F36" s="862"/>
      <c r="G36" s="862"/>
      <c r="H36" s="862"/>
      <c r="I36" s="862"/>
      <c r="J36" s="2562"/>
    </row>
    <row r="37" spans="1:16" ht="15" thickBot="1">
      <c r="A37" s="1317"/>
      <c r="B37" s="1319" t="s">
        <v>1655</v>
      </c>
      <c r="C37" s="2498">
        <f>IF('数据-取费表'!B3="万元",典型户型修正!Y25,典型户型修正!X25)</f>
        <v>0</v>
      </c>
      <c r="D37" s="1330" t="str">
        <f>D34</f>
        <v>元</v>
      </c>
      <c r="E37" s="862"/>
      <c r="F37" s="862"/>
      <c r="G37" s="862"/>
      <c r="H37" s="862"/>
      <c r="I37" s="862"/>
      <c r="J37" s="2562"/>
    </row>
    <row r="38" spans="1:16" ht="15" thickBot="1">
      <c r="A38" s="3230" t="s">
        <v>1656</v>
      </c>
      <c r="B38" s="1318" t="s">
        <v>1657</v>
      </c>
      <c r="C38" s="2475"/>
      <c r="D38" s="2476"/>
      <c r="E38" s="1180"/>
      <c r="F38" s="1180"/>
      <c r="G38" s="862"/>
      <c r="H38" s="862"/>
      <c r="I38" s="862"/>
      <c r="J38" s="2562"/>
    </row>
    <row r="39" spans="1:16" ht="15" thickBot="1">
      <c r="A39" s="3235"/>
      <c r="B39" s="1885" t="s">
        <v>1658</v>
      </c>
      <c r="C39" s="2477"/>
      <c r="D39" s="1180"/>
      <c r="E39" s="1180"/>
      <c r="F39" s="1180"/>
      <c r="G39" s="1180"/>
      <c r="H39" s="1180"/>
      <c r="I39" s="1180"/>
      <c r="J39" s="2566"/>
    </row>
    <row r="40" spans="1:16" ht="15" thickBot="1">
      <c r="A40" s="3236"/>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55" t="s">
        <v>1669</v>
      </c>
      <c r="B47" s="3156"/>
      <c r="C47" s="3166"/>
      <c r="D47" s="242">
        <f>ROUND(I104*F47,0)</f>
        <v>0</v>
      </c>
      <c r="E47" s="1386" t="s">
        <v>1670</v>
      </c>
      <c r="F47" s="2301">
        <v>1</v>
      </c>
      <c r="G47" s="2302" t="s">
        <v>1671</v>
      </c>
      <c r="H47" s="862"/>
      <c r="I47" s="862"/>
      <c r="J47" s="2562"/>
      <c r="K47" s="3260" t="s">
        <v>1527</v>
      </c>
      <c r="L47" s="3260"/>
      <c r="M47" s="3260"/>
      <c r="N47" s="3260"/>
      <c r="O47" s="3260"/>
      <c r="P47" s="3260"/>
    </row>
    <row r="48" spans="1:16" ht="14.25" customHeight="1">
      <c r="A48" s="3232" t="s">
        <v>1528</v>
      </c>
      <c r="B48" s="3233"/>
      <c r="C48" s="3233"/>
      <c r="D48" s="3233"/>
      <c r="E48" s="3233"/>
      <c r="F48" s="3233"/>
      <c r="G48" s="3234"/>
      <c r="H48" s="2678"/>
      <c r="I48" s="862"/>
      <c r="J48" s="2562"/>
      <c r="K48" s="2253">
        <v>1</v>
      </c>
      <c r="L48" s="3261" t="s">
        <v>1529</v>
      </c>
      <c r="M48" s="3261"/>
      <c r="N48" s="3262"/>
      <c r="O48" s="3262"/>
      <c r="P48" s="3262"/>
    </row>
    <row r="49" spans="1:17" ht="12" customHeight="1">
      <c r="A49" s="34" t="s">
        <v>1530</v>
      </c>
      <c r="B49" s="35"/>
      <c r="C49" s="36"/>
      <c r="D49" s="979" t="s">
        <v>1531</v>
      </c>
      <c r="E49" s="231" t="s">
        <v>1532</v>
      </c>
      <c r="F49" s="37" t="s">
        <v>1533</v>
      </c>
      <c r="G49" s="2303" t="s">
        <v>1534</v>
      </c>
      <c r="H49" s="2678"/>
      <c r="I49" s="862"/>
      <c r="J49" s="2562"/>
      <c r="K49" s="2253">
        <v>2</v>
      </c>
      <c r="L49" s="3261" t="s">
        <v>1535</v>
      </c>
      <c r="M49" s="3261"/>
      <c r="N49" s="3264">
        <f>'数据-取费表'!B2</f>
        <v>44908</v>
      </c>
      <c r="O49" s="3264"/>
      <c r="P49" s="3264"/>
    </row>
    <row r="50" spans="1:17" ht="26.4">
      <c r="A50" s="3237" t="s">
        <v>1536</v>
      </c>
      <c r="B50" s="3171"/>
      <c r="C50" s="3171"/>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61" t="s">
        <v>1539</v>
      </c>
      <c r="M50" s="3261"/>
      <c r="N50" s="3266">
        <f>I104</f>
        <v>0</v>
      </c>
      <c r="O50" s="3266"/>
      <c r="P50" s="3266"/>
    </row>
    <row r="51" spans="1:17" ht="25.5" customHeight="1">
      <c r="A51" s="1883" t="s">
        <v>1540</v>
      </c>
      <c r="B51" s="3210" t="s">
        <v>1541</v>
      </c>
      <c r="C51" s="3210"/>
      <c r="D51" s="2307">
        <v>0</v>
      </c>
      <c r="E51" s="257" t="s">
        <v>1542</v>
      </c>
      <c r="F51" s="2308" t="s">
        <v>48</v>
      </c>
      <c r="G51" s="3152"/>
      <c r="H51" s="2309" t="s">
        <v>2500</v>
      </c>
      <c r="I51" s="2310"/>
      <c r="J51" s="2570"/>
      <c r="K51" s="2253">
        <v>4</v>
      </c>
      <c r="L51" s="3261" t="str">
        <f>IF(项目基本情况!F5="房地产抵押价值","房地产抵押价值","抵押担保权已注销时的房地产抵押价值")</f>
        <v>房地产抵押价值</v>
      </c>
      <c r="M51" s="3261"/>
      <c r="N51" s="3266">
        <f>IF(项目基本情况!F5="房地产抵押价值",I112,I114)</f>
        <v>0</v>
      </c>
      <c r="O51" s="3266"/>
      <c r="P51" s="3266"/>
    </row>
    <row r="52" spans="1:17" ht="25.5" customHeight="1">
      <c r="A52" s="1875"/>
      <c r="B52" s="3210" t="s">
        <v>1543</v>
      </c>
      <c r="C52" s="3210"/>
      <c r="D52" s="2311"/>
      <c r="E52" s="265"/>
      <c r="F52" s="2308"/>
      <c r="G52" s="3153"/>
      <c r="H52" s="2312" t="s">
        <v>2501</v>
      </c>
      <c r="I52" s="2310"/>
      <c r="J52" s="2570"/>
      <c r="K52" s="3261" t="s">
        <v>1544</v>
      </c>
      <c r="L52" s="3261"/>
      <c r="M52" s="3261"/>
      <c r="N52" s="3261"/>
      <c r="O52" s="3261"/>
      <c r="P52" s="3261"/>
    </row>
    <row r="53" spans="1:17" ht="20.399999999999999" customHeight="1">
      <c r="A53" s="2313"/>
      <c r="B53" s="3210" t="s">
        <v>1545</v>
      </c>
      <c r="C53" s="3210"/>
      <c r="D53" s="979"/>
      <c r="E53" s="260"/>
      <c r="F53" s="2308"/>
      <c r="G53" s="3154"/>
      <c r="H53" s="2312" t="s">
        <v>2502</v>
      </c>
      <c r="I53" s="2310"/>
      <c r="J53" s="2570"/>
      <c r="K53" s="2254" t="s">
        <v>1546</v>
      </c>
      <c r="L53" s="3261" t="s">
        <v>1547</v>
      </c>
      <c r="M53" s="3261"/>
      <c r="N53" s="2254" t="s">
        <v>1548</v>
      </c>
      <c r="O53" s="2254" t="s">
        <v>1549</v>
      </c>
      <c r="P53" s="2254" t="s">
        <v>1550</v>
      </c>
    </row>
    <row r="54" spans="1:17" ht="24" customHeight="1">
      <c r="A54" s="1876" t="s">
        <v>1551</v>
      </c>
      <c r="B54" s="3210" t="s">
        <v>1552</v>
      </c>
      <c r="C54" s="3210"/>
      <c r="D54" s="979">
        <f>ROUND(D47*'数据-取费表'!E29/(1+'数据-取费表'!F30),0)</f>
        <v>0</v>
      </c>
      <c r="E54" s="1199" t="s">
        <v>1553</v>
      </c>
      <c r="F54" s="2314">
        <f>'数据-取费表'!E29</f>
        <v>5.6000000000000001E-2</v>
      </c>
      <c r="G54" s="2315"/>
      <c r="H54" s="862"/>
      <c r="I54" s="2679"/>
      <c r="J54" s="2570"/>
      <c r="K54" s="2253">
        <v>1</v>
      </c>
      <c r="L54" s="3263" t="s">
        <v>1554</v>
      </c>
      <c r="M54" s="3263"/>
      <c r="N54" s="2255">
        <f>D50</f>
        <v>0</v>
      </c>
      <c r="O54" s="2253" t="str">
        <f>E50</f>
        <v>销售额×税（费）率</v>
      </c>
      <c r="P54" s="2256">
        <f>F50</f>
        <v>5.6000000000000001E-2</v>
      </c>
    </row>
    <row r="55" spans="1:17" ht="12" customHeight="1">
      <c r="A55" s="1876" t="s">
        <v>1555</v>
      </c>
      <c r="B55" s="3222" t="s">
        <v>2593</v>
      </c>
      <c r="C55" s="3211"/>
      <c r="D55" s="979">
        <f>ROUND(D47*'数据-取费表'!E29/(1+'数据-取费表'!F30),0)</f>
        <v>0</v>
      </c>
      <c r="E55" s="1199" t="s">
        <v>1553</v>
      </c>
      <c r="F55" s="2314">
        <f>'数据-取费表'!E29</f>
        <v>5.6000000000000001E-2</v>
      </c>
      <c r="G55" s="2315"/>
      <c r="H55" s="862"/>
      <c r="I55" s="2679"/>
      <c r="J55" s="2570"/>
      <c r="K55" s="2253">
        <v>2</v>
      </c>
      <c r="L55" s="3263" t="s">
        <v>1556</v>
      </c>
      <c r="M55" s="3263"/>
      <c r="N55" s="2255">
        <f t="shared" ref="N55:P56" si="1">D57</f>
        <v>0</v>
      </c>
      <c r="O55" s="2253" t="str">
        <f t="shared" si="1"/>
        <v>销售额×税（费）率</v>
      </c>
      <c r="P55" s="2256">
        <f t="shared" si="1"/>
        <v>5.0000000000000001E-4</v>
      </c>
    </row>
    <row r="56" spans="1:17" ht="12" customHeight="1">
      <c r="A56" s="1876" t="s">
        <v>1557</v>
      </c>
      <c r="B56" s="3222" t="s">
        <v>2594</v>
      </c>
      <c r="C56" s="3211"/>
      <c r="D56" s="979">
        <f>C70</f>
        <v>0</v>
      </c>
      <c r="E56" s="260" t="s">
        <v>1558</v>
      </c>
      <c r="F56" s="2314">
        <f>'数据-取费表'!E29</f>
        <v>5.6000000000000001E-2</v>
      </c>
      <c r="G56" s="2315"/>
      <c r="H56" s="2680"/>
      <c r="I56" s="2679"/>
      <c r="J56" s="2570"/>
      <c r="K56" s="2253">
        <v>3</v>
      </c>
      <c r="L56" s="3263" t="s">
        <v>1559</v>
      </c>
      <c r="M56" s="3263"/>
      <c r="N56" s="2255">
        <f t="shared" si="1"/>
        <v>0</v>
      </c>
      <c r="O56" s="2253" t="str">
        <f t="shared" si="1"/>
        <v>增值额×税（费）率</v>
      </c>
      <c r="P56" s="2257" t="str">
        <f t="shared" si="1"/>
        <v>——</v>
      </c>
    </row>
    <row r="57" spans="1:17" ht="24" customHeight="1">
      <c r="A57" s="3175" t="s">
        <v>1560</v>
      </c>
      <c r="B57" s="3171"/>
      <c r="C57" s="3171"/>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63" t="str">
        <f>IF(H61="非个人房产","——","个人所得税")</f>
        <v>个人所得税</v>
      </c>
      <c r="M57" s="3263"/>
      <c r="N57" s="2258">
        <f>D61</f>
        <v>0</v>
      </c>
      <c r="O57" s="2259" t="str">
        <f>E61</f>
        <v>销售额×税（费）率</v>
      </c>
      <c r="P57" s="2260">
        <f>F61</f>
        <v>0.01</v>
      </c>
    </row>
    <row r="58" spans="1:17" ht="25.2">
      <c r="A58" s="3175" t="s">
        <v>1563</v>
      </c>
      <c r="B58" s="3171"/>
      <c r="C58" s="3171"/>
      <c r="D58" s="11">
        <f>IF(H58="个人住宅",D59,D60)</f>
        <v>0</v>
      </c>
      <c r="E58" s="1199" t="s">
        <v>1564</v>
      </c>
      <c r="F58" s="2314" t="str">
        <f>IF(H58="正常",F60,"免征")</f>
        <v>——</v>
      </c>
      <c r="G58" s="2316" t="s">
        <v>1565</v>
      </c>
      <c r="H58" s="2317" t="s">
        <v>1562</v>
      </c>
      <c r="I58" s="2681"/>
      <c r="J58" s="2570"/>
      <c r="K58" s="2253" t="str">
        <f>IF(项目基本情况!I6="上海银行",IF(K57="",4,K57+1),"")</f>
        <v/>
      </c>
      <c r="L58" s="3267" t="str">
        <f>IF(项目基本情况!I6="上海银行","其他处置费用","")</f>
        <v/>
      </c>
      <c r="M58" s="3272"/>
      <c r="N58" s="2255" t="str">
        <f>IF(项目基本情况!I6="上海银行",N71,"")</f>
        <v/>
      </c>
      <c r="O58" s="3267" t="str">
        <f>IF(项目基本情况!I6="上海银行","包含处置中涉及的律师、诉讼、拍卖、评估等费用","")</f>
        <v/>
      </c>
      <c r="P58" s="3268"/>
    </row>
    <row r="59" spans="1:17" ht="13.2">
      <c r="A59" s="1876" t="s">
        <v>1540</v>
      </c>
      <c r="B59" s="3222" t="s">
        <v>1566</v>
      </c>
      <c r="C59" s="3211"/>
      <c r="D59" s="2307">
        <v>0</v>
      </c>
      <c r="E59" s="257" t="s">
        <v>1542</v>
      </c>
      <c r="F59" s="231"/>
      <c r="G59" s="2315"/>
      <c r="H59" s="2681"/>
      <c r="I59" s="2681"/>
      <c r="J59" s="2570"/>
      <c r="K59" s="3263">
        <f>IF(AND(K57="",K58=""),4,IF(项目基本情况!I6="上海银行",K58+1,K57+1))</f>
        <v>5</v>
      </c>
      <c r="L59" s="3263" t="s">
        <v>1567</v>
      </c>
      <c r="M59" s="2261" t="s">
        <v>1568</v>
      </c>
      <c r="N59" s="2262"/>
      <c r="O59" s="2263">
        <f>SUMIF(N54:N58,"&lt;9e307")</f>
        <v>0</v>
      </c>
      <c r="P59" s="2264"/>
      <c r="Q59" s="1175" t="e">
        <f>O59/N51</f>
        <v>#DIV/0!</v>
      </c>
    </row>
    <row r="60" spans="1:17" ht="25.2">
      <c r="A60" s="1876" t="s">
        <v>1551</v>
      </c>
      <c r="B60" s="3222" t="s">
        <v>1569</v>
      </c>
      <c r="C60" s="3210"/>
      <c r="D60" s="11">
        <f>IF(H60="转让取得",C83,C99)</f>
        <v>0</v>
      </c>
      <c r="E60" s="1199" t="s">
        <v>1564</v>
      </c>
      <c r="F60" s="231" t="s">
        <v>48</v>
      </c>
      <c r="G60" s="2315"/>
      <c r="H60" s="2317" t="s">
        <v>1570</v>
      </c>
      <c r="I60" s="2681"/>
      <c r="J60" s="2570"/>
      <c r="K60" s="3263"/>
      <c r="L60" s="3263"/>
      <c r="M60" s="2261" t="s">
        <v>1571</v>
      </c>
      <c r="N60" s="2265"/>
      <c r="O60" s="2266" t="str">
        <f>IF(H19="元",NUMBERSTRING(INT(O59),2)&amp;"元整",NUMBERSTRING(INT(O59*10000),2)&amp;"元整")</f>
        <v>零元整</v>
      </c>
      <c r="P60" s="2267"/>
    </row>
    <row r="61" spans="1:17" ht="27" thickBot="1">
      <c r="A61" s="3238" t="s">
        <v>1572</v>
      </c>
      <c r="B61" s="3239"/>
      <c r="C61" s="3239"/>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69">
        <f>K59+1</f>
        <v>6</v>
      </c>
      <c r="L61" s="3263" t="s">
        <v>1573</v>
      </c>
      <c r="M61" s="2253" t="s">
        <v>1568</v>
      </c>
      <c r="N61" s="2268"/>
      <c r="O61" s="2269">
        <f>N51-O59</f>
        <v>0</v>
      </c>
      <c r="P61" s="2270"/>
    </row>
    <row r="62" spans="1:17" ht="12" customHeight="1">
      <c r="A62" s="1309"/>
      <c r="B62" s="1330"/>
      <c r="C62" s="1330"/>
      <c r="D62" s="1330"/>
      <c r="E62" s="1309"/>
      <c r="F62" s="2681"/>
      <c r="G62" s="2681"/>
      <c r="H62" s="862"/>
      <c r="I62" s="862"/>
      <c r="J62" s="2570"/>
      <c r="K62" s="3270"/>
      <c r="L62" s="3263"/>
      <c r="M62" s="2261" t="s">
        <v>1571</v>
      </c>
      <c r="N62" s="2265"/>
      <c r="O62" s="2266" t="str">
        <f>IF(H19="元",NUMBERSTRING(INT(O61),2)&amp;"元整",NUMBERSTRING(INT(O61*10000),2)&amp;"元整")</f>
        <v>零元整</v>
      </c>
      <c r="P62" s="2267"/>
    </row>
    <row r="63" spans="1:17" ht="13.8" thickBot="1">
      <c r="A63" s="3271" t="s">
        <v>1574</v>
      </c>
      <c r="B63" s="3271"/>
      <c r="C63" s="3271"/>
      <c r="D63" s="3271"/>
      <c r="E63" s="3271"/>
      <c r="F63" s="2681"/>
      <c r="G63" s="2681"/>
      <c r="H63" s="862"/>
      <c r="I63" s="862"/>
      <c r="J63" s="2562"/>
      <c r="K63" s="2253">
        <f>K61+1</f>
        <v>7</v>
      </c>
      <c r="L63" s="3263" t="s">
        <v>1575</v>
      </c>
      <c r="M63" s="3263"/>
      <c r="N63" s="2271"/>
      <c r="O63" s="2272">
        <f>IF(H19="元",ROUND(O61/项目基本情况!C12,0),ROUND(O61*10000/项目基本情况!C12,0))</f>
        <v>0</v>
      </c>
      <c r="P63" s="2273"/>
    </row>
    <row r="64" spans="1:17" ht="13.2">
      <c r="A64" s="3189" t="s">
        <v>1576</v>
      </c>
      <c r="B64" s="3190"/>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59"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59"/>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59"/>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59"/>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59"/>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5.6000000000000001E-2</v>
      </c>
      <c r="E70" s="53"/>
      <c r="F70" s="2681"/>
      <c r="G70" s="2681"/>
      <c r="H70" s="862"/>
      <c r="I70" s="862"/>
      <c r="J70" s="2562"/>
      <c r="K70" s="3259"/>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59"/>
      <c r="L71" s="1176" t="s">
        <v>1595</v>
      </c>
      <c r="M71" s="1176"/>
      <c r="N71" s="231">
        <f>ROUND(SUM(N65:N70),0)</f>
        <v>0</v>
      </c>
      <c r="O71" s="2275" t="e">
        <f>N71/N51</f>
        <v>#DIV/0!</v>
      </c>
    </row>
    <row r="72" spans="1:36" s="582" customFormat="1" ht="14.4" thickBot="1">
      <c r="A72" s="3276" t="s">
        <v>1596</v>
      </c>
      <c r="B72" s="3277"/>
      <c r="C72" s="3277"/>
      <c r="D72" s="3277"/>
      <c r="E72" s="3277"/>
      <c r="F72" s="3277"/>
      <c r="G72" s="3277"/>
      <c r="H72" s="3277"/>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189" t="s">
        <v>1576</v>
      </c>
      <c r="B73" s="3190"/>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222" t="s">
        <v>1606</v>
      </c>
      <c r="F78" s="3210"/>
      <c r="G78" s="3210"/>
      <c r="H78" s="3223"/>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58" t="s">
        <v>1611</v>
      </c>
      <c r="F80" s="3159"/>
      <c r="G80" s="3159"/>
      <c r="H80" s="3179"/>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6" t="s">
        <v>1615</v>
      </c>
      <c r="B85" s="3277"/>
      <c r="C85" s="3277"/>
      <c r="D85" s="3277"/>
      <c r="E85" s="3277"/>
      <c r="F85" s="3277"/>
      <c r="G85" s="3277"/>
      <c r="H85" s="3277"/>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189" t="s">
        <v>1576</v>
      </c>
      <c r="B86" s="3190"/>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198" t="s">
        <v>2494</v>
      </c>
      <c r="H92" s="3278"/>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58" t="s">
        <v>1623</v>
      </c>
      <c r="F93" s="3159"/>
      <c r="G93" s="3159"/>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58" t="s">
        <v>1626</v>
      </c>
      <c r="F94" s="3159"/>
      <c r="G94" s="3159"/>
      <c r="H94" s="3179"/>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58" t="s">
        <v>1611</v>
      </c>
      <c r="F95" s="3159"/>
      <c r="G95" s="3159"/>
      <c r="H95" s="3179"/>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58" t="s">
        <v>1628</v>
      </c>
      <c r="F96" s="3159"/>
      <c r="G96" s="3159"/>
      <c r="H96" s="3179"/>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176" t="s">
        <v>1630</v>
      </c>
      <c r="B101" s="3177"/>
      <c r="C101" s="3177"/>
      <c r="D101" s="3178"/>
      <c r="E101" s="1313"/>
      <c r="F101" s="3273" t="s">
        <v>2536</v>
      </c>
      <c r="G101" s="3274"/>
      <c r="H101" s="3274"/>
      <c r="I101" s="3275"/>
      <c r="J101" s="2595"/>
    </row>
    <row r="102" spans="1:36" ht="15">
      <c r="A102" s="3193" t="s">
        <v>1632</v>
      </c>
      <c r="B102" s="3194"/>
      <c r="C102" s="2520">
        <f>C4</f>
        <v>0</v>
      </c>
      <c r="D102" s="2521">
        <f>D4</f>
        <v>0</v>
      </c>
      <c r="E102" s="1313"/>
      <c r="F102" s="3195" t="s">
        <v>2537</v>
      </c>
      <c r="G102" s="3197"/>
      <c r="H102" s="3208" t="s">
        <v>2538</v>
      </c>
      <c r="I102" s="3196"/>
      <c r="J102" s="2577"/>
    </row>
    <row r="103" spans="1:36" ht="13.2">
      <c r="A103" s="3279" t="s">
        <v>2532</v>
      </c>
      <c r="B103" s="1840" t="str">
        <f>IF(H19="元","总价（元）","总价（万元）")</f>
        <v>总价（元）</v>
      </c>
      <c r="C103" s="1176" t="e">
        <f ca="1">C19</f>
        <v>#REF!</v>
      </c>
      <c r="D103" s="2524" t="e">
        <f ca="1">D19</f>
        <v>#REF!</v>
      </c>
      <c r="E103" s="1313"/>
      <c r="F103" s="3280"/>
      <c r="G103" s="3281"/>
      <c r="H103" s="3199">
        <f>典型户型修正!B25</f>
        <v>0</v>
      </c>
      <c r="I103" s="3196"/>
      <c r="J103" s="2577"/>
    </row>
    <row r="104" spans="1:36" ht="13.2">
      <c r="A104" s="3279"/>
      <c r="B104" s="1840" t="s">
        <v>2533</v>
      </c>
      <c r="C104" s="2525" t="e">
        <f ca="1">C20</f>
        <v>#REF!</v>
      </c>
      <c r="D104" s="2526" t="e">
        <f ca="1">D20</f>
        <v>#REF!</v>
      </c>
      <c r="E104" s="1313"/>
      <c r="F104" s="3182" t="s">
        <v>2539</v>
      </c>
      <c r="G104" s="3183"/>
      <c r="H104" s="2534" t="str">
        <f>C110</f>
        <v>总价（元）</v>
      </c>
      <c r="I104" s="2535">
        <f>H125</f>
        <v>0</v>
      </c>
      <c r="J104" s="2577"/>
    </row>
    <row r="105" spans="1:36" ht="13.2">
      <c r="A105" s="3279" t="s">
        <v>2534</v>
      </c>
      <c r="B105" s="2026" t="str">
        <f>B103</f>
        <v>总价（元）</v>
      </c>
      <c r="C105" s="11" t="e">
        <f ca="1">ROUND(IF('数据-取费表'!B4="总价",G19,IF(H19="元",G20*'数据-取费表'!E5,G20*'数据-取费表'!E5/10000)),0)</f>
        <v>#REF!</v>
      </c>
      <c r="D105" s="2527"/>
      <c r="E105" s="1313"/>
      <c r="F105" s="3182"/>
      <c r="G105" s="3183"/>
      <c r="H105" s="2534" t="s">
        <v>2540</v>
      </c>
      <c r="I105" s="48" t="e">
        <f>I125</f>
        <v>#DIV/0!</v>
      </c>
      <c r="J105" s="2561"/>
    </row>
    <row r="106" spans="1:36" ht="13.2">
      <c r="A106" s="3279"/>
      <c r="B106" s="1840" t="s">
        <v>2533</v>
      </c>
      <c r="C106" s="1330" t="e">
        <f ca="1">ROUND(IF('数据-取费表'!B4="楼面单价",G20,IF(H19="元",G19/'数据-取费表'!E5,G19*10000/'数据-取费表'!E5)),0)</f>
        <v>#REF!</v>
      </c>
      <c r="D106" s="2527"/>
      <c r="E106" s="1313"/>
      <c r="F106" s="3182"/>
      <c r="G106" s="3183"/>
      <c r="H106" s="3214"/>
      <c r="I106" s="3215"/>
      <c r="J106" s="2578"/>
    </row>
    <row r="107" spans="1:36" ht="13.2">
      <c r="A107" s="3286" t="s">
        <v>2535</v>
      </c>
      <c r="B107" s="2528" t="str">
        <f>B103</f>
        <v>总价（元）</v>
      </c>
      <c r="C107" s="2529">
        <f>H125</f>
        <v>0</v>
      </c>
      <c r="D107" s="2530"/>
      <c r="E107" s="1313"/>
      <c r="F107" s="3218" t="s">
        <v>2541</v>
      </c>
      <c r="G107" s="3219"/>
      <c r="H107" s="2536" t="str">
        <f>C112</f>
        <v>总额（元）</v>
      </c>
      <c r="I107" s="2535">
        <f>SUMIF(I108:I110,"&lt;9E307")</f>
        <v>0</v>
      </c>
      <c r="J107" s="2577"/>
    </row>
    <row r="108" spans="1:36" ht="14.4" thickBot="1">
      <c r="A108" s="3213"/>
      <c r="B108" s="2531" t="s">
        <v>2533</v>
      </c>
      <c r="C108" s="2532" t="e">
        <f>I125</f>
        <v>#DIV/0!</v>
      </c>
      <c r="D108" s="2533"/>
      <c r="E108" s="1313"/>
      <c r="F108" s="3184" t="s">
        <v>2542</v>
      </c>
      <c r="G108" s="3185"/>
      <c r="H108" s="2536" t="str">
        <f>C113</f>
        <v>总额（元）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82" t="s">
        <v>1633</v>
      </c>
      <c r="B109" s="3283"/>
      <c r="C109" s="3283"/>
      <c r="D109" s="3284"/>
      <c r="E109" s="1313"/>
      <c r="F109" s="3184" t="s">
        <v>2543</v>
      </c>
      <c r="G109" s="3185"/>
      <c r="H109" s="2536" t="str">
        <f>C114</f>
        <v>总额（元）</v>
      </c>
      <c r="I109" s="48">
        <f>C39</f>
        <v>0</v>
      </c>
      <c r="J109" s="2561"/>
    </row>
    <row r="110" spans="1:36" ht="13.2">
      <c r="A110" s="3182" t="s">
        <v>2546</v>
      </c>
      <c r="B110" s="3183"/>
      <c r="C110" s="2534" t="str">
        <f>B103</f>
        <v>总价（元）</v>
      </c>
      <c r="D110" s="2535">
        <f>H125</f>
        <v>0</v>
      </c>
      <c r="E110" s="1313"/>
      <c r="F110" s="3184" t="s">
        <v>2544</v>
      </c>
      <c r="G110" s="3185"/>
      <c r="H110" s="2536" t="str">
        <f>C115</f>
        <v>总额（元）</v>
      </c>
      <c r="I110" s="48">
        <f>C40</f>
        <v>0</v>
      </c>
      <c r="J110" s="2561"/>
    </row>
    <row r="111" spans="1:36" ht="13.2">
      <c r="A111" s="3182"/>
      <c r="B111" s="3183"/>
      <c r="C111" s="2534" t="s">
        <v>2547</v>
      </c>
      <c r="D111" s="48" t="e">
        <f>I125</f>
        <v>#DIV/0!</v>
      </c>
      <c r="E111" s="1313"/>
      <c r="F111" s="3182"/>
      <c r="G111" s="3183"/>
      <c r="H111" s="3216"/>
      <c r="I111" s="3217"/>
      <c r="J111" s="2579"/>
    </row>
    <row r="112" spans="1:36" ht="28.5" customHeight="1">
      <c r="A112" s="3253" t="s">
        <v>2541</v>
      </c>
      <c r="B112" s="3254"/>
      <c r="C112" s="2536" t="str">
        <f>IF(H19="元","总额（元）","总额（万元）")</f>
        <v>总额（元）</v>
      </c>
      <c r="D112" s="2535">
        <f>IF(D38="正常操作",I108+I109+I110,I109+I110)</f>
        <v>0</v>
      </c>
      <c r="E112" s="1313"/>
      <c r="F112" s="3165" t="str">
        <f>IF(项目基本情况!F5="已注销","——","3.房地产抵押价值")</f>
        <v>3.房地产抵押价值</v>
      </c>
      <c r="G112" s="3166"/>
      <c r="H112" s="1330" t="str">
        <f>C116</f>
        <v>总价（元）</v>
      </c>
      <c r="I112" s="2535">
        <f>IF(F112="——","——",I104-I107)</f>
        <v>0</v>
      </c>
      <c r="J112" s="2577"/>
    </row>
    <row r="113" spans="1:27" ht="13.2">
      <c r="A113" s="3184" t="s">
        <v>2548</v>
      </c>
      <c r="B113" s="3185"/>
      <c r="C113" s="2536" t="str">
        <f>C112</f>
        <v>总额（元）</v>
      </c>
      <c r="D113" s="48">
        <f>IF(D38="同一抵押权人同一抵押物续贷",C38&amp;"（未扣减，详见特别提示）",C38)</f>
        <v>0</v>
      </c>
      <c r="E113" s="1313"/>
      <c r="F113" s="3167"/>
      <c r="G113" s="3168"/>
      <c r="H113" s="2534" t="s">
        <v>2540</v>
      </c>
      <c r="I113" s="2538" t="e">
        <f>D117</f>
        <v>#DIV/0!</v>
      </c>
      <c r="J113" s="2580"/>
    </row>
    <row r="114" spans="1:27" ht="13.2">
      <c r="A114" s="3184" t="s">
        <v>2549</v>
      </c>
      <c r="B114" s="3185"/>
      <c r="C114" s="2536" t="str">
        <f>C112</f>
        <v>总额（元）</v>
      </c>
      <c r="D114" s="48">
        <f>C39</f>
        <v>0</v>
      </c>
      <c r="E114" s="1313"/>
      <c r="F114" s="3165" t="str">
        <f>IF(项目基本情况!F5="已注销及未注销","4.抵押担保权已注销时的房地产抵押价值",IF(项目基本情况!F5="已注销","3.抵押担保权已注销时的房地产抵押价值","——"))</f>
        <v>——</v>
      </c>
      <c r="G114" s="3166"/>
      <c r="H114" s="1330" t="str">
        <f>C118</f>
        <v>总价（元）</v>
      </c>
      <c r="I114" s="2535" t="str">
        <f>IF(F114="——","——",I104-I109-I110)</f>
        <v>——</v>
      </c>
      <c r="J114" s="2577"/>
    </row>
    <row r="115" spans="1:27" ht="13.2">
      <c r="A115" s="3184" t="s">
        <v>2550</v>
      </c>
      <c r="B115" s="3185"/>
      <c r="C115" s="2536" t="str">
        <f>C112</f>
        <v>总额（元）</v>
      </c>
      <c r="D115" s="48">
        <f>C40</f>
        <v>0</v>
      </c>
      <c r="E115" s="1313"/>
      <c r="F115" s="3167"/>
      <c r="G115" s="3168"/>
      <c r="H115" s="2534" t="s">
        <v>2540</v>
      </c>
      <c r="I115" s="48" t="str">
        <f>D119</f>
        <v>——</v>
      </c>
      <c r="J115" s="2561"/>
    </row>
    <row r="116" spans="1:27" ht="13.2">
      <c r="A116" s="3182" t="str">
        <f>IF(项目基本情况!F5="已注销","——","3.房地产抵押价值")</f>
        <v>3.房地产抵押价值</v>
      </c>
      <c r="B116" s="3183"/>
      <c r="C116" s="2534" t="str">
        <f>B103</f>
        <v>总价（元）</v>
      </c>
      <c r="D116" s="2535">
        <f>IF(A116="——","——",D110-D112)</f>
        <v>0</v>
      </c>
      <c r="E116" s="1313"/>
      <c r="F116" s="3165" t="str">
        <f>IF(项目基本情况!G5="抵押净值",IF(OR(项目基本情况!F5="已注销",项目基本情况!F5="房地产抵押价值"),"4.抵押净值","5.抵押净值"),"——")</f>
        <v>——</v>
      </c>
      <c r="G116" s="3166"/>
      <c r="H116" s="2534" t="str">
        <f>C120</f>
        <v>总价（元）</v>
      </c>
      <c r="I116" s="2535" t="str">
        <f>IF(F116="——","——",O61)</f>
        <v>——</v>
      </c>
      <c r="J116" s="2577"/>
    </row>
    <row r="117" spans="1:27" ht="13.8" thickBot="1">
      <c r="A117" s="3182"/>
      <c r="B117" s="3183"/>
      <c r="C117" s="2534" t="s">
        <v>2547</v>
      </c>
      <c r="D117" s="48" t="e">
        <f>ROUND(IF(D116=D110,D111,IF(H19="元",D116/B125,D116*10000/B125)),0)</f>
        <v>#DIV/0!</v>
      </c>
      <c r="E117" s="1313"/>
      <c r="F117" s="3245"/>
      <c r="G117" s="3246"/>
      <c r="H117" s="2539" t="s">
        <v>2540</v>
      </c>
      <c r="I117" s="2523" t="str">
        <f>D121</f>
        <v>——</v>
      </c>
      <c r="J117" s="2561"/>
    </row>
    <row r="118" spans="1:27" ht="15.6">
      <c r="A118" s="3182" t="str">
        <f>IF(项目基本情况!F5="已注销及未注销","4.抵押担保权已注销时的房地产抵押价值",IF(项目基本情况!F5="已注销","3.抵押担保权已注销时的房地产抵押价值","——"))</f>
        <v>——</v>
      </c>
      <c r="B118" s="3183"/>
      <c r="C118" s="2534" t="str">
        <f>B103</f>
        <v>总价（元）</v>
      </c>
      <c r="D118" s="2535" t="str">
        <f>IF(A118="——","——",D110-D114-D115)</f>
        <v>——</v>
      </c>
      <c r="E118" s="1313"/>
      <c r="F118" s="3160"/>
      <c r="G118" s="3160"/>
      <c r="H118" s="3201"/>
      <c r="I118" s="3201"/>
      <c r="J118" s="2581"/>
      <c r="O118" s="28"/>
      <c r="P118" s="28"/>
    </row>
    <row r="119" spans="1:27" s="1177" customFormat="1" ht="13.2">
      <c r="A119" s="3182"/>
      <c r="B119" s="3183"/>
      <c r="C119" s="2534" t="s">
        <v>2547</v>
      </c>
      <c r="D119" s="48" t="str">
        <f>IF(A118="——","——",IF(H19="元",ROUND(D118/B125,0),ROUND(D118*10000/B125,0)))</f>
        <v>——</v>
      </c>
      <c r="E119" s="1313"/>
      <c r="F119" s="3285" t="str">
        <f>IF(B33="总价","（以上估价结果中楼面单价为总价除以建筑面积得出）","（以上估价结果中总价为楼面单价乘以建筑面积得出）")</f>
        <v>（以上估价结果中总价为楼面单价乘以建筑面积得出）</v>
      </c>
      <c r="G119" s="3285"/>
      <c r="H119" s="3285"/>
      <c r="I119" s="3285"/>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82" t="str">
        <f>IF(项目基本情况!G5="抵押净值",IF(OR(项目基本情况!F5="已注销",项目基本情况!F5="房地产抵押价值"),"4.抵押净值","5.抵押净值"),"——")</f>
        <v>——</v>
      </c>
      <c r="B120" s="3183"/>
      <c r="C120" s="2534" t="str">
        <f>B103</f>
        <v>总价（元）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251"/>
      <c r="B121" s="325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02" t="s">
        <v>1672</v>
      </c>
      <c r="B122" s="3203"/>
      <c r="C122" s="3203"/>
      <c r="D122" s="3203"/>
      <c r="E122" s="3203"/>
      <c r="F122" s="3203"/>
      <c r="G122" s="3203"/>
      <c r="H122" s="3203"/>
      <c r="I122" s="3203"/>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75" t="s">
        <v>2551</v>
      </c>
      <c r="B123" s="3173" t="s">
        <v>2552</v>
      </c>
      <c r="C123" s="3173" t="s">
        <v>2558</v>
      </c>
      <c r="D123" s="3180" t="s">
        <v>2553</v>
      </c>
      <c r="E123" s="3181"/>
      <c r="F123" s="3171" t="s">
        <v>2559</v>
      </c>
      <c r="G123" s="3171"/>
      <c r="H123" s="3171" t="s">
        <v>2554</v>
      </c>
      <c r="I123" s="3172"/>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75"/>
      <c r="B124" s="3174"/>
      <c r="C124" s="3174"/>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75" t="s">
        <v>2557</v>
      </c>
      <c r="B126" s="3171"/>
      <c r="C126" s="3171"/>
      <c r="D126" s="3206" t="str">
        <f>IF(H19="元",NUMBERSTRING(INT(D125),2)&amp;"元整",NUMBERSTRING(INT(D125*10000),2)&amp;"元整")</f>
        <v>零元整</v>
      </c>
      <c r="E126" s="3207"/>
      <c r="F126" s="3206" t="str">
        <f>IF(H19="元",NUMBERSTRING(INT(F125),2)&amp;"元整",NUMBERSTRING(INT(F125*10000),2)&amp;"元整")</f>
        <v>零元整</v>
      </c>
      <c r="G126" s="3207"/>
      <c r="H126" s="3206" t="str">
        <f>IF(H19="元",NUMBERSTRING(INT(H125),2)&amp;"元整",NUMBERSTRING(INT(H125*10000),2)&amp;"元整")</f>
        <v>零元整</v>
      </c>
      <c r="I126" s="3255"/>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95" t="str">
        <f>IF(项目基本情况!D5="房地产市场价值","——",MID(A112,3,LEN(A112)-2))</f>
        <v>估价师所知悉的法定优先受偿款</v>
      </c>
      <c r="B127" s="3208"/>
      <c r="C127" s="3197"/>
      <c r="D127" s="3199">
        <f>I107</f>
        <v>0</v>
      </c>
      <c r="E127" s="3208"/>
      <c r="F127" s="3208"/>
      <c r="G127" s="3208"/>
      <c r="H127" s="3208"/>
      <c r="I127" s="3196"/>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09" t="s">
        <v>2557</v>
      </c>
      <c r="B128" s="3210"/>
      <c r="C128" s="3211"/>
      <c r="D128" s="3247">
        <f>H111</f>
        <v>0</v>
      </c>
      <c r="E128" s="3248"/>
      <c r="F128" s="3248"/>
      <c r="G128" s="3248"/>
      <c r="H128" s="3248"/>
      <c r="I128" s="3249"/>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82" t="str">
        <f>IF(项目基本情况!D5="房地产市场价值","——",MID(A116,3,LEN(A116)-2))</f>
        <v>房地产抵押价值</v>
      </c>
      <c r="B129" s="3183"/>
      <c r="C129" s="3183"/>
      <c r="D129" s="3199">
        <f>I112</f>
        <v>0</v>
      </c>
      <c r="E129" s="3208"/>
      <c r="F129" s="3208"/>
      <c r="G129" s="3208"/>
      <c r="H129" s="3208"/>
      <c r="I129" s="3196"/>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75" t="s">
        <v>2557</v>
      </c>
      <c r="B130" s="3171"/>
      <c r="C130" s="3171"/>
      <c r="D130" s="3247" t="e">
        <f>I113</f>
        <v>#DIV/0!</v>
      </c>
      <c r="E130" s="3248"/>
      <c r="F130" s="3248"/>
      <c r="G130" s="3248"/>
      <c r="H130" s="3248"/>
      <c r="I130" s="3249"/>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82" t="str">
        <f>IF(项目基本情况!D5="房地产市场价值","——",MID(A118,3,LEN(A118)-2))</f>
        <v/>
      </c>
      <c r="B131" s="3183"/>
      <c r="C131" s="3183"/>
      <c r="D131" s="3155" t="str">
        <f>I114</f>
        <v>——</v>
      </c>
      <c r="E131" s="3156"/>
      <c r="F131" s="3156"/>
      <c r="G131" s="3156"/>
      <c r="H131" s="3156"/>
      <c r="I131" s="3157"/>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75" t="s">
        <v>2557</v>
      </c>
      <c r="B132" s="3171"/>
      <c r="C132" s="3222"/>
      <c r="D132" s="3200" t="str">
        <f>I115</f>
        <v>——</v>
      </c>
      <c r="E132" s="3200"/>
      <c r="F132" s="3200"/>
      <c r="G132" s="3200"/>
      <c r="H132" s="3200"/>
      <c r="I132" s="3200"/>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82" t="str">
        <f>IF(项目基本情况!D5="房地产市场价值","——",MID(F116,3,LEN(F116)-2))</f>
        <v/>
      </c>
      <c r="B133" s="3183"/>
      <c r="C133" s="3199"/>
      <c r="D133" s="3250" t="str">
        <f>I116</f>
        <v>——</v>
      </c>
      <c r="E133" s="3250"/>
      <c r="F133" s="3250"/>
      <c r="G133" s="3250"/>
      <c r="H133" s="3250"/>
      <c r="I133" s="325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238" t="s">
        <v>2557</v>
      </c>
      <c r="B134" s="3239"/>
      <c r="C134" s="3239"/>
      <c r="D134" s="3256">
        <f>H118</f>
        <v>0</v>
      </c>
      <c r="E134" s="3257"/>
      <c r="F134" s="3257"/>
      <c r="G134" s="3257"/>
      <c r="H134" s="3257"/>
      <c r="I134" s="3258"/>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243" t="str">
        <f>IF(B33="总价","（以上估价结果中楼面单价为总价除以建筑面积得出）","（以上估价结果中总价为楼面单价乘以建筑面积得出）")</f>
        <v>（以上估价结果中总价为楼面单价乘以建筑面积得出）</v>
      </c>
      <c r="B136" s="3243"/>
      <c r="C136" s="3243"/>
      <c r="D136" s="3243"/>
      <c r="E136" s="3243"/>
      <c r="F136" s="3243"/>
      <c r="G136" s="3243"/>
      <c r="H136" s="3243"/>
      <c r="I136" s="3243"/>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13631982</v>
      </c>
      <c r="C2" s="75" t="str">
        <f>'数据-取费表'!B3</f>
        <v>元</v>
      </c>
      <c r="D2" s="1361" t="s">
        <v>1001</v>
      </c>
      <c r="E2" s="1054" t="e">
        <f ca="1">SUMIF(INDIRECT("'"&amp;G2&amp;"'"&amp;"!A:A"),"承租人权益价值",INDIRECT("'"&amp;G2&amp;"'"&amp;"!c:c"))</f>
        <v>#REF!</v>
      </c>
      <c r="F2" s="1362" t="str">
        <f>C2</f>
        <v>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29905</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8492523.3999999985</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[2]基准地价修正!$C$37*[2]基准地价修正!$D$37</f>
        <v>8152698.3999999994</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248657</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91168</v>
      </c>
      <c r="D8" s="1044"/>
      <c r="E8" s="111"/>
      <c r="F8" s="1043"/>
      <c r="G8" s="1363" t="s">
        <v>3042</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91168</v>
      </c>
      <c r="D10" s="1046">
        <f>IF('数据-取费表'!B10&lt;&gt;"住宅",IF(B1="仅计算典型户型",'数据-取费表'!E5,'数据-取费表'!B5),0)</f>
        <v>455.84</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455.84</v>
      </c>
      <c r="E19" s="107">
        <f>'数据-取费表'!E15</f>
        <v>200</v>
      </c>
      <c r="F19" s="108"/>
      <c r="G19" s="1363" t="s">
        <v>3043</v>
      </c>
    </row>
    <row r="20" spans="1:123" s="87" customFormat="1" ht="13.5" customHeight="1">
      <c r="A20" s="116" t="s">
        <v>1702</v>
      </c>
      <c r="B20" s="85" t="s">
        <v>1703</v>
      </c>
      <c r="C20" s="95">
        <f>ROUND((C5+C19)*F20,0)</f>
        <v>169850</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726555</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719506</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7049</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1299356</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1299356</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11581194</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1996579</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1823360</v>
      </c>
      <c r="D34" s="1041"/>
      <c r="E34" s="111"/>
      <c r="F34" s="1052" t="str">
        <f>IF('数据-取费表'!B26=0,"",'数据-取费表'!E20)</f>
        <v/>
      </c>
      <c r="G34" s="91"/>
    </row>
    <row r="35" spans="1:123" ht="13.5" customHeight="1">
      <c r="A35" s="88" t="s">
        <v>1685</v>
      </c>
      <c r="B35" s="89" t="s">
        <v>1734</v>
      </c>
      <c r="C35" s="111">
        <f>ROUND(C34*F35,0)</f>
        <v>54701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91168</v>
      </c>
      <c r="D37" s="1041">
        <f>IF(B1="仅计算典型户型",'数据-取费表'!E5,'数据-取费表'!B5)</f>
        <v>455.84</v>
      </c>
      <c r="E37" s="111">
        <f>'数据-取费表'!E23</f>
        <v>200</v>
      </c>
      <c r="F37" s="1053"/>
      <c r="G37" s="120" t="s">
        <v>1739</v>
      </c>
    </row>
    <row r="38" spans="1:123" ht="13.5" customHeight="1">
      <c r="A38" s="88" t="s">
        <v>1740</v>
      </c>
      <c r="B38" s="89" t="s">
        <v>1741</v>
      </c>
      <c r="C38" s="111">
        <f>ROUND(C34*F38,0)</f>
        <v>27350</v>
      </c>
      <c r="D38" s="111"/>
      <c r="E38" s="111"/>
      <c r="F38" s="1053">
        <f>'数据-取费表'!E24</f>
        <v>1.4999999999999999E-2</v>
      </c>
      <c r="G38" s="91" t="s">
        <v>1735</v>
      </c>
    </row>
    <row r="39" spans="1:123" s="87" customFormat="1" ht="13.5" customHeight="1">
      <c r="A39" s="116" t="s">
        <v>1700</v>
      </c>
      <c r="B39" s="85" t="s">
        <v>1703</v>
      </c>
      <c r="C39" s="95">
        <f>ROUND(C33*F20,0)</f>
        <v>39932</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84515</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82858</v>
      </c>
      <c r="D42" s="100"/>
      <c r="E42" s="100"/>
      <c r="F42" s="101"/>
      <c r="G42" s="3288" t="s">
        <v>1745</v>
      </c>
    </row>
    <row r="43" spans="1:123" ht="13.5" customHeight="1">
      <c r="A43" s="88" t="s">
        <v>1685</v>
      </c>
      <c r="B43" s="89" t="s">
        <v>1714</v>
      </c>
      <c r="C43" s="100">
        <f ca="1">ROUND(IF('数据-取费表'!B24&lt;=1,C39*F22*'数据-取费表'!B23/2,C39*(POWER((1+F22),'数据-取费表'!B23/2)-1)),0)</f>
        <v>1657</v>
      </c>
      <c r="D43" s="100"/>
      <c r="E43" s="100"/>
      <c r="F43" s="101"/>
      <c r="G43" s="3289"/>
    </row>
    <row r="44" spans="1:123" ht="13.5" customHeight="1">
      <c r="A44" s="88" t="s">
        <v>1687</v>
      </c>
      <c r="B44" s="89" t="s">
        <v>1716</v>
      </c>
      <c r="C44" s="100">
        <f ca="1">ROUND(IF('数据-取费表'!B24&lt;=1,C40*F22*'数据-取费表'!B23/2,C40*(POWER((1+F22),'数据-取费表'!B23/2)-1)),4)</f>
        <v>8.0000000000000004E-4</v>
      </c>
      <c r="D44" s="100"/>
      <c r="E44" s="100"/>
      <c r="F44" s="101"/>
      <c r="G44" s="3290"/>
    </row>
    <row r="45" spans="1:123" s="87" customFormat="1" ht="13.5" customHeight="1">
      <c r="A45" s="116" t="s">
        <v>1709</v>
      </c>
      <c r="B45" s="106" t="s">
        <v>1721</v>
      </c>
      <c r="C45" s="107">
        <f>C46</f>
        <v>305477</v>
      </c>
      <c r="D45" s="97">
        <f>C47</f>
        <v>3.0000000000000001E-3</v>
      </c>
      <c r="E45" s="98" t="s">
        <v>1743</v>
      </c>
      <c r="F45" s="2601">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305477</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2629216</v>
      </c>
      <c r="D49" s="95"/>
      <c r="E49" s="95"/>
      <c r="F49" s="122"/>
      <c r="G49" s="96" t="s">
        <v>1753</v>
      </c>
    </row>
    <row r="50" spans="1:123" s="118" customFormat="1" ht="24">
      <c r="A50" s="905" t="s">
        <v>1754</v>
      </c>
      <c r="B50" s="85" t="s">
        <v>1755</v>
      </c>
      <c r="C50" s="95"/>
      <c r="D50" s="95"/>
      <c r="E50" s="95"/>
      <c r="F50" s="122">
        <f>IF('数据-取费表'!B26=0,'数据-取费表'!E20,1)</f>
        <v>0.78</v>
      </c>
      <c r="G50" s="109" t="s">
        <v>1756</v>
      </c>
    </row>
    <row r="51" spans="1:123" ht="16.5" customHeight="1">
      <c r="A51" s="905" t="s">
        <v>1757</v>
      </c>
      <c r="B51" s="85" t="s">
        <v>1758</v>
      </c>
      <c r="C51" s="95">
        <f ca="1">ROUND(C49*F50,0)</f>
        <v>2050788</v>
      </c>
      <c r="D51" s="95"/>
      <c r="E51" s="95"/>
      <c r="F51" s="122"/>
      <c r="G51" s="96" t="s">
        <v>1759</v>
      </c>
    </row>
    <row r="52" spans="1:123" s="84" customFormat="1" ht="16.8" thickBot="1">
      <c r="A52" s="123" t="s">
        <v>1760</v>
      </c>
      <c r="B52" s="124"/>
      <c r="C52" s="125">
        <f ca="1">C31+C51</f>
        <v>13631982</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0.15</v>
      </c>
    </row>
    <row r="57" spans="1:123">
      <c r="B57" s="131" t="s">
        <v>1763</v>
      </c>
      <c r="C57" s="133">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90367</v>
      </c>
      <c r="C2" s="1260" t="str">
        <f>'数据-取费表'!B3</f>
        <v>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0.21999999999999997</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-91168</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-91168</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-1823</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-13949</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-13949</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90367</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60" zoomScaleNormal="60" workbookViewId="0">
      <selection activeCell="G43" sqref="G43"/>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5529925</v>
      </c>
      <c r="C2" s="951" t="str">
        <f>'数据-取费表'!B3</f>
        <v>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12131</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449792</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449230</v>
      </c>
      <c r="D6" s="32" t="s">
        <v>2461</v>
      </c>
      <c r="E6" s="231" t="s">
        <v>1776</v>
      </c>
      <c r="F6" s="232">
        <f>'数据-取费表'!B30</f>
        <v>3</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455.84</v>
      </c>
      <c r="G7" s="864"/>
      <c r="H7" s="233"/>
      <c r="I7" s="234"/>
      <c r="J7" s="235"/>
      <c r="K7" s="236"/>
      <c r="L7" s="231" t="s">
        <v>1777</v>
      </c>
      <c r="M7" s="232">
        <f>IF('数据-取费表'!B42="",IF(D1="仅计算典型户型",'数据-取费表'!E5,'数据-取费表'!B5),'数据-取费表'!B42)</f>
        <v>455.84</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562</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2050788</v>
      </c>
      <c r="D13" s="974" t="s">
        <v>1791</v>
      </c>
      <c r="E13" s="974" t="s">
        <v>1792</v>
      </c>
      <c r="F13" s="975">
        <f>'数据-取费表'!E20</f>
        <v>0.78</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1823360</v>
      </c>
      <c r="D14" s="1196" t="s">
        <v>1795</v>
      </c>
      <c r="E14" s="1197"/>
      <c r="F14" s="723"/>
      <c r="G14" s="865"/>
      <c r="H14" s="249" t="s">
        <v>1774</v>
      </c>
      <c r="I14" s="231" t="s">
        <v>1796</v>
      </c>
      <c r="J14" s="12">
        <f ca="1">C29</f>
        <v>2629216</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54701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48377</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91168</v>
      </c>
      <c r="D17" s="231" t="s">
        <v>1809</v>
      </c>
      <c r="E17" s="231" t="s">
        <v>1810</v>
      </c>
      <c r="F17" s="14">
        <f>'数据-取费表'!E23</f>
        <v>200</v>
      </c>
      <c r="G17" s="865"/>
      <c r="H17" s="249" t="s">
        <v>1811</v>
      </c>
      <c r="I17" s="231" t="s">
        <v>1812</v>
      </c>
      <c r="J17" s="2542">
        <f ca="1">ROUND(IF(AND(项目基本情况!B7="自然人",项目基本情况!B6="北京市"),J6*M17/(1+'数据-取费表'!F30),J18+J19+J20),0)</f>
        <v>22085</v>
      </c>
      <c r="K17" s="1196" t="s">
        <v>1813</v>
      </c>
      <c r="L17" s="1199" t="s">
        <v>1814</v>
      </c>
      <c r="M17" s="2541" t="str">
        <f>IF(项目基本情况!B7="企业","——",IF('数据-取费表'!B10="住宅",IF(M6*M7*M8/12/(1+'数据-取费表'!F30)&gt;100000,4%,2.5%),IF(M6*M7*M8/12/(1+'数据-取费表'!F30)&gt;100000,12%,7%)))</f>
        <v>——</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27350</v>
      </c>
      <c r="D18" s="231" t="s">
        <v>1799</v>
      </c>
      <c r="E18" s="231" t="s">
        <v>1800</v>
      </c>
      <c r="F18" s="254">
        <f>'数据-取费表'!E24</f>
        <v>1.4999999999999999E-2</v>
      </c>
      <c r="G18" s="864"/>
      <c r="H18" s="249" t="s">
        <v>1817</v>
      </c>
      <c r="I18" s="231" t="s">
        <v>1818</v>
      </c>
      <c r="J18" s="12">
        <f>IF(项目基本情况!B7="自然人","——",ROUND(J6*M18/(1+'数据-取费表'!F30),0))</f>
        <v>0</v>
      </c>
      <c r="K18" s="1199" t="s">
        <v>2487</v>
      </c>
      <c r="L18" s="231" t="s">
        <v>1800</v>
      </c>
      <c r="M18" s="254">
        <f>'数据-取费表'!E29</f>
        <v>5.6000000000000001E-2</v>
      </c>
    </row>
    <row r="19" spans="1:37" s="253" customFormat="1" ht="18" customHeight="1">
      <c r="A19" s="249" t="s">
        <v>1811</v>
      </c>
      <c r="B19" s="231" t="s">
        <v>1819</v>
      </c>
      <c r="C19" s="12">
        <f>SUM(C14:C18)</f>
        <v>1996579</v>
      </c>
      <c r="D19" s="29" t="s">
        <v>1820</v>
      </c>
      <c r="E19" s="1201"/>
      <c r="F19" s="14"/>
      <c r="G19" s="865"/>
      <c r="H19" s="249" t="s">
        <v>1797</v>
      </c>
      <c r="I19" s="231" t="s">
        <v>1821</v>
      </c>
      <c r="J19" s="12">
        <f ca="1">IF(项目基本情况!B7="自然人","——",IF(K19="按租金收入计税",ROUND(J6*M19/(1+'数据-取费表'!F30),0),ROUND(C29*M19*0.7,0)))</f>
        <v>22085</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39932</v>
      </c>
      <c r="D20" s="255" t="s">
        <v>1824</v>
      </c>
      <c r="E20" s="231" t="s">
        <v>1825</v>
      </c>
      <c r="F20" s="254">
        <f>'数据-取费表'!E25</f>
        <v>0.02</v>
      </c>
      <c r="G20" s="865"/>
      <c r="H20" s="249" t="s">
        <v>1803</v>
      </c>
      <c r="I20" s="32" t="s">
        <v>1826</v>
      </c>
      <c r="J20" s="13">
        <f>IF(项目基本情况!B7="自然人","——",ROUND(M20*M21,0))</f>
        <v>0</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26292</v>
      </c>
      <c r="K22" s="1199" t="s">
        <v>1837</v>
      </c>
      <c r="L22" s="231" t="s">
        <v>1800</v>
      </c>
      <c r="M22" s="261">
        <f>'数据-取费表'!B45</f>
        <v>0.01</v>
      </c>
    </row>
    <row r="23" spans="1:37" ht="18" customHeight="1">
      <c r="A23" s="249" t="s">
        <v>1817</v>
      </c>
      <c r="B23" s="231" t="s">
        <v>1838</v>
      </c>
      <c r="C23" s="12">
        <f ca="1">IF('数据-取费表'!B24&lt;=1,ROUND(C19*F24*F23/2,0)+ROUND(C20*F24*F23/2,0),ROUND(C19*(POWER((1+F24),F23/2)-1),0)+ROUND(C20*(POWER((1+F24),F23/2)-1),0))</f>
        <v>84515</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-48377</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305477</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2629216</v>
      </c>
      <c r="D29" s="985"/>
      <c r="E29" s="983"/>
      <c r="F29" s="986"/>
      <c r="G29" s="623"/>
      <c r="H29" s="267" t="s">
        <v>24</v>
      </c>
      <c r="I29" s="268" t="s">
        <v>1869</v>
      </c>
      <c r="J29" s="269">
        <f ca="1">ROUND(J26/(1+F40)^F41,0)</f>
        <v>0</v>
      </c>
      <c r="K29" s="270" t="s">
        <v>1870</v>
      </c>
      <c r="L29" s="271"/>
      <c r="M29" s="272">
        <f>IF(D1="仅计算典型户型",'数据-取费表'!E5,'数据-取费表'!B5)</f>
        <v>455.84</v>
      </c>
    </row>
    <row r="30" spans="1:37" ht="18" customHeight="1" thickTop="1">
      <c r="A30" s="972" t="s">
        <v>14</v>
      </c>
      <c r="B30" s="973" t="s">
        <v>1871</v>
      </c>
      <c r="C30" s="239">
        <f ca="1">ROUND(C31+C36+C37+C38,0)</f>
        <v>109166</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75300</v>
      </c>
      <c r="D31" s="1196" t="s">
        <v>1873</v>
      </c>
      <c r="E31" s="1199" t="s">
        <v>1874</v>
      </c>
      <c r="F31" s="2541" t="str">
        <f>IF(项目基本情况!B7="企业","——",IF('数据-取费表'!B10="住宅",IF(F6*F7*F8/12/(1+'数据-取费表'!F30)&gt;100000,4%,2.5%),IF(F6*F7*F8/12/(1+'数据-取费表'!F30)&gt;100000,12%,7%)))</f>
        <v>——</v>
      </c>
      <c r="G31" s="623"/>
      <c r="H31" s="847"/>
      <c r="I31" s="848"/>
      <c r="J31" s="849"/>
      <c r="K31" s="27"/>
      <c r="L31" s="850"/>
      <c r="M31" s="851"/>
    </row>
    <row r="32" spans="1:37" ht="18" customHeight="1">
      <c r="A32" s="249" t="s">
        <v>1793</v>
      </c>
      <c r="B32" s="231" t="s">
        <v>1875</v>
      </c>
      <c r="C32" s="12">
        <f>IF(项目基本情况!B7="自然人","——",ROUND(C6*F32/(1+'数据-取费表'!F30),0))</f>
        <v>23959</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f>IF(项目基本情况!B7="自然人","——",IF(D33="按租金收入计税",ROUND(C6*F33/(1+'数据-取费表'!F30),0),IF(D33="按房产原值计税",ROUND(C29*F33*0.7,0),'数据-取费表'!B44)))</f>
        <v>51341</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f>IF(项目基本情况!B7="自然人","——",ROUND(F34*F35,0))</f>
        <v>0</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26292</v>
      </c>
      <c r="D36" s="1199" t="s">
        <v>1881</v>
      </c>
      <c r="E36" s="231" t="s">
        <v>1825</v>
      </c>
      <c r="F36" s="261">
        <f>'数据-取费表'!B45</f>
        <v>0.01</v>
      </c>
      <c r="G36" s="623"/>
      <c r="H36" s="858"/>
      <c r="I36" s="280" t="s">
        <v>1882</v>
      </c>
      <c r="J36" s="281"/>
      <c r="K36" s="862"/>
      <c r="L36" s="858"/>
      <c r="M36" s="858"/>
    </row>
    <row r="37" spans="1:18" ht="18" customHeight="1">
      <c r="A37" s="249" t="s">
        <v>1829</v>
      </c>
      <c r="B37" s="231" t="s">
        <v>1840</v>
      </c>
      <c r="C37" s="12">
        <f ca="1">ROUND(C13*F37,0)</f>
        <v>3076</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4498</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340626</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5529925</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21.71</v>
      </c>
      <c r="H41" s="27"/>
      <c r="I41" s="131" t="s">
        <v>1762</v>
      </c>
      <c r="J41" s="132">
        <f ca="1">ROUND(C13/C40,3)</f>
        <v>0.371</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0.629</v>
      </c>
      <c r="K42" s="862"/>
      <c r="L42" s="27"/>
      <c r="M42" s="27"/>
      <c r="Q42" s="626"/>
    </row>
    <row r="43" spans="1:18" s="623" customFormat="1" ht="18" customHeight="1" thickBot="1">
      <c r="A43" s="267" t="s">
        <v>24</v>
      </c>
      <c r="B43" s="268" t="s">
        <v>1891</v>
      </c>
      <c r="C43" s="269">
        <f ca="1">ROUND(C40/F43,0)</f>
        <v>12131</v>
      </c>
      <c r="D43" s="270" t="s">
        <v>1892</v>
      </c>
      <c r="E43" s="271" t="s">
        <v>1893</v>
      </c>
      <c r="F43" s="272">
        <f>IF(D1="仅计算典型户型",'数据-取费表'!E5,'数据-取费表'!B5)</f>
        <v>455.84</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5529925</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-8656590</v>
      </c>
      <c r="D47" s="1372" t="str">
        <f>C2</f>
        <v>元</v>
      </c>
      <c r="E47" s="620"/>
      <c r="F47" s="620"/>
      <c r="I47" s="1373" t="s">
        <v>1904</v>
      </c>
      <c r="J47" s="933"/>
      <c r="K47" s="934"/>
      <c r="L47" s="946" t="str">
        <f>IF(M48="住宅",0,IF(L49&gt;J52,L61,J61))</f>
        <v>0</v>
      </c>
      <c r="O47" s="960" t="s">
        <v>769</v>
      </c>
      <c r="P47" s="957" t="s">
        <v>1905</v>
      </c>
      <c r="Q47" s="958">
        <f ca="1">C29</f>
        <v>2629216</v>
      </c>
      <c r="R47" s="959" t="s">
        <v>1900</v>
      </c>
    </row>
    <row r="48" spans="1:18" s="623" customFormat="1" ht="16.2" thickBot="1">
      <c r="A48" s="224" t="s">
        <v>1906</v>
      </c>
      <c r="B48" s="225" t="s">
        <v>1907</v>
      </c>
      <c r="C48" s="225" t="s">
        <v>1908</v>
      </c>
      <c r="D48" s="225" t="s">
        <v>1909</v>
      </c>
      <c r="E48" s="897" t="s">
        <v>1910</v>
      </c>
      <c r="F48" s="898"/>
      <c r="I48" s="1374" t="s">
        <v>1911</v>
      </c>
      <c r="J48" s="1375" t="s">
        <v>3039</v>
      </c>
      <c r="K48" s="1376" t="s">
        <v>1912</v>
      </c>
      <c r="L48" s="935">
        <f>'数据-取费表'!B11</f>
        <v>40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3040</v>
      </c>
      <c r="K49" s="1379" t="s">
        <v>1916</v>
      </c>
      <c r="L49" s="785">
        <f>'数据-取费表'!B13</f>
        <v>21.71</v>
      </c>
      <c r="O49" s="960" t="s">
        <v>771</v>
      </c>
      <c r="P49" s="957" t="s">
        <v>1917</v>
      </c>
      <c r="Q49" s="961">
        <f>J53</f>
        <v>0.08</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2009</v>
      </c>
      <c r="K50" s="1381" t="s">
        <v>1921</v>
      </c>
      <c r="L50" s="936"/>
      <c r="O50" s="960" t="s">
        <v>772</v>
      </c>
      <c r="P50" s="957" t="s">
        <v>1922</v>
      </c>
      <c r="Q50" s="958">
        <f>J54</f>
        <v>21.71</v>
      </c>
      <c r="R50" s="959" t="s">
        <v>1923</v>
      </c>
    </row>
    <row r="51" spans="1:18" s="623" customFormat="1" ht="16.2" thickBot="1">
      <c r="A51" s="233"/>
      <c r="B51" s="234"/>
      <c r="C51" s="235"/>
      <c r="D51" s="236"/>
      <c r="E51" s="251" t="s">
        <v>1777</v>
      </c>
      <c r="F51" s="896">
        <f>F7</f>
        <v>455.84</v>
      </c>
      <c r="I51" s="1377" t="s">
        <v>1924</v>
      </c>
      <c r="J51" s="937">
        <f>SUMPRODUCT((I64:I66=J48)*(J63:L63=J49)*(J64:L66))</f>
        <v>60</v>
      </c>
      <c r="K51" s="1381" t="s">
        <v>1925</v>
      </c>
      <c r="L51" s="936"/>
      <c r="O51" s="956" t="s">
        <v>773</v>
      </c>
      <c r="P51" s="957" t="str">
        <f>IF(C2="元","收益价值(元)","收益价值(万元)")</f>
        <v>收益价值(元)</v>
      </c>
      <c r="Q51" s="958">
        <f ca="1">ROUND(IF(C2="元",Q45+Q46,(Q45+Q46)/10000),0)</f>
        <v>5529925</v>
      </c>
      <c r="R51" s="959" t="s">
        <v>774</v>
      </c>
    </row>
    <row r="52" spans="1:18" s="623" customFormat="1" ht="16.2" thickBot="1">
      <c r="A52" s="233"/>
      <c r="B52" s="234"/>
      <c r="C52" s="235"/>
      <c r="D52" s="236"/>
      <c r="E52" s="231" t="s">
        <v>1779</v>
      </c>
      <c r="F52" s="232">
        <f>F8</f>
        <v>365</v>
      </c>
      <c r="I52" s="1382" t="s">
        <v>1926</v>
      </c>
      <c r="J52" s="785">
        <f>IF(J50="",J51,J50+J51-YEAR('数据-取费表'!B2))</f>
        <v>47</v>
      </c>
      <c r="K52" s="1383" t="s">
        <v>1927</v>
      </c>
      <c r="L52" s="938">
        <f ca="1">ROUND(-PV('数据-取费表'!B15,J52,(C40-C13*J35)),0)</f>
        <v>99433668</v>
      </c>
      <c r="O52" s="950" t="s">
        <v>1928</v>
      </c>
      <c r="P52" s="951"/>
      <c r="Q52" s="947"/>
      <c r="R52" s="951"/>
    </row>
    <row r="53" spans="1:18" s="623" customFormat="1" ht="16.2"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21.71</v>
      </c>
      <c r="K54" s="3291" t="s">
        <v>2460</v>
      </c>
      <c r="L54" s="3292"/>
      <c r="O54" s="956" t="s">
        <v>767</v>
      </c>
      <c r="P54" s="957" t="s">
        <v>1899</v>
      </c>
      <c r="Q54" s="958">
        <f ca="1">C40+J29</f>
        <v>5529925</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2050788</v>
      </c>
      <c r="D57" s="894"/>
      <c r="E57" s="895"/>
      <c r="F57" s="902"/>
      <c r="I57" s="1391" t="s">
        <v>1936</v>
      </c>
      <c r="J57" s="944" t="s">
        <v>3041</v>
      </c>
      <c r="K57" s="1377" t="s">
        <v>1937</v>
      </c>
      <c r="L57" s="785" t="str">
        <f>IF(L49&lt;J52,"——",L49-J52)</f>
        <v>——</v>
      </c>
      <c r="O57" s="960" t="s">
        <v>770</v>
      </c>
      <c r="P57" s="957" t="s">
        <v>1938</v>
      </c>
      <c r="Q57" s="961">
        <f>L53</f>
        <v>0</v>
      </c>
      <c r="R57" s="959"/>
    </row>
    <row r="58" spans="1:18" s="623" customFormat="1" ht="31.8" thickBot="1">
      <c r="A58" s="901"/>
      <c r="B58" s="231" t="s">
        <v>1868</v>
      </c>
      <c r="C58" s="100">
        <f ca="1">C29</f>
        <v>2629216</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250222</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 ca="1">ROUND(IF(AND(项目基本情况!B7="自然人",项目基本情况!B6="北京市"),C50*F60/(1+'数据-取费表'!F30),C61+C62+C63),0)</f>
        <v>220854</v>
      </c>
      <c r="D60" s="1196" t="s">
        <v>1873</v>
      </c>
      <c r="E60" s="1199" t="s">
        <v>1874</v>
      </c>
      <c r="F60" s="2541" t="str">
        <f>IF(项目基本情况!B7="企业","——",IF('数据-取费表'!B10="住宅",IF(F50*F51*F52/12/(1+'数据-取费表'!F30)&gt;100000,4%,2.5%),IF(F50*F51*F52/12/(1+'数据-取费表'!F30)&gt;100000,12%,7%)))</f>
        <v>——</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收益价值(元)</v>
      </c>
      <c r="Q60" s="958">
        <f ca="1">ROUND(IF(C2="元",Q54+Q55,(Q54+Q55)/10000),0)</f>
        <v>5529925</v>
      </c>
      <c r="R60" s="959" t="s">
        <v>774</v>
      </c>
    </row>
    <row r="61" spans="1:18" s="623" customFormat="1" ht="16.2" thickBot="1">
      <c r="A61" s="249" t="s">
        <v>16</v>
      </c>
      <c r="B61" s="231" t="s">
        <v>1875</v>
      </c>
      <c r="C61" s="12">
        <f ca="1">IF(项目基本情况!B7="自然人","——",ROUND(C49*F61/(1+'数据-取费表'!F30),0))</f>
        <v>0</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f ca="1">IF(项目基本情况!B7="自然人","——",IF(D62="按租金收入计税",ROUND(C50*F62/(1+'数据-取费表'!F30),0),IF(D62="按房产原值计税",ROUND(C58*F62*0.7,0),'数据-取费表'!B44)))</f>
        <v>220854</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f>IF(项目基本情况!B7="自然人","——",ROUND(F63*F64,0))</f>
        <v>0</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5529925</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26292</v>
      </c>
      <c r="D65" s="1199" t="s">
        <v>1881</v>
      </c>
      <c r="E65" s="231" t="s">
        <v>1825</v>
      </c>
      <c r="F65" s="261">
        <f t="shared" si="0"/>
        <v>0.01</v>
      </c>
      <c r="I65" s="1395" t="s">
        <v>1961</v>
      </c>
      <c r="J65" s="1192">
        <v>50</v>
      </c>
      <c r="K65" s="1192">
        <v>35</v>
      </c>
      <c r="L65" s="1192">
        <v>60</v>
      </c>
      <c r="M65" s="1191">
        <v>0</v>
      </c>
      <c r="O65" s="960" t="s">
        <v>769</v>
      </c>
      <c r="P65" s="957" t="s">
        <v>1935</v>
      </c>
      <c r="Q65" s="962">
        <f ca="1">L52</f>
        <v>99433668</v>
      </c>
      <c r="R65" s="963" t="s">
        <v>1962</v>
      </c>
    </row>
    <row r="66" spans="1:18" s="623" customFormat="1" ht="19.2" thickBot="1">
      <c r="A66" s="249" t="s">
        <v>20</v>
      </c>
      <c r="B66" s="231" t="s">
        <v>1840</v>
      </c>
      <c r="C66" s="12">
        <f ca="1">ROUND(C57*F66,0)</f>
        <v>3076</v>
      </c>
      <c r="D66" s="1199" t="s">
        <v>1841</v>
      </c>
      <c r="E66" s="231" t="s">
        <v>1842</v>
      </c>
      <c r="F66" s="262">
        <f t="shared" si="0"/>
        <v>1.5E-3</v>
      </c>
      <c r="I66" s="1395" t="s">
        <v>1963</v>
      </c>
      <c r="J66" s="1192">
        <v>40</v>
      </c>
      <c r="K66" s="1192">
        <v>30</v>
      </c>
      <c r="L66" s="1192">
        <v>50</v>
      </c>
      <c r="M66" s="1190">
        <v>0.02</v>
      </c>
      <c r="O66" s="960" t="s">
        <v>770</v>
      </c>
      <c r="P66" s="964" t="s">
        <v>1964</v>
      </c>
      <c r="Q66" s="958">
        <f ca="1">ROUND(Q67-Q68*Q69,0)</f>
        <v>340626</v>
      </c>
      <c r="R66" s="959"/>
    </row>
    <row r="67" spans="1:18" s="623" customFormat="1" ht="16.2" thickBot="1">
      <c r="A67" s="249" t="s">
        <v>21</v>
      </c>
      <c r="B67" s="231" t="s">
        <v>1823</v>
      </c>
      <c r="C67" s="12">
        <f ca="1">ROUND(C49*F67,0)</f>
        <v>0</v>
      </c>
      <c r="D67" s="1199" t="s">
        <v>1846</v>
      </c>
      <c r="E67" s="231" t="s">
        <v>1842</v>
      </c>
      <c r="F67" s="241">
        <f t="shared" si="0"/>
        <v>0.01</v>
      </c>
      <c r="O67" s="960" t="s">
        <v>775</v>
      </c>
      <c r="P67" s="964" t="s">
        <v>1965</v>
      </c>
      <c r="Q67" s="958">
        <f ca="1">C39</f>
        <v>340626</v>
      </c>
      <c r="R67" s="959" t="s">
        <v>1900</v>
      </c>
    </row>
    <row r="68" spans="1:18" ht="24.6" thickBot="1">
      <c r="A68" s="244" t="s">
        <v>22</v>
      </c>
      <c r="B68" s="37" t="s">
        <v>1850</v>
      </c>
      <c r="C68" s="246">
        <f ca="1">C49-C59</f>
        <v>-250222</v>
      </c>
      <c r="D68" s="1196" t="s">
        <v>1851</v>
      </c>
      <c r="E68" s="1198"/>
      <c r="F68" s="264"/>
      <c r="H68" s="623"/>
      <c r="I68" s="623"/>
      <c r="J68" s="623"/>
      <c r="K68" s="623"/>
      <c r="L68" s="623"/>
      <c r="M68" s="623"/>
      <c r="O68" s="960" t="s">
        <v>776</v>
      </c>
      <c r="P68" s="964" t="s">
        <v>1966</v>
      </c>
      <c r="Q68" s="958">
        <f ca="1">C13</f>
        <v>2050788</v>
      </c>
      <c r="R68" s="959" t="s">
        <v>1900</v>
      </c>
    </row>
    <row r="69" spans="1:18" ht="16.2" thickBot="1">
      <c r="A69" s="228" t="s">
        <v>23</v>
      </c>
      <c r="B69" s="229" t="s">
        <v>1888</v>
      </c>
      <c r="C69" s="230">
        <f ca="1">ROUND(C68*(1-((1+F71)/(1+F69))^F70)/(F69-F71),0)</f>
        <v>-3126665</v>
      </c>
      <c r="D69" s="257" t="s">
        <v>1856</v>
      </c>
      <c r="E69" s="231" t="s">
        <v>1857</v>
      </c>
      <c r="F69" s="241">
        <f>F40</f>
        <v>5.5E-2</v>
      </c>
      <c r="H69" s="623"/>
      <c r="I69" s="623"/>
      <c r="J69" s="623"/>
      <c r="K69" s="623"/>
      <c r="L69" s="623"/>
      <c r="M69" s="623"/>
      <c r="O69" s="960" t="s">
        <v>777</v>
      </c>
      <c r="P69" s="964" t="s">
        <v>1967</v>
      </c>
      <c r="Q69" s="961">
        <f>J35</f>
        <v>0</v>
      </c>
      <c r="R69" s="959"/>
    </row>
    <row r="70" spans="1:18" ht="16.2" thickBot="1">
      <c r="A70" s="233"/>
      <c r="B70" s="234"/>
      <c r="C70" s="235"/>
      <c r="D70" s="265" t="s">
        <v>1890</v>
      </c>
      <c r="E70" s="231" t="s">
        <v>1862</v>
      </c>
      <c r="F70" s="266">
        <f>F41</f>
        <v>21.71</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-6859</v>
      </c>
      <c r="D72" s="270" t="s">
        <v>1892</v>
      </c>
      <c r="E72" s="271" t="s">
        <v>1893</v>
      </c>
      <c r="F72" s="272">
        <f>F43</f>
        <v>455.84</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收益价值(元)</v>
      </c>
      <c r="Q73" s="958">
        <f ca="1">ROUND(IF(C2="元",Q63+Q64,(Q63+Q64)/10000),0)</f>
        <v>5529925</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299" t="s">
        <v>2653</v>
      </c>
      <c r="K2" s="3300"/>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301" t="s">
        <v>2663</v>
      </c>
      <c r="K3" s="3302"/>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301" t="s">
        <v>2665</v>
      </c>
      <c r="K4" s="3302"/>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307" t="s">
        <v>2669</v>
      </c>
      <c r="B6" s="3308"/>
      <c r="C6" s="3309"/>
      <c r="D6" s="2897"/>
      <c r="E6" s="2841"/>
      <c r="F6" s="2842"/>
      <c r="G6" s="2942"/>
      <c r="H6" s="2928"/>
      <c r="I6" s="2929"/>
      <c r="J6" s="3293">
        <v>1</v>
      </c>
      <c r="K6" s="3294"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293"/>
      <c r="K7" s="3295"/>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10" t="s">
        <v>2682</v>
      </c>
      <c r="C8" s="3311"/>
      <c r="D8" s="2851" t="s">
        <v>2683</v>
      </c>
      <c r="E8" s="2852" t="s">
        <v>2684</v>
      </c>
      <c r="F8" s="2835" t="s">
        <v>2685</v>
      </c>
      <c r="G8" s="2999" t="s">
        <v>2793</v>
      </c>
      <c r="H8" s="2928"/>
      <c r="I8" s="2929"/>
      <c r="J8" s="3293"/>
      <c r="K8" s="3295"/>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10" t="s">
        <v>2687</v>
      </c>
      <c r="C9" s="3311"/>
      <c r="D9" s="2851">
        <f>ROUND(D6*E9,0)</f>
        <v>0</v>
      </c>
      <c r="E9" s="2898"/>
      <c r="F9" s="2853" t="s">
        <v>2688</v>
      </c>
      <c r="G9" s="2951" t="s">
        <v>2791</v>
      </c>
      <c r="H9" s="2928"/>
      <c r="I9" s="2929"/>
      <c r="J9" s="3293"/>
      <c r="K9" s="3295"/>
      <c r="L9" s="2946" t="s">
        <v>2781</v>
      </c>
      <c r="M9" s="2947"/>
      <c r="N9" s="2947"/>
      <c r="O9" s="2948"/>
      <c r="P9" s="2948"/>
      <c r="Q9" s="2949">
        <v>365</v>
      </c>
      <c r="R9" s="2950">
        <f t="shared" si="0"/>
        <v>0</v>
      </c>
      <c r="S9" s="2926"/>
      <c r="T9" s="2926"/>
      <c r="U9" s="2926"/>
      <c r="V9" s="2929"/>
      <c r="W9" s="2928"/>
    </row>
    <row r="10" spans="1:23" s="2834" customFormat="1" ht="13.2" customHeight="1">
      <c r="A10" s="2850">
        <v>2</v>
      </c>
      <c r="B10" s="3310" t="s">
        <v>2689</v>
      </c>
      <c r="C10" s="3311"/>
      <c r="D10" s="2851">
        <f>ROUND(D6*E10,0)</f>
        <v>0</v>
      </c>
      <c r="E10" s="2898"/>
      <c r="F10" s="2853" t="s">
        <v>2690</v>
      </c>
      <c r="G10" s="2951" t="s">
        <v>2792</v>
      </c>
      <c r="H10" s="2928"/>
      <c r="I10" s="2929"/>
      <c r="J10" s="3293"/>
      <c r="K10" s="3295"/>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10" t="s">
        <v>2691</v>
      </c>
      <c r="C11" s="3311"/>
      <c r="D11" s="2851">
        <f>D12+D14+D15+D16</f>
        <v>0</v>
      </c>
      <c r="E11" s="2854" t="e">
        <f>D11/D6</f>
        <v>#DIV/0!</v>
      </c>
      <c r="F11" s="2835"/>
      <c r="G11" s="2951"/>
      <c r="H11" s="2928"/>
      <c r="I11" s="2929"/>
      <c r="J11" s="3293"/>
      <c r="K11" s="3295"/>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03" t="s">
        <v>2693</v>
      </c>
      <c r="C12" s="3304"/>
      <c r="D12" s="2856">
        <f>ROUND(D13*1.2%*(1-30%),0)</f>
        <v>0</v>
      </c>
      <c r="E12" s="2857">
        <v>1.2E-2</v>
      </c>
      <c r="F12" s="2835" t="s">
        <v>2694</v>
      </c>
      <c r="G12" s="2951"/>
      <c r="H12" s="2928"/>
      <c r="I12" s="2929"/>
      <c r="J12" s="3293"/>
      <c r="K12" s="3295"/>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293"/>
      <c r="K13" s="3295"/>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03" t="s">
        <v>2697</v>
      </c>
      <c r="C14" s="3304"/>
      <c r="D14" s="2856">
        <f>ROUND(E14*B5/10000,0)</f>
        <v>0</v>
      </c>
      <c r="E14" s="2900"/>
      <c r="F14" s="2835" t="s">
        <v>2698</v>
      </c>
      <c r="G14" s="2951"/>
      <c r="H14" s="2928"/>
      <c r="I14" s="2929"/>
      <c r="J14" s="3293"/>
      <c r="K14" s="3296"/>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03" t="s">
        <v>2701</v>
      </c>
      <c r="C15" s="3304"/>
      <c r="D15" s="2856">
        <f>ROUND(D6*E15,0)</f>
        <v>0</v>
      </c>
      <c r="E15" s="2857">
        <v>5.5E-2</v>
      </c>
      <c r="F15" s="2835" t="s">
        <v>2702</v>
      </c>
      <c r="G15" s="2951"/>
      <c r="H15" s="2928"/>
      <c r="I15" s="2929"/>
      <c r="J15" s="3293">
        <v>2</v>
      </c>
      <c r="K15" s="3294"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03" t="s">
        <v>2712</v>
      </c>
      <c r="C16" s="3304"/>
      <c r="D16" s="2901">
        <f>D6*E16</f>
        <v>0</v>
      </c>
      <c r="E16" s="2902"/>
      <c r="F16" s="2853" t="s">
        <v>2713</v>
      </c>
      <c r="G16" s="2951"/>
      <c r="H16" s="2928"/>
      <c r="I16" s="2929"/>
      <c r="J16" s="3293"/>
      <c r="K16" s="3295"/>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05" t="s">
        <v>2714</v>
      </c>
      <c r="C17" s="3306"/>
      <c r="D17" s="2862">
        <f>ROUND(D6*E17,0)</f>
        <v>0</v>
      </c>
      <c r="E17" s="2903"/>
      <c r="F17" s="2863" t="s">
        <v>2715</v>
      </c>
      <c r="G17" s="2998">
        <v>0.1</v>
      </c>
      <c r="H17" s="2928"/>
      <c r="I17" s="2929"/>
      <c r="J17" s="3293"/>
      <c r="K17" s="3295"/>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293"/>
      <c r="K18" s="3295"/>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293"/>
      <c r="K19" s="3296"/>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293">
        <v>3</v>
      </c>
      <c r="K20" s="3294"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293"/>
      <c r="K21" s="3295"/>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293"/>
      <c r="K22" s="3295"/>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293"/>
      <c r="K23" s="3295"/>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293"/>
      <c r="K24" s="3296"/>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297">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298"/>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299" t="s">
        <v>2751</v>
      </c>
      <c r="K32" s="3300"/>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301" t="s">
        <v>2755</v>
      </c>
      <c r="K33" s="3302"/>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301" t="s">
        <v>2757</v>
      </c>
      <c r="K34" s="3302"/>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293">
        <v>1</v>
      </c>
      <c r="K36" s="3294"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293"/>
      <c r="K37" s="3295"/>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293"/>
      <c r="K38" s="3295"/>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293"/>
      <c r="K39" s="3295"/>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293"/>
      <c r="K40" s="3296"/>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297">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298"/>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元</v>
      </c>
      <c r="D23" s="33"/>
      <c r="E23" s="33"/>
      <c r="F23" s="1400" t="s">
        <v>1001</v>
      </c>
      <c r="G23" s="1195"/>
      <c r="H23" s="555" t="e">
        <f ca="1">SUMIF(INDIRECT("'"&amp;J23&amp;"'"&amp;"!A:A"),"承租人权益价值",INDIRECT("'"&amp;J23&amp;"'"&amp;"!c:c"))</f>
        <v>#REF!</v>
      </c>
      <c r="I23" s="555" t="str">
        <f>C2</f>
        <v>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元</v>
      </c>
      <c r="D2" s="1489"/>
      <c r="E2" s="1490" t="e">
        <f ca="1">SUMIF(INDIRECT("'"&amp;G2&amp;"'"&amp;"!A:A"),"承租人权益价值",INDIRECT("'"&amp;G2&amp;"'"&amp;"!c:c"))</f>
        <v>#REF!</v>
      </c>
      <c r="F2" s="1491" t="str">
        <f>C2</f>
        <v>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455.84</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21" t="s">
        <v>2007</v>
      </c>
      <c r="D4" s="3322"/>
      <c r="E4" s="3323" t="s">
        <v>2008</v>
      </c>
      <c r="F4" s="3324"/>
      <c r="G4" s="3321" t="s">
        <v>2009</v>
      </c>
      <c r="H4" s="3322"/>
      <c r="I4" s="3321" t="s">
        <v>2010</v>
      </c>
      <c r="J4" s="3322"/>
      <c r="K4" s="150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506"/>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506"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44908</v>
      </c>
      <c r="D7" s="1512">
        <v>100</v>
      </c>
      <c r="E7" s="1513"/>
      <c r="F7" s="1514">
        <f>SUMIF(58:58,YEAR(E7)&amp;"-"&amp;MONTH(E7),59:59)</f>
        <v>0</v>
      </c>
      <c r="G7" s="1513"/>
      <c r="H7" s="1512">
        <f>SUMIF(58:58,YEAR(G7)&amp;"-"&amp;MONTH(G7),59:59)</f>
        <v>0</v>
      </c>
      <c r="I7" s="1513"/>
      <c r="J7" s="1512">
        <f>SUMIF(58:58,YEAR(I7)&amp;"-"&amp;MONTH(I7),59:59)</f>
        <v>0</v>
      </c>
      <c r="K7" s="1515"/>
      <c r="L7" s="2694"/>
      <c r="P7" s="3353" t="s">
        <v>2020</v>
      </c>
      <c r="Q7" s="3355"/>
      <c r="R7" s="1516" t="s">
        <v>34</v>
      </c>
      <c r="S7" s="1517">
        <f t="shared" ref="S7:S15" si="0">F7</f>
        <v>0</v>
      </c>
      <c r="T7" s="1516" t="s">
        <v>34</v>
      </c>
      <c r="U7" s="1517">
        <f t="shared" ref="U7:U15" si="1">H7</f>
        <v>0</v>
      </c>
      <c r="V7" s="1516" t="s">
        <v>34</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53" t="s">
        <v>2023</v>
      </c>
      <c r="Q8" s="3354"/>
      <c r="R8" s="1516" t="s">
        <v>34</v>
      </c>
      <c r="S8" s="1517">
        <f t="shared" si="0"/>
        <v>0</v>
      </c>
      <c r="T8" s="1516" t="s">
        <v>34</v>
      </c>
      <c r="U8" s="1517">
        <f t="shared" si="1"/>
        <v>0</v>
      </c>
      <c r="V8" s="1516" t="s">
        <v>34</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56"/>
      <c r="Q11" s="1472" t="str">
        <f t="shared" si="6"/>
        <v>容积率</v>
      </c>
      <c r="R11" s="1516" t="s">
        <v>28</v>
      </c>
      <c r="S11" s="1517" t="e">
        <f t="shared" si="0"/>
        <v>#N/A</v>
      </c>
      <c r="T11" s="1516" t="s">
        <v>28</v>
      </c>
      <c r="U11" s="1517" t="e">
        <f t="shared" si="1"/>
        <v>#N/A</v>
      </c>
      <c r="V11" s="1516" t="s">
        <v>28</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56"/>
      <c r="Q12" s="1472">
        <f t="shared" si="6"/>
        <v>111</v>
      </c>
      <c r="R12" s="1516" t="s">
        <v>28</v>
      </c>
      <c r="S12" s="1517">
        <f t="shared" si="0"/>
        <v>100</v>
      </c>
      <c r="T12" s="1516" t="s">
        <v>28</v>
      </c>
      <c r="U12" s="1517">
        <f t="shared" si="1"/>
        <v>100</v>
      </c>
      <c r="V12" s="1516" t="s">
        <v>28</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56"/>
      <c r="Q13" s="1472">
        <f t="shared" si="6"/>
        <v>111</v>
      </c>
      <c r="R13" s="1516" t="s">
        <v>28</v>
      </c>
      <c r="S13" s="1517">
        <f t="shared" si="0"/>
        <v>100</v>
      </c>
      <c r="T13" s="1516" t="s">
        <v>28</v>
      </c>
      <c r="U13" s="1517">
        <f t="shared" si="1"/>
        <v>100</v>
      </c>
      <c r="V13" s="1516" t="s">
        <v>28</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56"/>
      <c r="Q14" s="1472">
        <f t="shared" si="6"/>
        <v>111</v>
      </c>
      <c r="R14" s="1516" t="s">
        <v>28</v>
      </c>
      <c r="S14" s="1517">
        <f t="shared" si="0"/>
        <v>100</v>
      </c>
      <c r="T14" s="1516" t="s">
        <v>28</v>
      </c>
      <c r="U14" s="1517">
        <f t="shared" si="1"/>
        <v>100</v>
      </c>
      <c r="V14" s="1516" t="s">
        <v>28</v>
      </c>
      <c r="W14" s="1517">
        <f t="shared" si="2"/>
        <v>100</v>
      </c>
      <c r="X14" s="1518"/>
      <c r="Y14" s="3221"/>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58" t="s">
        <v>2031</v>
      </c>
      <c r="Q15" s="1454" t="str">
        <f t="shared" si="6"/>
        <v>居住社区成熟度</v>
      </c>
      <c r="R15" s="1558" t="s">
        <v>28</v>
      </c>
      <c r="S15" s="1559">
        <f t="shared" si="0"/>
        <v>100</v>
      </c>
      <c r="T15" s="1558" t="s">
        <v>28</v>
      </c>
      <c r="U15" s="1559">
        <f t="shared" si="1"/>
        <v>100</v>
      </c>
      <c r="V15" s="1558" t="s">
        <v>28</v>
      </c>
      <c r="W15" s="1559">
        <f t="shared" si="2"/>
        <v>100</v>
      </c>
      <c r="X15" s="1502"/>
      <c r="Y15" s="3346"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59"/>
      <c r="Q16" s="1454"/>
      <c r="R16" s="1558"/>
      <c r="S16" s="1559"/>
      <c r="T16" s="1558"/>
      <c r="U16" s="1559"/>
      <c r="V16" s="1558"/>
      <c r="W16" s="1559"/>
      <c r="X16" s="1502"/>
      <c r="Y16" s="3347"/>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59"/>
      <c r="Q17" s="1454" t="str">
        <f>B17</f>
        <v>交通便捷度</v>
      </c>
      <c r="R17" s="1558" t="s">
        <v>28</v>
      </c>
      <c r="S17" s="1559">
        <f>F17</f>
        <v>100</v>
      </c>
      <c r="T17" s="1558" t="s">
        <v>28</v>
      </c>
      <c r="U17" s="1559">
        <f>H17</f>
        <v>100</v>
      </c>
      <c r="V17" s="1558" t="s">
        <v>28</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59"/>
      <c r="Q18" s="1454"/>
      <c r="R18" s="1558"/>
      <c r="S18" s="1559"/>
      <c r="T18" s="1558"/>
      <c r="U18" s="1559"/>
      <c r="V18" s="1558"/>
      <c r="W18" s="1559"/>
      <c r="X18" s="1502"/>
      <c r="Y18" s="3347"/>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59"/>
      <c r="Q19" s="1454" t="str">
        <f>B19</f>
        <v>公共配套设施</v>
      </c>
      <c r="R19" s="1558" t="s">
        <v>28</v>
      </c>
      <c r="S19" s="1559">
        <f>F19</f>
        <v>100</v>
      </c>
      <c r="T19" s="1558" t="s">
        <v>28</v>
      </c>
      <c r="U19" s="1559">
        <f>H19</f>
        <v>100</v>
      </c>
      <c r="V19" s="1558" t="s">
        <v>28</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59"/>
      <c r="Q20" s="1454"/>
      <c r="R20" s="1558"/>
      <c r="S20" s="1559"/>
      <c r="T20" s="1558"/>
      <c r="U20" s="1559"/>
      <c r="V20" s="1558"/>
      <c r="W20" s="1559"/>
      <c r="X20" s="1502"/>
      <c r="Y20" s="3347"/>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59"/>
      <c r="Q21" s="1454" t="str">
        <f>B21</f>
        <v>基础设施水平</v>
      </c>
      <c r="R21" s="1558" t="s">
        <v>28</v>
      </c>
      <c r="S21" s="1559">
        <f>F21</f>
        <v>100</v>
      </c>
      <c r="T21" s="1558" t="s">
        <v>28</v>
      </c>
      <c r="U21" s="1559">
        <f>H21</f>
        <v>100</v>
      </c>
      <c r="V21" s="1558" t="s">
        <v>28</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59"/>
      <c r="Q23" s="1454" t="str">
        <f>B23</f>
        <v>自然及人文环境</v>
      </c>
      <c r="R23" s="1558" t="s">
        <v>28</v>
      </c>
      <c r="S23" s="1559">
        <f>F23</f>
        <v>100</v>
      </c>
      <c r="T23" s="1558" t="s">
        <v>28</v>
      </c>
      <c r="U23" s="1559">
        <f>H23</f>
        <v>100</v>
      </c>
      <c r="V23" s="1558" t="s">
        <v>28</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59"/>
      <c r="Q24" s="1454"/>
      <c r="R24" s="1558"/>
      <c r="S24" s="1559"/>
      <c r="T24" s="1558"/>
      <c r="U24" s="1559"/>
      <c r="V24" s="1558"/>
      <c r="W24" s="1559"/>
      <c r="X24" s="1502"/>
      <c r="Y24" s="3347"/>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59"/>
      <c r="Q25" s="1454" t="str">
        <f t="shared" ref="Q25:Q46" si="11">B25</f>
        <v>楼层-1</v>
      </c>
      <c r="R25" s="1558" t="s">
        <v>28</v>
      </c>
      <c r="S25" s="1559">
        <f>F25</f>
        <v>100</v>
      </c>
      <c r="T25" s="1558" t="s">
        <v>28</v>
      </c>
      <c r="U25" s="1559">
        <f>H25</f>
        <v>100</v>
      </c>
      <c r="V25" s="1558" t="s">
        <v>28</v>
      </c>
      <c r="W25" s="1559">
        <f>J25</f>
        <v>100</v>
      </c>
      <c r="X25" s="1502"/>
      <c r="Y25" s="3347"/>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59"/>
      <c r="Q26" s="1454" t="str">
        <f t="shared" si="11"/>
        <v>朝向</v>
      </c>
      <c r="R26" s="1558" t="s">
        <v>28</v>
      </c>
      <c r="S26" s="1559">
        <f>F26</f>
        <v>100</v>
      </c>
      <c r="T26" s="1558" t="s">
        <v>28</v>
      </c>
      <c r="U26" s="1559">
        <f>H26</f>
        <v>100</v>
      </c>
      <c r="V26" s="1558" t="s">
        <v>28</v>
      </c>
      <c r="W26" s="1559">
        <f>J26</f>
        <v>100</v>
      </c>
      <c r="X26" s="1502"/>
      <c r="Y26" s="3347"/>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59"/>
      <c r="Q27" s="1472" t="str">
        <f t="shared" si="11"/>
        <v>道路级别</v>
      </c>
      <c r="R27" s="1516" t="s">
        <v>28</v>
      </c>
      <c r="S27" s="1517">
        <f>F27</f>
        <v>100</v>
      </c>
      <c r="T27" s="1516" t="s">
        <v>28</v>
      </c>
      <c r="U27" s="1517">
        <f>H27</f>
        <v>100</v>
      </c>
      <c r="V27" s="1516" t="s">
        <v>28</v>
      </c>
      <c r="W27" s="1517">
        <f>J27</f>
        <v>100</v>
      </c>
      <c r="X27" s="1518"/>
      <c r="Y27" s="3347"/>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59"/>
      <c r="Q28" s="1454">
        <f t="shared" si="11"/>
        <v>111</v>
      </c>
      <c r="R28" s="1558" t="s">
        <v>28</v>
      </c>
      <c r="S28" s="1559">
        <f t="shared" ref="S28:S46" si="12">F28</f>
        <v>100</v>
      </c>
      <c r="T28" s="1558" t="s">
        <v>28</v>
      </c>
      <c r="U28" s="1559">
        <f t="shared" ref="U28:U46" si="13">H28</f>
        <v>100</v>
      </c>
      <c r="V28" s="1558" t="s">
        <v>28</v>
      </c>
      <c r="W28" s="1559">
        <f t="shared" ref="W28:W46" si="14">J28</f>
        <v>100</v>
      </c>
      <c r="X28" s="1502"/>
      <c r="Y28" s="3347"/>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59"/>
      <c r="Q29" s="1454">
        <f t="shared" si="11"/>
        <v>111</v>
      </c>
      <c r="R29" s="1558" t="s">
        <v>28</v>
      </c>
      <c r="S29" s="1559">
        <f t="shared" si="12"/>
        <v>100</v>
      </c>
      <c r="T29" s="1558" t="s">
        <v>28</v>
      </c>
      <c r="U29" s="1559">
        <f t="shared" si="13"/>
        <v>100</v>
      </c>
      <c r="V29" s="1558" t="s">
        <v>28</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59"/>
      <c r="Q30" s="1454">
        <f t="shared" si="11"/>
        <v>111</v>
      </c>
      <c r="R30" s="1558" t="s">
        <v>28</v>
      </c>
      <c r="S30" s="1559">
        <f t="shared" si="12"/>
        <v>100</v>
      </c>
      <c r="T30" s="1558" t="s">
        <v>28</v>
      </c>
      <c r="U30" s="1559">
        <f t="shared" si="13"/>
        <v>100</v>
      </c>
      <c r="V30" s="1558" t="s">
        <v>28</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59"/>
      <c r="Q31" s="1454">
        <f t="shared" si="11"/>
        <v>111</v>
      </c>
      <c r="R31" s="1558" t="s">
        <v>28</v>
      </c>
      <c r="S31" s="1559">
        <f t="shared" si="12"/>
        <v>100</v>
      </c>
      <c r="T31" s="1558" t="s">
        <v>28</v>
      </c>
      <c r="U31" s="1559">
        <f t="shared" si="13"/>
        <v>100</v>
      </c>
      <c r="V31" s="1558" t="s">
        <v>28</v>
      </c>
      <c r="W31" s="1559">
        <f t="shared" si="14"/>
        <v>100</v>
      </c>
      <c r="X31" s="1502"/>
      <c r="Y31" s="3347"/>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48" t="s">
        <v>2037</v>
      </c>
      <c r="Q32" s="1454" t="str">
        <f t="shared" si="11"/>
        <v>建筑类型</v>
      </c>
      <c r="R32" s="1558" t="s">
        <v>28</v>
      </c>
      <c r="S32" s="1559">
        <f t="shared" si="12"/>
        <v>100</v>
      </c>
      <c r="T32" s="1558" t="s">
        <v>28</v>
      </c>
      <c r="U32" s="1559">
        <f t="shared" si="13"/>
        <v>100</v>
      </c>
      <c r="V32" s="1558" t="s">
        <v>28</v>
      </c>
      <c r="W32" s="1559">
        <f t="shared" si="14"/>
        <v>100</v>
      </c>
      <c r="X32" s="1502"/>
      <c r="Y32" s="3351"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49"/>
      <c r="Q33" s="478" t="str">
        <f t="shared" si="11"/>
        <v>项目建筑规模</v>
      </c>
      <c r="R33" s="1597" t="s">
        <v>28</v>
      </c>
      <c r="S33" s="1598" t="e">
        <f t="shared" si="12"/>
        <v>#N/A</v>
      </c>
      <c r="T33" s="1597" t="s">
        <v>28</v>
      </c>
      <c r="U33" s="1598" t="e">
        <f t="shared" si="13"/>
        <v>#N/A</v>
      </c>
      <c r="V33" s="1597" t="s">
        <v>28</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49"/>
      <c r="Q34" s="1454" t="str">
        <f t="shared" si="11"/>
        <v>建筑结构</v>
      </c>
      <c r="R34" s="1558" t="s">
        <v>28</v>
      </c>
      <c r="S34" s="1559">
        <f t="shared" si="12"/>
        <v>100</v>
      </c>
      <c r="T34" s="1558" t="s">
        <v>28</v>
      </c>
      <c r="U34" s="1559">
        <f t="shared" si="13"/>
        <v>100</v>
      </c>
      <c r="V34" s="1558" t="s">
        <v>28</v>
      </c>
      <c r="W34" s="1559">
        <f t="shared" si="14"/>
        <v>100</v>
      </c>
      <c r="X34" s="1502"/>
      <c r="Y34" s="3351"/>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49"/>
      <c r="Q35" s="1454" t="str">
        <f t="shared" si="11"/>
        <v>建筑品质</v>
      </c>
      <c r="R35" s="1558" t="s">
        <v>28</v>
      </c>
      <c r="S35" s="1559">
        <f t="shared" si="12"/>
        <v>100</v>
      </c>
      <c r="T35" s="1558" t="s">
        <v>28</v>
      </c>
      <c r="U35" s="1559">
        <f t="shared" si="13"/>
        <v>100</v>
      </c>
      <c r="V35" s="1558" t="s">
        <v>28</v>
      </c>
      <c r="W35" s="1559">
        <f t="shared" si="14"/>
        <v>100</v>
      </c>
      <c r="X35" s="1502"/>
      <c r="Y35" s="3351"/>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49"/>
      <c r="Q36" s="1454" t="str">
        <f t="shared" si="11"/>
        <v>公共部分装修</v>
      </c>
      <c r="R36" s="1558" t="s">
        <v>28</v>
      </c>
      <c r="S36" s="1559">
        <f t="shared" si="12"/>
        <v>100</v>
      </c>
      <c r="T36" s="1558" t="s">
        <v>28</v>
      </c>
      <c r="U36" s="1559">
        <f t="shared" si="13"/>
        <v>100</v>
      </c>
      <c r="V36" s="1558" t="s">
        <v>28</v>
      </c>
      <c r="W36" s="1559">
        <f t="shared" si="14"/>
        <v>100</v>
      </c>
      <c r="X36" s="1502"/>
      <c r="Y36" s="3351"/>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49"/>
      <c r="Q37" s="1472" t="str">
        <f t="shared" si="11"/>
        <v>成新度</v>
      </c>
      <c r="R37" s="1516" t="s">
        <v>28</v>
      </c>
      <c r="S37" s="1517" t="e">
        <f t="shared" si="12"/>
        <v>#N/A</v>
      </c>
      <c r="T37" s="1516" t="s">
        <v>28</v>
      </c>
      <c r="U37" s="1517" t="e">
        <f t="shared" si="13"/>
        <v>#N/A</v>
      </c>
      <c r="V37" s="1516" t="s">
        <v>28</v>
      </c>
      <c r="W37" s="1517" t="e">
        <f t="shared" si="14"/>
        <v>#N/A</v>
      </c>
      <c r="X37" s="1518"/>
      <c r="Y37" s="3351"/>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49" t="s">
        <v>2037</v>
      </c>
      <c r="Q38" s="1454" t="str">
        <f t="shared" si="11"/>
        <v>物业管理</v>
      </c>
      <c r="R38" s="1558" t="s">
        <v>28</v>
      </c>
      <c r="S38" s="1559">
        <f t="shared" si="12"/>
        <v>100</v>
      </c>
      <c r="T38" s="1558" t="s">
        <v>28</v>
      </c>
      <c r="U38" s="1559">
        <f t="shared" si="13"/>
        <v>100</v>
      </c>
      <c r="V38" s="1558" t="s">
        <v>28</v>
      </c>
      <c r="W38" s="1559">
        <f t="shared" si="14"/>
        <v>100</v>
      </c>
      <c r="X38" s="1502"/>
      <c r="Y38" s="3351"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49"/>
      <c r="Q39" s="1454" t="str">
        <f t="shared" si="11"/>
        <v>市政基础设施</v>
      </c>
      <c r="R39" s="1558" t="s">
        <v>28</v>
      </c>
      <c r="S39" s="1559">
        <f t="shared" si="12"/>
        <v>100</v>
      </c>
      <c r="T39" s="1558" t="s">
        <v>28</v>
      </c>
      <c r="U39" s="1559">
        <f t="shared" si="13"/>
        <v>100</v>
      </c>
      <c r="V39" s="1558" t="s">
        <v>28</v>
      </c>
      <c r="W39" s="1559">
        <f t="shared" si="14"/>
        <v>100</v>
      </c>
      <c r="X39" s="1502"/>
      <c r="Y39" s="3351"/>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49"/>
      <c r="Q40" s="1454" t="str">
        <f t="shared" si="11"/>
        <v>房型</v>
      </c>
      <c r="R40" s="1558" t="s">
        <v>28</v>
      </c>
      <c r="S40" s="1559">
        <f t="shared" si="12"/>
        <v>100</v>
      </c>
      <c r="T40" s="1558" t="s">
        <v>28</v>
      </c>
      <c r="U40" s="1559">
        <f t="shared" si="13"/>
        <v>100</v>
      </c>
      <c r="V40" s="1558" t="s">
        <v>28</v>
      </c>
      <c r="W40" s="1559">
        <f t="shared" si="14"/>
        <v>100</v>
      </c>
      <c r="X40" s="1502"/>
      <c r="Y40" s="3351"/>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49"/>
      <c r="Q41" s="478" t="str">
        <f t="shared" si="11"/>
        <v>单套/主力户型建筑面积</v>
      </c>
      <c r="R41" s="1597" t="s">
        <v>28</v>
      </c>
      <c r="S41" s="1598">
        <f t="shared" si="12"/>
        <v>100</v>
      </c>
      <c r="T41" s="1597" t="s">
        <v>28</v>
      </c>
      <c r="U41" s="1598">
        <f t="shared" si="13"/>
        <v>100</v>
      </c>
      <c r="V41" s="1597" t="s">
        <v>28</v>
      </c>
      <c r="W41" s="1598">
        <f t="shared" si="14"/>
        <v>100</v>
      </c>
      <c r="X41" s="1599"/>
      <c r="Y41" s="3351"/>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49"/>
      <c r="Q42" s="1454" t="str">
        <f t="shared" si="11"/>
        <v>内部装修</v>
      </c>
      <c r="R42" s="1558" t="s">
        <v>28</v>
      </c>
      <c r="S42" s="1559">
        <f t="shared" si="12"/>
        <v>100</v>
      </c>
      <c r="T42" s="1558" t="s">
        <v>28</v>
      </c>
      <c r="U42" s="1559">
        <f t="shared" si="13"/>
        <v>100</v>
      </c>
      <c r="V42" s="1558" t="s">
        <v>28</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49"/>
      <c r="Q43" s="1454" t="str">
        <f t="shared" si="11"/>
        <v>内部装修维护情况</v>
      </c>
      <c r="R43" s="1558" t="s">
        <v>28</v>
      </c>
      <c r="S43" s="1559">
        <f t="shared" si="12"/>
        <v>100</v>
      </c>
      <c r="T43" s="1558" t="s">
        <v>28</v>
      </c>
      <c r="U43" s="1559">
        <f t="shared" si="13"/>
        <v>100</v>
      </c>
      <c r="V43" s="1558" t="s">
        <v>28</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49"/>
      <c r="Q44" s="1472">
        <f t="shared" si="11"/>
        <v>111</v>
      </c>
      <c r="R44" s="1516" t="s">
        <v>28</v>
      </c>
      <c r="S44" s="1517">
        <f t="shared" si="12"/>
        <v>100</v>
      </c>
      <c r="T44" s="1516" t="s">
        <v>28</v>
      </c>
      <c r="U44" s="1517">
        <f t="shared" si="13"/>
        <v>100</v>
      </c>
      <c r="V44" s="1516" t="s">
        <v>28</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49"/>
      <c r="Q45" s="1454">
        <f t="shared" si="11"/>
        <v>111</v>
      </c>
      <c r="R45" s="1558" t="s">
        <v>28</v>
      </c>
      <c r="S45" s="1559">
        <f t="shared" si="12"/>
        <v>100</v>
      </c>
      <c r="T45" s="1558" t="s">
        <v>28</v>
      </c>
      <c r="U45" s="1559">
        <f t="shared" si="13"/>
        <v>100</v>
      </c>
      <c r="V45" s="1558" t="s">
        <v>28</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50"/>
      <c r="Q46" s="1454">
        <f t="shared" si="11"/>
        <v>111</v>
      </c>
      <c r="R46" s="1558" t="s">
        <v>27</v>
      </c>
      <c r="S46" s="1559">
        <f t="shared" si="12"/>
        <v>100</v>
      </c>
      <c r="T46" s="1558" t="s">
        <v>27</v>
      </c>
      <c r="U46" s="1559">
        <f t="shared" si="13"/>
        <v>100</v>
      </c>
      <c r="V46" s="1558" t="s">
        <v>27</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57" t="str">
        <f>A48</f>
        <v>比较价值（元/平方米）</v>
      </c>
      <c r="Q48" s="3357"/>
      <c r="R48" s="3337" t="e">
        <f>IF(E1="售价",ROUND(PRODUCT(R47,AA7:AA46),0),ROUND(PRODUCT(R47,AA7:AA46),1))</f>
        <v>#DIV/0!</v>
      </c>
      <c r="S48" s="3337"/>
      <c r="T48" s="3360" t="e">
        <f>IF(E1="售价",ROUND(PRODUCT(T47,AB7:AB46),0),ROUND(PRODUCT(T47,AB7:AB46),1))</f>
        <v>#DIV/0!</v>
      </c>
      <c r="U48" s="3361"/>
      <c r="V48" s="3337" t="e">
        <f>IF(E1="售价",ROUND(PRODUCT(V47,AC7:AC46),0),ROUND(PRODUCT(V47,AC7:AC46),1))</f>
        <v>#DIV/0!</v>
      </c>
      <c r="W48" s="3337"/>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N17" sqref="N1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元</v>
      </c>
      <c r="D2" s="1489"/>
      <c r="E2" s="2214" t="e">
        <f ca="1">SUMIF(INDIRECT("'"&amp;G2&amp;"'"&amp;"!A:A"),"承租人权益价值",INDIRECT("'"&amp;G2&amp;"'"&amp;"!c:c"))</f>
        <v>#REF!</v>
      </c>
      <c r="F2" s="1491" t="str">
        <f>C2</f>
        <v>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455.84</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37"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37"/>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37"/>
      <c r="AC6" s="3320"/>
    </row>
    <row r="7" spans="1:29" s="1520" customFormat="1" ht="15" thickBot="1">
      <c r="A7" s="1509" t="s">
        <v>2019</v>
      </c>
      <c r="B7" s="1510"/>
      <c r="C7" s="1511">
        <f>'数据-取费表'!B2</f>
        <v>44908</v>
      </c>
      <c r="D7" s="1512">
        <v>100</v>
      </c>
      <c r="E7" s="1513"/>
      <c r="F7" s="1514">
        <f>SUMIF(58:58,YEAR(E7)&amp;"-"&amp;MONTH(E7),59:59)</f>
        <v>0</v>
      </c>
      <c r="G7" s="1513"/>
      <c r="H7" s="1512">
        <f>SUMIF(58:58,YEAR(G7)&amp;"-"&amp;MONTH(G7),59:59)</f>
        <v>0</v>
      </c>
      <c r="I7" s="1513"/>
      <c r="J7" s="1512">
        <f>SUMIF(58:58,YEAR(I7)&amp;"-"&amp;MONTH(I7),59:59)</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56"/>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56"/>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56"/>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56"/>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58" t="s">
        <v>2031</v>
      </c>
      <c r="Q15" s="1454" t="str">
        <f t="shared" si="6"/>
        <v>商业繁华度</v>
      </c>
      <c r="R15" s="1558" t="s">
        <v>25</v>
      </c>
      <c r="S15" s="1559">
        <f t="shared" si="0"/>
        <v>100</v>
      </c>
      <c r="T15" s="1558" t="s">
        <v>25</v>
      </c>
      <c r="U15" s="1559">
        <f t="shared" si="1"/>
        <v>100</v>
      </c>
      <c r="V15" s="1558" t="s">
        <v>25</v>
      </c>
      <c r="W15" s="1559">
        <f t="shared" si="2"/>
        <v>100</v>
      </c>
      <c r="X15" s="1502"/>
      <c r="Y15" s="3346"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59"/>
      <c r="Q16" s="1454"/>
      <c r="R16" s="1558"/>
      <c r="S16" s="1559"/>
      <c r="T16" s="1558"/>
      <c r="U16" s="1559"/>
      <c r="V16" s="1558"/>
      <c r="W16" s="1559"/>
      <c r="X16" s="1502"/>
      <c r="Y16" s="3347"/>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59"/>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59"/>
      <c r="Q18" s="1454"/>
      <c r="R18" s="1558"/>
      <c r="S18" s="1559"/>
      <c r="T18" s="1558"/>
      <c r="U18" s="1559"/>
      <c r="V18" s="1558"/>
      <c r="W18" s="1559"/>
      <c r="X18" s="1502"/>
      <c r="Y18" s="3347"/>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59"/>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59"/>
      <c r="Q20" s="1454"/>
      <c r="R20" s="1558"/>
      <c r="S20" s="1559"/>
      <c r="T20" s="1558"/>
      <c r="U20" s="1559"/>
      <c r="V20" s="1558"/>
      <c r="W20" s="1559"/>
      <c r="X20" s="1502"/>
      <c r="Y20" s="3347"/>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59"/>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59"/>
      <c r="Q23" s="1454" t="str">
        <f>B23</f>
        <v>自然及人文环境</v>
      </c>
      <c r="R23" s="1558" t="s">
        <v>25</v>
      </c>
      <c r="S23" s="1559">
        <f>F23</f>
        <v>100</v>
      </c>
      <c r="T23" s="1558" t="s">
        <v>25</v>
      </c>
      <c r="U23" s="1559">
        <f>H23</f>
        <v>100</v>
      </c>
      <c r="V23" s="1558" t="s">
        <v>25</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59"/>
      <c r="Q24" s="1454"/>
      <c r="R24" s="1558"/>
      <c r="S24" s="1559"/>
      <c r="T24" s="1558"/>
      <c r="U24" s="1559"/>
      <c r="V24" s="1558"/>
      <c r="W24" s="1559"/>
      <c r="X24" s="1502"/>
      <c r="Y24" s="3347"/>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59"/>
      <c r="Q25" s="1454" t="str">
        <f t="shared" ref="Q25:Q46" si="11">B25</f>
        <v>临街状况</v>
      </c>
      <c r="R25" s="1558" t="s">
        <v>25</v>
      </c>
      <c r="S25" s="1559">
        <f>F25</f>
        <v>100</v>
      </c>
      <c r="T25" s="1558" t="s">
        <v>25</v>
      </c>
      <c r="U25" s="1559">
        <f>H25</f>
        <v>100</v>
      </c>
      <c r="V25" s="1558" t="s">
        <v>25</v>
      </c>
      <c r="W25" s="1559">
        <f>J25</f>
        <v>100</v>
      </c>
      <c r="X25" s="1502"/>
      <c r="Y25" s="3347"/>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59"/>
      <c r="Q26" s="1454" t="str">
        <f t="shared" si="11"/>
        <v>平面位置/可视性</v>
      </c>
      <c r="R26" s="1558" t="s">
        <v>25</v>
      </c>
      <c r="S26" s="1559">
        <f>F26</f>
        <v>100</v>
      </c>
      <c r="T26" s="1558" t="s">
        <v>25</v>
      </c>
      <c r="U26" s="1559">
        <f>H26</f>
        <v>100</v>
      </c>
      <c r="V26" s="1558" t="s">
        <v>25</v>
      </c>
      <c r="W26" s="1559">
        <f>J26</f>
        <v>100</v>
      </c>
      <c r="X26" s="1502"/>
      <c r="Y26" s="3347"/>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59"/>
      <c r="Q27" s="1472" t="str">
        <f t="shared" si="11"/>
        <v>人流量</v>
      </c>
      <c r="R27" s="1516" t="s">
        <v>25</v>
      </c>
      <c r="S27" s="1517">
        <f>F27</f>
        <v>100</v>
      </c>
      <c r="T27" s="1516" t="s">
        <v>25</v>
      </c>
      <c r="U27" s="1517">
        <f>H27</f>
        <v>100</v>
      </c>
      <c r="V27" s="1516" t="s">
        <v>25</v>
      </c>
      <c r="W27" s="1517">
        <f>J27</f>
        <v>100</v>
      </c>
      <c r="X27" s="1518"/>
      <c r="Y27" s="3347"/>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59"/>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47"/>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59"/>
      <c r="Q29" s="1454">
        <f t="shared" si="11"/>
        <v>111</v>
      </c>
      <c r="R29" s="1558" t="s">
        <v>25</v>
      </c>
      <c r="S29" s="1559">
        <f t="shared" si="12"/>
        <v>100</v>
      </c>
      <c r="T29" s="1558" t="s">
        <v>25</v>
      </c>
      <c r="U29" s="1559">
        <f t="shared" si="13"/>
        <v>100</v>
      </c>
      <c r="V29" s="1558" t="s">
        <v>25</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59"/>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59"/>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48" t="s">
        <v>2037</v>
      </c>
      <c r="Q32" s="1454" t="str">
        <f t="shared" si="11"/>
        <v>商业类型</v>
      </c>
      <c r="R32" s="1558" t="s">
        <v>25</v>
      </c>
      <c r="S32" s="1559">
        <f t="shared" si="12"/>
        <v>100</v>
      </c>
      <c r="T32" s="1558" t="s">
        <v>25</v>
      </c>
      <c r="U32" s="1559">
        <f t="shared" si="13"/>
        <v>100</v>
      </c>
      <c r="V32" s="1558" t="s">
        <v>25</v>
      </c>
      <c r="W32" s="1559">
        <f t="shared" si="14"/>
        <v>100</v>
      </c>
      <c r="X32" s="1502"/>
      <c r="Y32" s="3351"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49"/>
      <c r="Q33" s="478" t="str">
        <f t="shared" si="11"/>
        <v>项目建筑规模</v>
      </c>
      <c r="R33" s="1597" t="s">
        <v>25</v>
      </c>
      <c r="S33" s="1598" t="e">
        <f t="shared" si="12"/>
        <v>#N/A</v>
      </c>
      <c r="T33" s="1597" t="s">
        <v>25</v>
      </c>
      <c r="U33" s="1598" t="e">
        <f t="shared" si="13"/>
        <v>#N/A</v>
      </c>
      <c r="V33" s="1597" t="s">
        <v>25</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49"/>
      <c r="Q34" s="1454" t="str">
        <f t="shared" si="11"/>
        <v>建筑结构</v>
      </c>
      <c r="R34" s="1558" t="s">
        <v>25</v>
      </c>
      <c r="S34" s="1559">
        <f t="shared" si="12"/>
        <v>100</v>
      </c>
      <c r="T34" s="1558" t="s">
        <v>25</v>
      </c>
      <c r="U34" s="1559">
        <f t="shared" si="13"/>
        <v>100</v>
      </c>
      <c r="V34" s="1558" t="s">
        <v>25</v>
      </c>
      <c r="W34" s="1559">
        <f t="shared" si="14"/>
        <v>100</v>
      </c>
      <c r="X34" s="1502"/>
      <c r="Y34" s="3351"/>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49"/>
      <c r="Q35" s="1454" t="str">
        <f t="shared" si="11"/>
        <v>公共部分装修</v>
      </c>
      <c r="R35" s="1558" t="s">
        <v>25</v>
      </c>
      <c r="S35" s="1559">
        <f t="shared" si="12"/>
        <v>100</v>
      </c>
      <c r="T35" s="1558" t="s">
        <v>25</v>
      </c>
      <c r="U35" s="1559">
        <f t="shared" si="13"/>
        <v>100</v>
      </c>
      <c r="V35" s="1558" t="s">
        <v>25</v>
      </c>
      <c r="W35" s="1559">
        <f t="shared" si="14"/>
        <v>100</v>
      </c>
      <c r="X35" s="1502"/>
      <c r="Y35" s="3351"/>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49"/>
      <c r="Q36" s="1454" t="str">
        <f t="shared" si="11"/>
        <v>成新度</v>
      </c>
      <c r="R36" s="1558" t="s">
        <v>25</v>
      </c>
      <c r="S36" s="1559" t="e">
        <f t="shared" si="12"/>
        <v>#N/A</v>
      </c>
      <c r="T36" s="1558" t="s">
        <v>25</v>
      </c>
      <c r="U36" s="1559" t="e">
        <f t="shared" si="13"/>
        <v>#N/A</v>
      </c>
      <c r="V36" s="1558" t="s">
        <v>25</v>
      </c>
      <c r="W36" s="1559" t="e">
        <f t="shared" si="14"/>
        <v>#N/A</v>
      </c>
      <c r="X36" s="1502"/>
      <c r="Y36" s="3351"/>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49"/>
      <c r="Q37" s="1472" t="str">
        <f t="shared" si="11"/>
        <v>市政基础设施</v>
      </c>
      <c r="R37" s="1516" t="s">
        <v>25</v>
      </c>
      <c r="S37" s="1517">
        <f t="shared" si="12"/>
        <v>100</v>
      </c>
      <c r="T37" s="1516" t="s">
        <v>25</v>
      </c>
      <c r="U37" s="1517">
        <f t="shared" si="13"/>
        <v>100</v>
      </c>
      <c r="V37" s="1516" t="s">
        <v>25</v>
      </c>
      <c r="W37" s="1517">
        <f t="shared" si="14"/>
        <v>100</v>
      </c>
      <c r="X37" s="1518"/>
      <c r="Y37" s="3351"/>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49" t="s">
        <v>2037</v>
      </c>
      <c r="Q38" s="1454" t="str">
        <f t="shared" si="11"/>
        <v>业态</v>
      </c>
      <c r="R38" s="1558" t="s">
        <v>25</v>
      </c>
      <c r="S38" s="1559">
        <f t="shared" si="12"/>
        <v>100</v>
      </c>
      <c r="T38" s="1558" t="s">
        <v>25</v>
      </c>
      <c r="U38" s="1559">
        <f t="shared" si="13"/>
        <v>100</v>
      </c>
      <c r="V38" s="1558" t="s">
        <v>25</v>
      </c>
      <c r="W38" s="1559">
        <f t="shared" si="14"/>
        <v>100</v>
      </c>
      <c r="X38" s="1502"/>
      <c r="Y38" s="3351"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49"/>
      <c r="Q39" s="1454" t="str">
        <f t="shared" si="11"/>
        <v>层高</v>
      </c>
      <c r="R39" s="1558" t="s">
        <v>25</v>
      </c>
      <c r="S39" s="1559">
        <f t="shared" si="12"/>
        <v>100</v>
      </c>
      <c r="T39" s="1558" t="s">
        <v>25</v>
      </c>
      <c r="U39" s="1559">
        <f t="shared" si="13"/>
        <v>100</v>
      </c>
      <c r="V39" s="1558" t="s">
        <v>25</v>
      </c>
      <c r="W39" s="1559">
        <f t="shared" si="14"/>
        <v>100</v>
      </c>
      <c r="X39" s="1502"/>
      <c r="Y39" s="3351"/>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49"/>
      <c r="Q40" s="1454" t="str">
        <f t="shared" si="11"/>
        <v>单套建筑面积</v>
      </c>
      <c r="R40" s="1558" t="s">
        <v>25</v>
      </c>
      <c r="S40" s="1559">
        <f t="shared" si="12"/>
        <v>100</v>
      </c>
      <c r="T40" s="1558" t="s">
        <v>25</v>
      </c>
      <c r="U40" s="1559">
        <f t="shared" si="13"/>
        <v>100</v>
      </c>
      <c r="V40" s="1558" t="s">
        <v>25</v>
      </c>
      <c r="W40" s="1559">
        <f t="shared" si="14"/>
        <v>100</v>
      </c>
      <c r="X40" s="1502"/>
      <c r="Y40" s="3351"/>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49"/>
      <c r="Q41" s="478" t="str">
        <f t="shared" si="11"/>
        <v>进深比</v>
      </c>
      <c r="R41" s="1597" t="s">
        <v>25</v>
      </c>
      <c r="S41" s="1598">
        <f t="shared" si="12"/>
        <v>100</v>
      </c>
      <c r="T41" s="1597" t="s">
        <v>25</v>
      </c>
      <c r="U41" s="1598">
        <f t="shared" si="13"/>
        <v>100</v>
      </c>
      <c r="V41" s="1597" t="s">
        <v>25</v>
      </c>
      <c r="W41" s="1598">
        <f t="shared" si="14"/>
        <v>100</v>
      </c>
      <c r="X41" s="1599"/>
      <c r="Y41" s="3351"/>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49"/>
      <c r="Q42" s="1454" t="str">
        <f t="shared" si="11"/>
        <v>内部装修</v>
      </c>
      <c r="R42" s="1558" t="s">
        <v>25</v>
      </c>
      <c r="S42" s="1559">
        <f t="shared" si="12"/>
        <v>100</v>
      </c>
      <c r="T42" s="1558" t="s">
        <v>25</v>
      </c>
      <c r="U42" s="1559">
        <f t="shared" si="13"/>
        <v>100</v>
      </c>
      <c r="V42" s="1558" t="s">
        <v>25</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49"/>
      <c r="Q43" s="1454" t="str">
        <f t="shared" si="11"/>
        <v>内部装修维护情况</v>
      </c>
      <c r="R43" s="1558" t="s">
        <v>25</v>
      </c>
      <c r="S43" s="1559">
        <f t="shared" si="12"/>
        <v>100</v>
      </c>
      <c r="T43" s="1558" t="s">
        <v>25</v>
      </c>
      <c r="U43" s="1559">
        <f t="shared" si="13"/>
        <v>100</v>
      </c>
      <c r="V43" s="1558" t="s">
        <v>25</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49"/>
      <c r="Q44" s="1472">
        <f t="shared" si="11"/>
        <v>111</v>
      </c>
      <c r="R44" s="1516" t="s">
        <v>25</v>
      </c>
      <c r="S44" s="1517">
        <f t="shared" si="12"/>
        <v>100</v>
      </c>
      <c r="T44" s="1516" t="s">
        <v>25</v>
      </c>
      <c r="U44" s="1517">
        <f t="shared" si="13"/>
        <v>100</v>
      </c>
      <c r="V44" s="1516" t="s">
        <v>25</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49"/>
      <c r="Q45" s="1454">
        <f t="shared" si="11"/>
        <v>111</v>
      </c>
      <c r="R45" s="1558" t="s">
        <v>25</v>
      </c>
      <c r="S45" s="1559">
        <f t="shared" si="12"/>
        <v>100</v>
      </c>
      <c r="T45" s="1558" t="s">
        <v>25</v>
      </c>
      <c r="U45" s="1559">
        <f t="shared" si="13"/>
        <v>100</v>
      </c>
      <c r="V45" s="1558" t="s">
        <v>25</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50"/>
      <c r="Q46" s="1454">
        <f t="shared" si="11"/>
        <v>111</v>
      </c>
      <c r="R46" s="1558" t="s">
        <v>25</v>
      </c>
      <c r="S46" s="1559">
        <f t="shared" si="12"/>
        <v>100</v>
      </c>
      <c r="T46" s="1558" t="s">
        <v>25</v>
      </c>
      <c r="U46" s="1559">
        <f t="shared" si="13"/>
        <v>100</v>
      </c>
      <c r="V46" s="1558" t="s">
        <v>25</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57" t="str">
        <f>A48</f>
        <v>比较价值（元/平方米）</v>
      </c>
      <c r="Q48" s="3357"/>
      <c r="R48" s="3337" t="e">
        <f>IF(E1="售价",ROUND(PRODUCT(R47,AA7:AA46),0),ROUND(PRODUCT(R47,AA7:AA46),1))</f>
        <v>#DIV/0!</v>
      </c>
      <c r="S48" s="3337"/>
      <c r="T48" s="3337" t="e">
        <f>IF(E1="售价",ROUND(PRODUCT(T47,AB7:AB46),0),ROUND(PRODUCT(T47,AB7:AB46),1))</f>
        <v>#DIV/0!</v>
      </c>
      <c r="U48" s="3337"/>
      <c r="V48" s="3337" t="e">
        <f>IF(E1="售价",ROUND(PRODUCT(V47,AC7:AC46),0),ROUND(PRODUCT(V47,AC7:AC46),1))</f>
        <v>#DIV/0!</v>
      </c>
      <c r="W48" s="3337"/>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47" sqref="F4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c r="D1" s="1475"/>
      <c r="E1" s="1478"/>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t="e">
        <f ca="1">IF(D2="——",IF(C2="元",ROUND(C50*D3,0),ROUND(C50*D3/10000,0)),IF(C2="元",ROUND(C50*D3,0),ROUND(C50*D3/10000,0))-E2)</f>
        <v>#DIV/0!</v>
      </c>
      <c r="C2" s="1488" t="str">
        <f>'数据-取费表'!B3</f>
        <v>元</v>
      </c>
      <c r="D2" s="1489"/>
      <c r="E2" s="2231" t="e">
        <f ca="1">SUMIF(INDIRECT("'"&amp;G2&amp;"'"&amp;"!A:A"),"承租人权益价值",INDIRECT("'"&amp;G2&amp;"'"&amp;"!c:c"))</f>
        <v>#REF!</v>
      </c>
      <c r="F2" s="1491" t="str">
        <f>C2</f>
        <v>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t="e">
        <f ca="1">ROUND(IF(D2="——",C50,IF(C2="万元",B2*10000/D3,B2/D3)),0)</f>
        <v>#DIV/0!</v>
      </c>
      <c r="C3" s="1497" t="s">
        <v>2005</v>
      </c>
      <c r="D3" s="1497">
        <f>IF(C1="仅计算典型户型",'数据-取费表'!E5,'数据-取费表'!B5)</f>
        <v>455.84</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44908</v>
      </c>
      <c r="D7" s="1512">
        <v>100</v>
      </c>
      <c r="E7" s="1513"/>
      <c r="F7" s="1514">
        <f>SUMIF(59:59,YEAR(E7)&amp;"-"&amp;MONTH(E7),60:60)</f>
        <v>0</v>
      </c>
      <c r="G7" s="1782"/>
      <c r="H7" s="1512">
        <f>SUMIF(59:59,YEAR(G7)&amp;"-"&amp;MONTH(G7),60:60)</f>
        <v>0</v>
      </c>
      <c r="I7" s="1782"/>
      <c r="J7" s="1512">
        <f>SUMIF(59:59,YEAR(I7)&amp;"-"&amp;MONTH(I7),60:60)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SUMIF(62:62,E8,63:63)-SUMIF(62:62,C8,63:63)+100</f>
        <v>0</v>
      </c>
      <c r="G8" s="1521"/>
      <c r="H8" s="1512">
        <f>SUMIF(62:62,G8,63:63)-SUMIF(62:62,C8,63:63)+100</f>
        <v>0</v>
      </c>
      <c r="I8" s="1521"/>
      <c r="J8" s="1512">
        <f>SUMIF(62:62,I8,63:63)-SUMIF(62:62,C8,63:63)+100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7" si="3">D8/F8</f>
        <v>#DIV/0!</v>
      </c>
      <c r="AB8" s="1519" t="e">
        <f t="shared" ref="AB8:AB47" si="4">D8/H8</f>
        <v>#DIV/0!</v>
      </c>
      <c r="AC8" s="1519" t="e">
        <f t="shared" ref="AC8:AC47" si="5">D8/J8</f>
        <v>#DIV/0!</v>
      </c>
    </row>
    <row r="9" spans="1:29" s="1520" customFormat="1" ht="14.4">
      <c r="A9" s="1473" t="s">
        <v>2024</v>
      </c>
      <c r="B9" s="1523" t="s">
        <v>2025</v>
      </c>
      <c r="C9" s="1524"/>
      <c r="D9" s="1525">
        <v>100</v>
      </c>
      <c r="E9" s="1527"/>
      <c r="F9" s="1525">
        <f>SUMIF(64:64,E9,65:65)-SUMIF(64:64,C9,65:65)+100</f>
        <v>100</v>
      </c>
      <c r="G9" s="1526"/>
      <c r="H9" s="1525">
        <f>SUMIF(64:64,G9,65:65)-SUMIF(64:64,C9,65:65)+100</f>
        <v>100</v>
      </c>
      <c r="I9" s="1526"/>
      <c r="J9" s="1525">
        <f>SUMIF(64:64,I9,65:65)-SUMIF(64:64,C9,65:65)+100</f>
        <v>100</v>
      </c>
      <c r="K9" s="1783"/>
      <c r="L9" s="2694"/>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0"/>
      <c r="F10" s="1531">
        <f>SUMIF(66:66,E10,67:67)-SUMIF(66:66,C10,67:67)+100</f>
        <v>100</v>
      </c>
      <c r="G10" s="1532"/>
      <c r="H10" s="1531">
        <f>SUMIF(66:66,G10,67:67)-SUMIF(66:66,C10,67:67)+100</f>
        <v>100</v>
      </c>
      <c r="I10" s="1530"/>
      <c r="J10" s="1531">
        <f>SUMIF(66:66,I10,67:67)-SUMIF(66:66,C10,67:67)+100</f>
        <v>100</v>
      </c>
      <c r="K10" s="1807"/>
      <c r="L10" s="2695"/>
      <c r="P10" s="3357"/>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t="e">
        <f>LOOKUP(E11,69:69,70:70)-LOOKUP(C11,69:69,70:70)+100</f>
        <v>#N/A</v>
      </c>
      <c r="G11" s="1537"/>
      <c r="H11" s="1531" t="e">
        <f>LOOKUP(G11,69:69,70:70)-LOOKUP(C11,69:69,70:70)+100</f>
        <v>#N/A</v>
      </c>
      <c r="I11" s="1536"/>
      <c r="J11" s="1531" t="e">
        <f>LOOKUP(I11,69:69,70:70)-LOOKUP(C11,69:69,70:70)+100</f>
        <v>#N/A</v>
      </c>
      <c r="K11" s="1807"/>
      <c r="L11" s="2696"/>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57"/>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46" t="s">
        <v>2031</v>
      </c>
      <c r="Q15" s="1454" t="str">
        <f t="shared" si="6"/>
        <v>办公集聚程度</v>
      </c>
      <c r="R15" s="1558" t="s">
        <v>25</v>
      </c>
      <c r="S15" s="1559">
        <f t="shared" si="0"/>
        <v>100</v>
      </c>
      <c r="T15" s="1558" t="s">
        <v>25</v>
      </c>
      <c r="U15" s="1559">
        <f t="shared" si="1"/>
        <v>100</v>
      </c>
      <c r="V15" s="1558" t="s">
        <v>25</v>
      </c>
      <c r="W15" s="1559">
        <f t="shared" si="2"/>
        <v>100</v>
      </c>
      <c r="X15" s="1502"/>
      <c r="Y15" s="3346" t="s">
        <v>2031</v>
      </c>
      <c r="Z15" s="1560" t="str">
        <f t="shared" si="7"/>
        <v>办公集聚程度</v>
      </c>
      <c r="AA15" s="1560">
        <f t="shared" si="3"/>
        <v>1</v>
      </c>
      <c r="AB15" s="1560">
        <f t="shared" si="4"/>
        <v>1</v>
      </c>
      <c r="AC15" s="1560">
        <f t="shared" si="5"/>
        <v>1</v>
      </c>
    </row>
    <row r="16" spans="1:29" ht="15">
      <c r="A16" s="1535"/>
      <c r="B16" s="2237"/>
      <c r="C16" s="1791"/>
      <c r="D16" s="1563"/>
      <c r="E16" s="1562"/>
      <c r="F16" s="1563"/>
      <c r="G16" s="1791"/>
      <c r="H16" s="1567"/>
      <c r="I16" s="1562"/>
      <c r="J16" s="1563"/>
      <c r="K16" s="2217"/>
      <c r="L16" s="2697"/>
      <c r="P16" s="3347"/>
      <c r="Q16" s="1454"/>
      <c r="R16" s="1558"/>
      <c r="S16" s="1559"/>
      <c r="T16" s="1558"/>
      <c r="U16" s="1559"/>
      <c r="V16" s="1558"/>
      <c r="W16" s="1559"/>
      <c r="X16" s="1502"/>
      <c r="Y16" s="3347"/>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47"/>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88"/>
      <c r="C18" s="1795"/>
      <c r="D18" s="1567"/>
      <c r="E18" s="1578"/>
      <c r="F18" s="1567"/>
      <c r="G18" s="1577"/>
      <c r="H18" s="1563"/>
      <c r="I18" s="1577"/>
      <c r="J18" s="1563"/>
      <c r="K18" s="2217"/>
      <c r="L18" s="2697"/>
      <c r="P18" s="3347"/>
      <c r="Q18" s="1454"/>
      <c r="R18" s="1558"/>
      <c r="S18" s="1559"/>
      <c r="T18" s="1558"/>
      <c r="U18" s="1559"/>
      <c r="V18" s="1558"/>
      <c r="W18" s="1559"/>
      <c r="X18" s="1502"/>
      <c r="Y18" s="3347"/>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47"/>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88"/>
      <c r="C20" s="1791"/>
      <c r="D20" s="1563"/>
      <c r="E20" s="1566"/>
      <c r="F20" s="1563"/>
      <c r="G20" s="1564"/>
      <c r="H20" s="1563"/>
      <c r="I20" s="1564"/>
      <c r="J20" s="1563"/>
      <c r="K20" s="2217"/>
      <c r="L20" s="2697"/>
      <c r="P20" s="3347"/>
      <c r="Q20" s="1454"/>
      <c r="R20" s="1558"/>
      <c r="S20" s="1559"/>
      <c r="T20" s="1558"/>
      <c r="U20" s="1559"/>
      <c r="V20" s="1558"/>
      <c r="W20" s="1559"/>
      <c r="X20" s="1502"/>
      <c r="Y20" s="3347"/>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47"/>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2239"/>
      <c r="C22" s="1795"/>
      <c r="D22" s="1563"/>
      <c r="E22" s="1562"/>
      <c r="F22" s="1563"/>
      <c r="G22" s="1791"/>
      <c r="H22" s="1563"/>
      <c r="I22" s="1791"/>
      <c r="J22" s="1563"/>
      <c r="K22" s="2218"/>
      <c r="L22" s="2697"/>
      <c r="P22" s="3347"/>
      <c r="Q22" s="1454"/>
      <c r="R22" s="1558"/>
      <c r="S22" s="1559"/>
      <c r="T22" s="1558"/>
      <c r="U22" s="1559"/>
      <c r="V22" s="1558"/>
      <c r="W22" s="1559"/>
      <c r="X22" s="1502"/>
      <c r="Y22" s="3347"/>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47"/>
      <c r="Q23" s="1454" t="str">
        <f>B23</f>
        <v>环境质量</v>
      </c>
      <c r="R23" s="1558" t="s">
        <v>25</v>
      </c>
      <c r="S23" s="1559">
        <f>F23</f>
        <v>100</v>
      </c>
      <c r="T23" s="1558" t="s">
        <v>25</v>
      </c>
      <c r="U23" s="1559">
        <f>H23</f>
        <v>100</v>
      </c>
      <c r="V23" s="1558" t="s">
        <v>25</v>
      </c>
      <c r="W23" s="1559">
        <f>J23</f>
        <v>100</v>
      </c>
      <c r="X23" s="1502"/>
      <c r="Y23" s="3347"/>
      <c r="Z23" s="1560" t="str">
        <f>Q23</f>
        <v>环境质量</v>
      </c>
      <c r="AA23" s="1560">
        <f t="shared" si="3"/>
        <v>1</v>
      </c>
      <c r="AB23" s="1560">
        <f t="shared" si="4"/>
        <v>1</v>
      </c>
      <c r="AC23" s="1560">
        <f t="shared" si="5"/>
        <v>1</v>
      </c>
    </row>
    <row r="24" spans="1:29" ht="15">
      <c r="A24" s="1535"/>
      <c r="B24" s="2239"/>
      <c r="C24" s="1791"/>
      <c r="D24" s="1563"/>
      <c r="E24" s="1566"/>
      <c r="F24" s="1563"/>
      <c r="G24" s="1564"/>
      <c r="H24" s="1563"/>
      <c r="I24" s="1564"/>
      <c r="J24" s="1563"/>
      <c r="K24" s="2217"/>
      <c r="L24" s="2697"/>
      <c r="P24" s="3347"/>
      <c r="Q24" s="1454"/>
      <c r="R24" s="1558"/>
      <c r="S24" s="1559"/>
      <c r="T24" s="1558"/>
      <c r="U24" s="1559"/>
      <c r="V24" s="1558"/>
      <c r="W24" s="1559"/>
      <c r="X24" s="1502"/>
      <c r="Y24" s="3347"/>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47"/>
      <c r="Q25" s="1454" t="str">
        <f>B25</f>
        <v>毗邻道路的类型与等级</v>
      </c>
      <c r="R25" s="1558" t="s">
        <v>25</v>
      </c>
      <c r="S25" s="1559">
        <f>F25</f>
        <v>100</v>
      </c>
      <c r="T25" s="1558" t="s">
        <v>25</v>
      </c>
      <c r="U25" s="1559">
        <f>H25</f>
        <v>100</v>
      </c>
      <c r="V25" s="1558" t="s">
        <v>25</v>
      </c>
      <c r="W25" s="1559">
        <f>J25</f>
        <v>100</v>
      </c>
      <c r="X25" s="1502"/>
      <c r="Y25" s="3347"/>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47"/>
      <c r="Q26" s="1454"/>
      <c r="R26" s="1558"/>
      <c r="S26" s="1559"/>
      <c r="T26" s="1558"/>
      <c r="U26" s="1559"/>
      <c r="V26" s="1558"/>
      <c r="W26" s="1559"/>
      <c r="X26" s="1502"/>
      <c r="Y26" s="3347"/>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47"/>
      <c r="Q27" s="1454" t="str">
        <f t="shared" ref="Q27:Q47" si="11">B27</f>
        <v>楼层</v>
      </c>
      <c r="R27" s="1558" t="s">
        <v>25</v>
      </c>
      <c r="S27" s="1559">
        <f>F27</f>
        <v>100</v>
      </c>
      <c r="T27" s="1558" t="s">
        <v>25</v>
      </c>
      <c r="U27" s="1559">
        <f>H27</f>
        <v>100</v>
      </c>
      <c r="V27" s="1558" t="s">
        <v>25</v>
      </c>
      <c r="W27" s="1559">
        <f>J27</f>
        <v>100</v>
      </c>
      <c r="X27" s="1502"/>
      <c r="Y27" s="3347"/>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47"/>
      <c r="Q28" s="1472" t="str">
        <f t="shared" si="11"/>
        <v>朝向</v>
      </c>
      <c r="R28" s="1516" t="s">
        <v>25</v>
      </c>
      <c r="S28" s="1517">
        <f>F28</f>
        <v>100</v>
      </c>
      <c r="T28" s="1516" t="s">
        <v>25</v>
      </c>
      <c r="U28" s="1517">
        <f>H28</f>
        <v>100</v>
      </c>
      <c r="V28" s="1516" t="s">
        <v>25</v>
      </c>
      <c r="W28" s="1517">
        <f>J28</f>
        <v>100</v>
      </c>
      <c r="X28" s="1518"/>
      <c r="Y28" s="3347"/>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47"/>
      <c r="Q29" s="1454">
        <f t="shared" si="11"/>
        <v>111</v>
      </c>
      <c r="R29" s="1558" t="s">
        <v>25</v>
      </c>
      <c r="S29" s="1559">
        <f t="shared" ref="S29:S47" si="12">F29</f>
        <v>100</v>
      </c>
      <c r="T29" s="1558" t="s">
        <v>25</v>
      </c>
      <c r="U29" s="1559">
        <f t="shared" ref="U29:U47" si="13">H29</f>
        <v>100</v>
      </c>
      <c r="V29" s="1558" t="s">
        <v>25</v>
      </c>
      <c r="W29" s="1559">
        <f t="shared" ref="W29:W47" si="14">J29</f>
        <v>100</v>
      </c>
      <c r="X29" s="1502"/>
      <c r="Y29" s="3347"/>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47"/>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47"/>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47"/>
      <c r="Q32" s="1454">
        <f t="shared" si="11"/>
        <v>111</v>
      </c>
      <c r="R32" s="1558" t="s">
        <v>25</v>
      </c>
      <c r="S32" s="1559">
        <f t="shared" si="12"/>
        <v>100</v>
      </c>
      <c r="T32" s="1558" t="s">
        <v>25</v>
      </c>
      <c r="U32" s="1559">
        <f t="shared" si="13"/>
        <v>100</v>
      </c>
      <c r="V32" s="1558" t="s">
        <v>25</v>
      </c>
      <c r="W32" s="1559">
        <f t="shared" si="14"/>
        <v>100</v>
      </c>
      <c r="X32" s="1502"/>
      <c r="Y32" s="3347"/>
      <c r="Z32" s="1560">
        <f t="shared" si="15"/>
        <v>111</v>
      </c>
      <c r="AA32" s="1560">
        <f t="shared" si="3"/>
        <v>1</v>
      </c>
      <c r="AB32" s="1560">
        <f t="shared" si="4"/>
        <v>1</v>
      </c>
      <c r="AC32" s="1560">
        <f t="shared" si="5"/>
        <v>1</v>
      </c>
    </row>
    <row r="33" spans="1:29" ht="15">
      <c r="A33" s="1550" t="s">
        <v>2035</v>
      </c>
      <c r="B33" s="1523" t="s">
        <v>2151</v>
      </c>
      <c r="C33" s="1592"/>
      <c r="D33" s="1593">
        <v>100</v>
      </c>
      <c r="E33" s="1592"/>
      <c r="F33" s="1586">
        <f>SUMIF(101:101,E33,102:102)-SUMIF(101:101,C33,102:102)+100</f>
        <v>100</v>
      </c>
      <c r="G33" s="1592"/>
      <c r="H33" s="1544">
        <f>SUMIF(101:101,G33,102:102)-SUMIF(101:101,C33,102:102)+100</f>
        <v>100</v>
      </c>
      <c r="I33" s="1592"/>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51" t="s">
        <v>2037</v>
      </c>
      <c r="Z33" s="1560" t="str">
        <f t="shared" si="15"/>
        <v>建筑类型</v>
      </c>
      <c r="AA33" s="1560">
        <f t="shared" si="3"/>
        <v>1</v>
      </c>
      <c r="AB33" s="1560">
        <f t="shared" si="4"/>
        <v>1</v>
      </c>
      <c r="AC33" s="1560">
        <f t="shared" si="5"/>
        <v>1</v>
      </c>
    </row>
    <row r="34" spans="1:29" s="1601" customFormat="1" ht="15">
      <c r="A34" s="1595"/>
      <c r="B34" s="1529" t="s">
        <v>2038</v>
      </c>
      <c r="C34" s="1596"/>
      <c r="D34" s="1531">
        <v>100</v>
      </c>
      <c r="E34" s="1537"/>
      <c r="F34" s="1529" t="e">
        <f>LOOKUP(E34,104:104,105:105)-LOOKUP(C34,104:104,105:105)+100</f>
        <v>#N/A</v>
      </c>
      <c r="G34" s="1536"/>
      <c r="H34" s="1531" t="e">
        <f>LOOKUP(G34,104:104,105:105)-LOOKUP(C34,104:104,105:105)+100</f>
        <v>#N/A</v>
      </c>
      <c r="I34" s="1536"/>
      <c r="J34" s="1531" t="e">
        <f>LOOKUP(I34,104:104,105:105)-LOOKUP(C34,104:104,105:105)+100</f>
        <v>#N/A</v>
      </c>
      <c r="K34" s="1804"/>
      <c r="L34" s="2696"/>
      <c r="P34" s="3351"/>
      <c r="Q34" s="478" t="str">
        <f t="shared" si="11"/>
        <v>项目建筑规模</v>
      </c>
      <c r="R34" s="1597" t="s">
        <v>25</v>
      </c>
      <c r="S34" s="1598" t="e">
        <f t="shared" si="12"/>
        <v>#N/A</v>
      </c>
      <c r="T34" s="1597" t="s">
        <v>25</v>
      </c>
      <c r="U34" s="1598" t="e">
        <f t="shared" si="13"/>
        <v>#N/A</v>
      </c>
      <c r="V34" s="1597" t="s">
        <v>25</v>
      </c>
      <c r="W34" s="1598" t="e">
        <f t="shared" si="14"/>
        <v>#N/A</v>
      </c>
      <c r="X34" s="1599"/>
      <c r="Y34" s="3351"/>
      <c r="Z34" s="1600" t="str">
        <f t="shared" si="15"/>
        <v>项目建筑规模</v>
      </c>
      <c r="AA34" s="1560" t="e">
        <f t="shared" si="3"/>
        <v>#N/A</v>
      </c>
      <c r="AB34" s="1560" t="e">
        <f t="shared" si="4"/>
        <v>#N/A</v>
      </c>
      <c r="AC34" s="1560" t="e">
        <f t="shared" si="5"/>
        <v>#N/A</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51"/>
      <c r="Q35" s="1454" t="str">
        <f t="shared" si="11"/>
        <v>建筑结构</v>
      </c>
      <c r="R35" s="1558" t="s">
        <v>25</v>
      </c>
      <c r="S35" s="1559">
        <f t="shared" si="12"/>
        <v>100</v>
      </c>
      <c r="T35" s="1558" t="s">
        <v>25</v>
      </c>
      <c r="U35" s="1559">
        <f t="shared" si="13"/>
        <v>100</v>
      </c>
      <c r="V35" s="1558" t="s">
        <v>25</v>
      </c>
      <c r="W35" s="1559">
        <f t="shared" si="14"/>
        <v>100</v>
      </c>
      <c r="X35" s="1502"/>
      <c r="Y35" s="3351"/>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51"/>
      <c r="Q36" s="1454" t="str">
        <f t="shared" si="11"/>
        <v>公共部分装修</v>
      </c>
      <c r="R36" s="1558" t="s">
        <v>25</v>
      </c>
      <c r="S36" s="1559">
        <f t="shared" si="12"/>
        <v>100</v>
      </c>
      <c r="T36" s="1558" t="s">
        <v>25</v>
      </c>
      <c r="U36" s="1559">
        <f t="shared" si="13"/>
        <v>100</v>
      </c>
      <c r="V36" s="1558" t="s">
        <v>25</v>
      </c>
      <c r="W36" s="1559">
        <f t="shared" si="14"/>
        <v>100</v>
      </c>
      <c r="X36" s="1502"/>
      <c r="Y36" s="3351"/>
      <c r="Z36" s="1560" t="str">
        <f t="shared" si="15"/>
        <v>公共部分装修</v>
      </c>
      <c r="AA36" s="1560">
        <f t="shared" si="3"/>
        <v>1</v>
      </c>
      <c r="AB36" s="1560">
        <f t="shared" si="4"/>
        <v>1</v>
      </c>
      <c r="AC36" s="1560">
        <f t="shared" si="5"/>
        <v>1</v>
      </c>
    </row>
    <row r="37" spans="1:29" ht="15">
      <c r="A37" s="1602"/>
      <c r="B37" s="1529" t="s">
        <v>2125</v>
      </c>
      <c r="C37" s="1605"/>
      <c r="D37" s="1544">
        <v>100</v>
      </c>
      <c r="E37" s="1605"/>
      <c r="F37" s="1586" t="e">
        <f>LOOKUP(E37,111:111,112:112)-LOOKUP(C37,111:111,112:112)+100</f>
        <v>#N/A</v>
      </c>
      <c r="G37" s="1605"/>
      <c r="H37" s="1586" t="e">
        <f>LOOKUP(G37,111:111,112:112)-LOOKUP(C37,111:111,112:112)+100</f>
        <v>#N/A</v>
      </c>
      <c r="I37" s="1605"/>
      <c r="J37" s="1544" t="e">
        <f>LOOKUP(I37,111:111,112:112)-LOOKUP(C37,111:111,112:112)+100</f>
        <v>#N/A</v>
      </c>
      <c r="K37" s="1807"/>
      <c r="L37" s="2697"/>
      <c r="P37" s="3351"/>
      <c r="Q37" s="1454" t="str">
        <f t="shared" si="11"/>
        <v>成新度</v>
      </c>
      <c r="R37" s="1558" t="s">
        <v>25</v>
      </c>
      <c r="S37" s="1559" t="e">
        <f t="shared" si="12"/>
        <v>#N/A</v>
      </c>
      <c r="T37" s="1558" t="s">
        <v>25</v>
      </c>
      <c r="U37" s="1559" t="e">
        <f t="shared" si="13"/>
        <v>#N/A</v>
      </c>
      <c r="V37" s="1558" t="s">
        <v>25</v>
      </c>
      <c r="W37" s="1559" t="e">
        <f t="shared" si="14"/>
        <v>#N/A</v>
      </c>
      <c r="X37" s="1502"/>
      <c r="Y37" s="3351"/>
      <c r="Z37" s="1560" t="str">
        <f t="shared" si="15"/>
        <v>成新度</v>
      </c>
      <c r="AA37" s="1560" t="e">
        <f t="shared" si="3"/>
        <v>#N/A</v>
      </c>
      <c r="AB37" s="1560" t="e">
        <f t="shared" si="4"/>
        <v>#N/A</v>
      </c>
      <c r="AC37" s="1560" t="e">
        <f t="shared" si="5"/>
        <v>#N/A</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51"/>
      <c r="Q38" s="1472" t="str">
        <f t="shared" si="11"/>
        <v>写字楼等级</v>
      </c>
      <c r="R38" s="1516" t="s">
        <v>25</v>
      </c>
      <c r="S38" s="1517">
        <f t="shared" si="12"/>
        <v>100</v>
      </c>
      <c r="T38" s="1516" t="s">
        <v>25</v>
      </c>
      <c r="U38" s="1517">
        <f t="shared" si="13"/>
        <v>100</v>
      </c>
      <c r="V38" s="1516" t="s">
        <v>25</v>
      </c>
      <c r="W38" s="1517">
        <f t="shared" si="14"/>
        <v>100</v>
      </c>
      <c r="X38" s="1518"/>
      <c r="Y38" s="3351"/>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51" t="s">
        <v>2037</v>
      </c>
      <c r="Q39" s="1454" t="str">
        <f t="shared" si="11"/>
        <v>物业管理</v>
      </c>
      <c r="R39" s="1558" t="s">
        <v>25</v>
      </c>
      <c r="S39" s="1559">
        <f t="shared" si="12"/>
        <v>100</v>
      </c>
      <c r="T39" s="1558" t="s">
        <v>25</v>
      </c>
      <c r="U39" s="1559">
        <f t="shared" si="13"/>
        <v>100</v>
      </c>
      <c r="V39" s="1558" t="s">
        <v>25</v>
      </c>
      <c r="W39" s="1559">
        <f t="shared" si="14"/>
        <v>100</v>
      </c>
      <c r="X39" s="1502"/>
      <c r="Y39" s="3351"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51"/>
      <c r="Q40" s="1454" t="str">
        <f t="shared" si="11"/>
        <v>市政基础设施</v>
      </c>
      <c r="R40" s="1558" t="s">
        <v>25</v>
      </c>
      <c r="S40" s="1559">
        <f t="shared" si="12"/>
        <v>100</v>
      </c>
      <c r="T40" s="1558" t="s">
        <v>25</v>
      </c>
      <c r="U40" s="1559">
        <f t="shared" si="13"/>
        <v>100</v>
      </c>
      <c r="V40" s="1558" t="s">
        <v>25</v>
      </c>
      <c r="W40" s="1559">
        <f t="shared" si="14"/>
        <v>100</v>
      </c>
      <c r="X40" s="1502"/>
      <c r="Y40" s="3351"/>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51"/>
      <c r="Q41" s="1454" t="str">
        <f t="shared" si="11"/>
        <v>层高</v>
      </c>
      <c r="R41" s="1558" t="s">
        <v>25</v>
      </c>
      <c r="S41" s="1559">
        <f t="shared" si="12"/>
        <v>100</v>
      </c>
      <c r="T41" s="1558" t="s">
        <v>25</v>
      </c>
      <c r="U41" s="1559">
        <f t="shared" si="13"/>
        <v>100</v>
      </c>
      <c r="V41" s="1558" t="s">
        <v>25</v>
      </c>
      <c r="W41" s="1559">
        <f t="shared" si="14"/>
        <v>100</v>
      </c>
      <c r="X41" s="1502"/>
      <c r="Y41" s="3351"/>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51"/>
      <c r="Q42" s="478" t="str">
        <f t="shared" si="11"/>
        <v>单套建筑面积</v>
      </c>
      <c r="R42" s="1597" t="s">
        <v>25</v>
      </c>
      <c r="S42" s="1598">
        <f t="shared" si="12"/>
        <v>100</v>
      </c>
      <c r="T42" s="1597" t="s">
        <v>25</v>
      </c>
      <c r="U42" s="1598">
        <f t="shared" si="13"/>
        <v>100</v>
      </c>
      <c r="V42" s="1597" t="s">
        <v>25</v>
      </c>
      <c r="W42" s="1598">
        <f t="shared" si="14"/>
        <v>100</v>
      </c>
      <c r="X42" s="1599"/>
      <c r="Y42" s="3351"/>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51"/>
      <c r="Q43" s="1454" t="str">
        <f t="shared" si="11"/>
        <v>内部装修</v>
      </c>
      <c r="R43" s="1558" t="s">
        <v>25</v>
      </c>
      <c r="S43" s="1559">
        <f t="shared" si="12"/>
        <v>100</v>
      </c>
      <c r="T43" s="1558" t="s">
        <v>25</v>
      </c>
      <c r="U43" s="1559">
        <f t="shared" si="13"/>
        <v>100</v>
      </c>
      <c r="V43" s="1558" t="s">
        <v>25</v>
      </c>
      <c r="W43" s="1559">
        <f t="shared" si="14"/>
        <v>100</v>
      </c>
      <c r="X43" s="1502"/>
      <c r="Y43" s="3351"/>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51"/>
      <c r="Q44" s="1454" t="str">
        <f t="shared" si="11"/>
        <v>内部装修维护情况</v>
      </c>
      <c r="R44" s="1558" t="s">
        <v>25</v>
      </c>
      <c r="S44" s="1559">
        <f t="shared" si="12"/>
        <v>100</v>
      </c>
      <c r="T44" s="1558" t="s">
        <v>25</v>
      </c>
      <c r="U44" s="1559">
        <f t="shared" si="13"/>
        <v>100</v>
      </c>
      <c r="V44" s="1558" t="s">
        <v>25</v>
      </c>
      <c r="W44" s="1559">
        <f t="shared" si="14"/>
        <v>100</v>
      </c>
      <c r="X44" s="1502"/>
      <c r="Y44" s="3351"/>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51"/>
      <c r="Q45" s="1472">
        <f t="shared" si="11"/>
        <v>111</v>
      </c>
      <c r="R45" s="1516" t="s">
        <v>25</v>
      </c>
      <c r="S45" s="1517">
        <f t="shared" si="12"/>
        <v>100</v>
      </c>
      <c r="T45" s="1516" t="s">
        <v>25</v>
      </c>
      <c r="U45" s="1517">
        <f t="shared" si="13"/>
        <v>100</v>
      </c>
      <c r="V45" s="1516" t="s">
        <v>25</v>
      </c>
      <c r="W45" s="1517">
        <f t="shared" si="14"/>
        <v>100</v>
      </c>
      <c r="X45" s="1518"/>
      <c r="Y45" s="3351"/>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51"/>
      <c r="Q46" s="1454">
        <f t="shared" si="11"/>
        <v>111</v>
      </c>
      <c r="R46" s="1558" t="s">
        <v>25</v>
      </c>
      <c r="S46" s="1559">
        <f t="shared" si="12"/>
        <v>100</v>
      </c>
      <c r="T46" s="1558" t="s">
        <v>25</v>
      </c>
      <c r="U46" s="1559">
        <f t="shared" si="13"/>
        <v>100</v>
      </c>
      <c r="V46" s="1558" t="s">
        <v>25</v>
      </c>
      <c r="W46" s="1559">
        <f t="shared" si="14"/>
        <v>100</v>
      </c>
      <c r="X46" s="1502"/>
      <c r="Y46" s="3351"/>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52"/>
      <c r="Q47" s="1454">
        <f t="shared" si="11"/>
        <v>111</v>
      </c>
      <c r="R47" s="1558" t="s">
        <v>25</v>
      </c>
      <c r="S47" s="1559">
        <f t="shared" si="12"/>
        <v>100</v>
      </c>
      <c r="T47" s="1558" t="s">
        <v>25</v>
      </c>
      <c r="U47" s="1559">
        <f t="shared" si="13"/>
        <v>100</v>
      </c>
      <c r="V47" s="1558" t="s">
        <v>25</v>
      </c>
      <c r="W47" s="1559">
        <f t="shared" si="14"/>
        <v>100</v>
      </c>
      <c r="X47" s="1502"/>
      <c r="Y47" s="3352"/>
      <c r="Z47" s="1560">
        <f t="shared" si="15"/>
        <v>111</v>
      </c>
      <c r="AA47" s="1560">
        <f t="shared" si="3"/>
        <v>1</v>
      </c>
      <c r="AB47" s="1560">
        <f t="shared" si="4"/>
        <v>1</v>
      </c>
      <c r="AC47" s="1560">
        <f t="shared" si="5"/>
        <v>1</v>
      </c>
    </row>
    <row r="48" spans="1:29" ht="14.4">
      <c r="A48" s="1610" t="s">
        <v>2049</v>
      </c>
      <c r="B48" s="1611"/>
      <c r="C48" s="1612" t="s">
        <v>1</v>
      </c>
      <c r="D48" s="1613"/>
      <c r="E48" s="1614"/>
      <c r="F48" s="1615"/>
      <c r="G48" s="1616"/>
      <c r="H48" s="1617"/>
      <c r="I48" s="1614"/>
      <c r="J48" s="1617"/>
      <c r="K48" s="1823"/>
      <c r="L48" s="2698"/>
      <c r="P48" s="3357" t="str">
        <f>A48</f>
        <v>成交单价（元/平方米）</v>
      </c>
      <c r="Q48" s="3357"/>
      <c r="R48" s="3337">
        <f>E48</f>
        <v>0</v>
      </c>
      <c r="S48" s="3337"/>
      <c r="T48" s="3337">
        <f>G48</f>
        <v>0</v>
      </c>
      <c r="U48" s="3337"/>
      <c r="V48" s="3337">
        <f>I48</f>
        <v>0</v>
      </c>
      <c r="W48" s="3337"/>
      <c r="X48" s="1561"/>
      <c r="Y48" s="1620"/>
      <c r="Z48" s="1561"/>
      <c r="AA48" s="1561"/>
      <c r="AB48" s="1561"/>
      <c r="AC48" s="1561"/>
    </row>
    <row r="49" spans="1:29" ht="15" thickBot="1">
      <c r="A49" s="1621" t="s">
        <v>2132</v>
      </c>
      <c r="B49" s="1622"/>
      <c r="C49" s="1623" t="e">
        <f>R50</f>
        <v>#DIV/0!</v>
      </c>
      <c r="D49" s="1624" t="s">
        <v>2503</v>
      </c>
      <c r="E49" s="1625" t="e">
        <f>R49</f>
        <v>#DIV/0!</v>
      </c>
      <c r="F49" s="1626"/>
      <c r="G49" s="1623" t="e">
        <f>T49</f>
        <v>#DIV/0!</v>
      </c>
      <c r="H49" s="1626"/>
      <c r="I49" s="1625" t="e">
        <f>V49</f>
        <v>#DIV/0!</v>
      </c>
      <c r="J49" s="1626"/>
      <c r="K49" s="2251">
        <f>F49+H49+J49</f>
        <v>0</v>
      </c>
      <c r="L49" s="2698"/>
      <c r="P49" s="3357" t="str">
        <f>A49</f>
        <v>比较价值（元/平方米）</v>
      </c>
      <c r="Q49" s="3357"/>
      <c r="R49" s="3337" t="e">
        <f>IF(E1="售价",ROUND(PRODUCT(R48,AA7:AA47),0),ROUND(PRODUCT(R48,AA7:AA47),1))</f>
        <v>#DIV/0!</v>
      </c>
      <c r="S49" s="3337"/>
      <c r="T49" s="3337" t="e">
        <f>IF(E1="售价",ROUND(PRODUCT(T48,AB7:AB47),0),ROUND(PRODUCT(T48,AB7:AB47),1))</f>
        <v>#DIV/0!</v>
      </c>
      <c r="U49" s="3337"/>
      <c r="V49" s="3337" t="e">
        <f>IF(E1="售价",ROUND(PRODUCT(V48,AC7:AC47),0),ROUND(PRODUCT(V48,AC7:AC47),1))</f>
        <v>#DIV/0!</v>
      </c>
      <c r="W49" s="3337"/>
      <c r="X49" s="1561"/>
      <c r="Y49" s="1561"/>
      <c r="Z49" s="1561"/>
      <c r="AA49" s="1561"/>
      <c r="AB49" s="1561"/>
      <c r="AC49" s="1561"/>
    </row>
    <row r="50" spans="1:29" ht="15" thickBot="1">
      <c r="A50" s="1627" t="s">
        <v>2155</v>
      </c>
      <c r="B50" s="1628"/>
      <c r="C50" s="1508" t="e">
        <f>R50</f>
        <v>#DIV/0!</v>
      </c>
      <c r="D50" s="1508"/>
      <c r="E50" s="1508"/>
      <c r="F50" s="1508"/>
      <c r="G50" s="1508"/>
      <c r="H50" s="1508"/>
      <c r="I50" s="1508"/>
      <c r="J50" s="1508"/>
      <c r="K50" s="1828"/>
      <c r="L50" s="2698"/>
      <c r="P50" s="3362" t="str">
        <f>A50</f>
        <v>估价对象XX用房的比较价值（楼面单价，元/平方米）</v>
      </c>
      <c r="Q50" s="3363"/>
      <c r="R50" s="3364" t="e">
        <f>IF(E1="售价",ROUND(IF(D49="简单平均",AVERAGE(R49:V49),R49*F49+T49*H49+V49*J49),0),ROUND(IF(D49="简单平均",AVERAGE(R49:V49),R49*F49+T49*H49+V49*J49),1))</f>
        <v>#DIV/0!</v>
      </c>
      <c r="S50" s="3364"/>
      <c r="T50" s="3364"/>
      <c r="U50" s="3364"/>
      <c r="V50" s="3364"/>
      <c r="W50" s="3364"/>
      <c r="X50" s="1561"/>
      <c r="Y50" s="1561"/>
      <c r="Z50" s="1561"/>
      <c r="AA50" s="1561"/>
      <c r="AB50" s="1561"/>
      <c r="AC50" s="1561"/>
    </row>
    <row r="51" spans="1:29">
      <c r="G51" s="2701"/>
    </row>
    <row r="53" spans="1:29" ht="13.5" customHeight="1">
      <c r="C53" s="376" t="s">
        <v>2134</v>
      </c>
      <c r="D53" s="1634"/>
      <c r="E53" s="1635" t="e">
        <f>IF(E48&lt;E49,E49/E48-1,E48/E49-1)</f>
        <v>#DIV/0!</v>
      </c>
      <c r="F53" s="1636" t="e">
        <f>IF(OR(E53&gt;=0.3,E53&lt;=-0.3),"超过30%","")</f>
        <v>#DIV/0!</v>
      </c>
      <c r="G53" s="1635" t="e">
        <f>IF(G48&lt;G49,G49/G48-1,G48/G49-1)</f>
        <v>#DIV/0!</v>
      </c>
      <c r="H53" s="1636" t="e">
        <f>IF(OR(G53&gt;=0.3,G53&lt;=-0.3),"超过30%","")</f>
        <v>#DIV/0!</v>
      </c>
      <c r="I53" s="1635" t="e">
        <f>IF(I48&lt;I49,I49/I48-1,I48/I49-1)</f>
        <v>#DIV/0!</v>
      </c>
      <c r="J53" s="1636" t="e">
        <f>IF(OR(I53&gt;=0.3,I53&lt;=-0.3),"超过30%","")</f>
        <v>#DIV/0!</v>
      </c>
    </row>
    <row r="54" spans="1:29" ht="13.5" customHeight="1">
      <c r="C54" s="376" t="s">
        <v>2135</v>
      </c>
      <c r="D54" s="1637"/>
      <c r="E54" s="1635" t="e">
        <f>IF(E49&lt;G49,G49/E49-1,E49/G49-1)</f>
        <v>#DIV/0!</v>
      </c>
      <c r="F54" s="1636" t="e">
        <f>IF(OR(E54&gt;=0.2,E54&lt;=-0.2),"超过20%","")</f>
        <v>#DIV/0!</v>
      </c>
      <c r="G54" s="1635" t="e">
        <f>IF(G49&lt;I49,I49/G49-1,G49/I49-1)</f>
        <v>#DIV/0!</v>
      </c>
      <c r="H54" s="1636" t="e">
        <f>IF(OR(G54&gt;=0.2,G54&lt;=-0.2),"超过20%","")</f>
        <v>#DIV/0!</v>
      </c>
      <c r="I54" s="1635" t="e">
        <f>IF(I49&lt;E49,E49/I49-1,I49/E49-1)</f>
        <v>#DIV/0!</v>
      </c>
      <c r="J54" s="1636" t="e">
        <f>IF(OR(I54&gt;=0.2,I54&lt;=-0.2),"超过20%","")</f>
        <v>#DIV/0!</v>
      </c>
    </row>
    <row r="55" spans="1:29" s="1640" customFormat="1" ht="13.5" customHeight="1">
      <c r="C55" s="376" t="s">
        <v>2136</v>
      </c>
      <c r="D55" s="1637"/>
      <c r="E55" s="1635" t="e">
        <f>IF(E48&lt;G48,G48/E48-1,E48/G48-1)</f>
        <v>#DIV/0!</v>
      </c>
      <c r="F55" s="1636" t="e">
        <f>IF(OR(E55&gt;=0.3,E55&lt;=-0.3),"超过30%","")</f>
        <v>#DIV/0!</v>
      </c>
      <c r="G55" s="1635" t="e">
        <f>IF(G48&lt;I48,I48/G48-1,G48/I48-1)</f>
        <v>#DIV/0!</v>
      </c>
      <c r="H55" s="1636" t="e">
        <f>IF(OR(G55&gt;=0.3,G55&lt;=-0.3),"超过30%","")</f>
        <v>#DIV/0!</v>
      </c>
      <c r="I55" s="1635" t="e">
        <f>IF(I48&lt;E48,E48/I48-1,I48/E48-1)</f>
        <v>#DIV/0!</v>
      </c>
      <c r="J55" s="1636" t="e">
        <f>IF(OR(I55&gt;=0.3,I55&lt;=-0.3),"超过30%","")</f>
        <v>#DIV/0!</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2022-12</v>
      </c>
      <c r="D59" s="1652">
        <f>EDATE(C59,-1)</f>
        <v>44866</v>
      </c>
      <c r="E59" s="1652">
        <f t="shared" ref="E59:O59" si="16">EDATE(D59,-1)</f>
        <v>44835</v>
      </c>
      <c r="F59" s="1652">
        <f t="shared" si="16"/>
        <v>44805</v>
      </c>
      <c r="G59" s="1652">
        <f t="shared" si="16"/>
        <v>44774</v>
      </c>
      <c r="H59" s="1652">
        <f t="shared" si="16"/>
        <v>44743</v>
      </c>
      <c r="I59" s="1652">
        <f t="shared" si="16"/>
        <v>44713</v>
      </c>
      <c r="J59" s="1652">
        <f t="shared" si="16"/>
        <v>44682</v>
      </c>
      <c r="K59" s="1652">
        <f t="shared" si="16"/>
        <v>44652</v>
      </c>
      <c r="L59" s="1652">
        <f t="shared" si="16"/>
        <v>44621</v>
      </c>
      <c r="M59" s="1652">
        <f t="shared" si="16"/>
        <v>44593</v>
      </c>
      <c r="N59" s="1652">
        <f t="shared" si="16"/>
        <v>44562</v>
      </c>
      <c r="O59" s="1652">
        <f t="shared" si="16"/>
        <v>44531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f>C9</f>
        <v>0</v>
      </c>
      <c r="D64" s="1674"/>
      <c r="E64" s="1674"/>
      <c r="F64" s="1674"/>
      <c r="G64" s="1674"/>
      <c r="H64" s="1674"/>
      <c r="I64" s="1674"/>
      <c r="J64" s="1674"/>
      <c r="K64" s="408"/>
      <c r="L64" s="408"/>
      <c r="M64" s="1675"/>
      <c r="N64" s="2709"/>
      <c r="O64" s="2709"/>
      <c r="P64" s="1865"/>
      <c r="Q64" s="1648"/>
    </row>
    <row r="65" spans="1:17" ht="14.4" thickBot="1">
      <c r="A65" s="1535"/>
      <c r="B65" s="1678"/>
      <c r="C65" s="1679">
        <v>100</v>
      </c>
      <c r="D65" s="1679"/>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4.4" thickTop="1">
      <c r="A89" s="1538"/>
      <c r="B89" s="1682" t="str">
        <f>B27</f>
        <v>楼层</v>
      </c>
      <c r="C89" s="456"/>
      <c r="D89" s="456"/>
      <c r="E89" s="456"/>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1674"/>
      <c r="D101" s="1674"/>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 thickTop="1">
      <c r="A103" s="1535"/>
      <c r="B103" s="1682"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c r="D104" s="1722"/>
      <c r="E104" s="1722"/>
      <c r="F104" s="1722"/>
      <c r="G104" s="1722"/>
      <c r="H104" s="1722"/>
      <c r="I104" s="1722"/>
      <c r="J104" s="472"/>
      <c r="K104" s="472"/>
      <c r="L104" s="472"/>
      <c r="M104" s="1723"/>
      <c r="N104" s="1866"/>
      <c r="O104" s="1866"/>
      <c r="P104" s="1866"/>
      <c r="Q104" s="1697"/>
    </row>
    <row r="105" spans="1:17" s="1601" customFormat="1" ht="14.4" thickBot="1">
      <c r="A105" s="1693"/>
      <c r="B105" s="1685"/>
      <c r="C105" s="1698"/>
      <c r="D105" s="1679"/>
      <c r="E105" s="1679"/>
      <c r="F105" s="1679"/>
      <c r="G105" s="1679"/>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元</v>
      </c>
      <c r="D2" s="1403"/>
      <c r="E2" s="1418" t="e">
        <f ca="1">SUMIF(INDIRECT("'"&amp;G2&amp;"'"&amp;"!A:A"),"承租人权益价值",INDIRECT("'"&amp;G2&amp;"'"&amp;"!c:c"))</f>
        <v>#REF!</v>
      </c>
      <c r="F2" s="1404" t="str">
        <f>C2</f>
        <v>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455.84</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44908</v>
      </c>
      <c r="D7" s="300">
        <v>100</v>
      </c>
      <c r="E7" s="301"/>
      <c r="F7" s="302">
        <f>SUMIF(52:52,YEAR(E7)&amp;"-"&amp;MONTH(E7),53:53)</f>
        <v>0</v>
      </c>
      <c r="G7" s="301"/>
      <c r="H7" s="300">
        <f>SUMIF(52:52,YEAR(G7)&amp;"-"&amp;MONTH(G7),53:53)</f>
        <v>0</v>
      </c>
      <c r="I7" s="301"/>
      <c r="J7" s="300">
        <f>SUMIF(52:52,YEAR(I7)&amp;"-"&amp;MONTH(I7),53:53)</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99"/>
      <c r="Q16" s="636"/>
      <c r="R16" s="604"/>
      <c r="S16" s="605"/>
      <c r="T16" s="604"/>
      <c r="U16" s="605"/>
      <c r="V16" s="604"/>
      <c r="W16" s="605"/>
      <c r="X16" s="1202"/>
      <c r="Y16" s="3399"/>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99"/>
      <c r="Q18" s="636"/>
      <c r="R18" s="604"/>
      <c r="S18" s="605"/>
      <c r="T18" s="604"/>
      <c r="U18" s="605"/>
      <c r="V18" s="604"/>
      <c r="W18" s="605"/>
      <c r="X18" s="1202"/>
      <c r="Y18" s="3399"/>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99"/>
      <c r="Q19" s="636" t="str">
        <f>B19</f>
        <v>公共配套设施</v>
      </c>
      <c r="R19" s="604" t="s">
        <v>25</v>
      </c>
      <c r="S19" s="605">
        <f>F19</f>
        <v>100</v>
      </c>
      <c r="T19" s="604" t="s">
        <v>25</v>
      </c>
      <c r="U19" s="605">
        <f>H19</f>
        <v>100</v>
      </c>
      <c r="V19" s="604" t="s">
        <v>25</v>
      </c>
      <c r="W19" s="605">
        <f>J19</f>
        <v>100</v>
      </c>
      <c r="X19" s="1202"/>
      <c r="Y19" s="3399"/>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99"/>
      <c r="Q20" s="636"/>
      <c r="R20" s="604"/>
      <c r="S20" s="605"/>
      <c r="T20" s="604"/>
      <c r="U20" s="605"/>
      <c r="V20" s="604"/>
      <c r="W20" s="605"/>
      <c r="X20" s="1202"/>
      <c r="Y20" s="3399"/>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99"/>
      <c r="Q21" s="636" t="str">
        <f>B21</f>
        <v>基础设施水平</v>
      </c>
      <c r="R21" s="604" t="s">
        <v>25</v>
      </c>
      <c r="S21" s="605">
        <f>F21</f>
        <v>100</v>
      </c>
      <c r="T21" s="604" t="s">
        <v>25</v>
      </c>
      <c r="U21" s="605">
        <f>H21</f>
        <v>100</v>
      </c>
      <c r="V21" s="604" t="s">
        <v>25</v>
      </c>
      <c r="W21" s="605">
        <f>J21</f>
        <v>100</v>
      </c>
      <c r="X21" s="1202"/>
      <c r="Y21" s="3399"/>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99"/>
      <c r="Q22" s="636"/>
      <c r="R22" s="604"/>
      <c r="S22" s="605"/>
      <c r="T22" s="604"/>
      <c r="U22" s="605"/>
      <c r="V22" s="604"/>
      <c r="W22" s="605"/>
      <c r="X22" s="1202"/>
      <c r="Y22" s="3399"/>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99"/>
      <c r="Q23" s="636" t="str">
        <f>B23</f>
        <v>环境质量</v>
      </c>
      <c r="R23" s="604" t="s">
        <v>25</v>
      </c>
      <c r="S23" s="605">
        <f>F23</f>
        <v>100</v>
      </c>
      <c r="T23" s="604" t="s">
        <v>25</v>
      </c>
      <c r="U23" s="605">
        <f>H23</f>
        <v>100</v>
      </c>
      <c r="V23" s="604" t="s">
        <v>25</v>
      </c>
      <c r="W23" s="605">
        <f>J23</f>
        <v>100</v>
      </c>
      <c r="X23" s="1202"/>
      <c r="Y23" s="3399"/>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99"/>
      <c r="Q24" s="636"/>
      <c r="R24" s="604"/>
      <c r="S24" s="605"/>
      <c r="T24" s="604"/>
      <c r="U24" s="605"/>
      <c r="V24" s="604"/>
      <c r="W24" s="605"/>
      <c r="X24" s="1202"/>
      <c r="Y24" s="3399"/>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99"/>
      <c r="Q25" s="636">
        <f>B25</f>
        <v>111</v>
      </c>
      <c r="R25" s="604" t="s">
        <v>25</v>
      </c>
      <c r="S25" s="605">
        <f>F25</f>
        <v>100</v>
      </c>
      <c r="T25" s="604" t="s">
        <v>25</v>
      </c>
      <c r="U25" s="605">
        <f>H25</f>
        <v>100</v>
      </c>
      <c r="V25" s="604" t="s">
        <v>25</v>
      </c>
      <c r="W25" s="605">
        <f>J25</f>
        <v>100</v>
      </c>
      <c r="X25" s="1202"/>
      <c r="Y25" s="3399"/>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99"/>
      <c r="Q26" s="636">
        <f t="shared" ref="Q26:Q40" si="11">B26</f>
        <v>111</v>
      </c>
      <c r="R26" s="604" t="s">
        <v>25</v>
      </c>
      <c r="S26" s="605">
        <f>F26</f>
        <v>100</v>
      </c>
      <c r="T26" s="604" t="s">
        <v>25</v>
      </c>
      <c r="U26" s="605">
        <f>H26</f>
        <v>100</v>
      </c>
      <c r="V26" s="604" t="s">
        <v>25</v>
      </c>
      <c r="W26" s="605">
        <f>J26</f>
        <v>100</v>
      </c>
      <c r="X26" s="1202"/>
      <c r="Y26" s="3399"/>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99"/>
      <c r="Q27" s="477">
        <f t="shared" si="11"/>
        <v>111</v>
      </c>
      <c r="R27" s="601" t="s">
        <v>25</v>
      </c>
      <c r="S27" s="602">
        <f>F27</f>
        <v>100</v>
      </c>
      <c r="T27" s="601" t="s">
        <v>25</v>
      </c>
      <c r="U27" s="602">
        <f>H27</f>
        <v>100</v>
      </c>
      <c r="V27" s="601" t="s">
        <v>25</v>
      </c>
      <c r="W27" s="602">
        <f>J27</f>
        <v>100</v>
      </c>
      <c r="X27" s="603"/>
      <c r="Y27" s="3399"/>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99"/>
      <c r="Q28" s="636">
        <f t="shared" si="11"/>
        <v>111</v>
      </c>
      <c r="R28" s="604" t="s">
        <v>25</v>
      </c>
      <c r="S28" s="605">
        <f t="shared" ref="S28:S40" si="12">F28</f>
        <v>100</v>
      </c>
      <c r="T28" s="604" t="s">
        <v>25</v>
      </c>
      <c r="U28" s="605">
        <f t="shared" ref="U28:U40" si="13">H28</f>
        <v>100</v>
      </c>
      <c r="V28" s="604" t="s">
        <v>25</v>
      </c>
      <c r="W28" s="605">
        <f t="shared" ref="W28:W40" si="14">J28</f>
        <v>100</v>
      </c>
      <c r="X28" s="1202"/>
      <c r="Y28" s="3399"/>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401" t="s">
        <v>2037</v>
      </c>
      <c r="Q29" s="636" t="str">
        <f t="shared" si="11"/>
        <v>建筑类型</v>
      </c>
      <c r="R29" s="604" t="s">
        <v>25</v>
      </c>
      <c r="S29" s="605">
        <f t="shared" si="12"/>
        <v>100</v>
      </c>
      <c r="T29" s="604" t="s">
        <v>25</v>
      </c>
      <c r="U29" s="605">
        <f t="shared" si="13"/>
        <v>100</v>
      </c>
      <c r="V29" s="604" t="s">
        <v>25</v>
      </c>
      <c r="W29" s="605">
        <f t="shared" si="14"/>
        <v>100</v>
      </c>
      <c r="X29" s="1202"/>
      <c r="Y29" s="340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402"/>
      <c r="Q30" s="606" t="str">
        <f t="shared" si="11"/>
        <v>项目建筑规模</v>
      </c>
      <c r="R30" s="607" t="s">
        <v>25</v>
      </c>
      <c r="S30" s="608" t="e">
        <f t="shared" si="12"/>
        <v>#N/A</v>
      </c>
      <c r="T30" s="607" t="s">
        <v>25</v>
      </c>
      <c r="U30" s="608" t="e">
        <f t="shared" si="13"/>
        <v>#N/A</v>
      </c>
      <c r="V30" s="607" t="s">
        <v>25</v>
      </c>
      <c r="W30" s="608" t="e">
        <f t="shared" si="14"/>
        <v>#N/A</v>
      </c>
      <c r="X30" s="609"/>
      <c r="Y30" s="340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402"/>
      <c r="Q31" s="636" t="str">
        <f t="shared" si="11"/>
        <v>建筑结构</v>
      </c>
      <c r="R31" s="604" t="s">
        <v>25</v>
      </c>
      <c r="S31" s="605">
        <f t="shared" si="12"/>
        <v>100</v>
      </c>
      <c r="T31" s="604" t="s">
        <v>25</v>
      </c>
      <c r="U31" s="605">
        <f t="shared" si="13"/>
        <v>100</v>
      </c>
      <c r="V31" s="604" t="s">
        <v>25</v>
      </c>
      <c r="W31" s="605">
        <f t="shared" si="14"/>
        <v>100</v>
      </c>
      <c r="X31" s="1202"/>
      <c r="Y31" s="340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402"/>
      <c r="Q32" s="636" t="str">
        <f t="shared" si="11"/>
        <v>公共部分装修</v>
      </c>
      <c r="R32" s="604" t="s">
        <v>25</v>
      </c>
      <c r="S32" s="605">
        <f t="shared" si="12"/>
        <v>100</v>
      </c>
      <c r="T32" s="604" t="s">
        <v>25</v>
      </c>
      <c r="U32" s="605">
        <f t="shared" si="13"/>
        <v>100</v>
      </c>
      <c r="V32" s="604" t="s">
        <v>25</v>
      </c>
      <c r="W32" s="605">
        <f t="shared" si="14"/>
        <v>100</v>
      </c>
      <c r="X32" s="1202"/>
      <c r="Y32" s="340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402"/>
      <c r="Q33" s="636" t="str">
        <f t="shared" si="11"/>
        <v>成新度</v>
      </c>
      <c r="R33" s="604" t="s">
        <v>25</v>
      </c>
      <c r="S33" s="605" t="e">
        <f t="shared" si="12"/>
        <v>#N/A</v>
      </c>
      <c r="T33" s="604" t="s">
        <v>25</v>
      </c>
      <c r="U33" s="605" t="e">
        <f t="shared" si="13"/>
        <v>#N/A</v>
      </c>
      <c r="V33" s="604" t="s">
        <v>25</v>
      </c>
      <c r="W33" s="605" t="e">
        <f t="shared" si="14"/>
        <v>#N/A</v>
      </c>
      <c r="X33" s="1202"/>
      <c r="Y33" s="340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402"/>
      <c r="Q34" s="477" t="str">
        <f t="shared" si="11"/>
        <v>物业管理</v>
      </c>
      <c r="R34" s="601" t="s">
        <v>25</v>
      </c>
      <c r="S34" s="602">
        <f t="shared" si="12"/>
        <v>100</v>
      </c>
      <c r="T34" s="601" t="s">
        <v>25</v>
      </c>
      <c r="U34" s="602">
        <f t="shared" si="13"/>
        <v>100</v>
      </c>
      <c r="V34" s="601" t="s">
        <v>25</v>
      </c>
      <c r="W34" s="602">
        <f t="shared" si="14"/>
        <v>100</v>
      </c>
      <c r="X34" s="603"/>
      <c r="Y34" s="340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402" t="s">
        <v>2037</v>
      </c>
      <c r="Q35" s="636" t="str">
        <f t="shared" si="11"/>
        <v>市政基础设施</v>
      </c>
      <c r="R35" s="604" t="s">
        <v>25</v>
      </c>
      <c r="S35" s="605">
        <f t="shared" si="12"/>
        <v>100</v>
      </c>
      <c r="T35" s="604" t="s">
        <v>25</v>
      </c>
      <c r="U35" s="605">
        <f t="shared" si="13"/>
        <v>100</v>
      </c>
      <c r="V35" s="604" t="s">
        <v>25</v>
      </c>
      <c r="W35" s="605">
        <f t="shared" si="14"/>
        <v>100</v>
      </c>
      <c r="X35" s="1202"/>
      <c r="Y35" s="340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402"/>
      <c r="Q36" s="636" t="str">
        <f t="shared" si="11"/>
        <v>内部装修</v>
      </c>
      <c r="R36" s="604" t="s">
        <v>25</v>
      </c>
      <c r="S36" s="605">
        <f t="shared" si="12"/>
        <v>100</v>
      </c>
      <c r="T36" s="604" t="s">
        <v>25</v>
      </c>
      <c r="U36" s="605">
        <f t="shared" si="13"/>
        <v>100</v>
      </c>
      <c r="V36" s="604" t="s">
        <v>25</v>
      </c>
      <c r="W36" s="605">
        <f t="shared" si="14"/>
        <v>100</v>
      </c>
      <c r="X36" s="1202"/>
      <c r="Y36" s="340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402"/>
      <c r="Q37" s="636" t="str">
        <f t="shared" si="11"/>
        <v>内部装修状况</v>
      </c>
      <c r="R37" s="604" t="s">
        <v>25</v>
      </c>
      <c r="S37" s="605">
        <f t="shared" si="12"/>
        <v>100</v>
      </c>
      <c r="T37" s="604" t="s">
        <v>25</v>
      </c>
      <c r="U37" s="605">
        <f t="shared" si="13"/>
        <v>100</v>
      </c>
      <c r="V37" s="604" t="s">
        <v>25</v>
      </c>
      <c r="W37" s="605">
        <f t="shared" si="14"/>
        <v>100</v>
      </c>
      <c r="X37" s="1202"/>
      <c r="Y37" s="340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402"/>
      <c r="Q38" s="606">
        <f t="shared" si="11"/>
        <v>111</v>
      </c>
      <c r="R38" s="607" t="s">
        <v>25</v>
      </c>
      <c r="S38" s="608">
        <f t="shared" si="12"/>
        <v>100</v>
      </c>
      <c r="T38" s="607" t="s">
        <v>25</v>
      </c>
      <c r="U38" s="608">
        <f t="shared" si="13"/>
        <v>100</v>
      </c>
      <c r="V38" s="607" t="s">
        <v>25</v>
      </c>
      <c r="W38" s="608">
        <f t="shared" si="14"/>
        <v>100</v>
      </c>
      <c r="X38" s="609"/>
      <c r="Y38" s="340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402"/>
      <c r="Q39" s="636">
        <f t="shared" si="11"/>
        <v>111</v>
      </c>
      <c r="R39" s="604" t="s">
        <v>25</v>
      </c>
      <c r="S39" s="605">
        <f t="shared" si="12"/>
        <v>100</v>
      </c>
      <c r="T39" s="604" t="s">
        <v>25</v>
      </c>
      <c r="U39" s="605">
        <f t="shared" si="13"/>
        <v>100</v>
      </c>
      <c r="V39" s="604" t="s">
        <v>25</v>
      </c>
      <c r="W39" s="605">
        <f t="shared" si="14"/>
        <v>100</v>
      </c>
      <c r="X39" s="1202"/>
      <c r="Y39" s="3402"/>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403"/>
      <c r="Q40" s="636">
        <f t="shared" si="11"/>
        <v>111</v>
      </c>
      <c r="R40" s="604" t="s">
        <v>25</v>
      </c>
      <c r="S40" s="605">
        <f t="shared" si="12"/>
        <v>100</v>
      </c>
      <c r="T40" s="604" t="s">
        <v>25</v>
      </c>
      <c r="U40" s="605">
        <f t="shared" si="13"/>
        <v>100</v>
      </c>
      <c r="V40" s="604" t="s">
        <v>25</v>
      </c>
      <c r="W40" s="605">
        <f t="shared" si="14"/>
        <v>100</v>
      </c>
      <c r="X40" s="1202"/>
      <c r="Y40" s="3403"/>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70" t="str">
        <f>A41</f>
        <v>成交单价（元/平方米）</v>
      </c>
      <c r="Q41" s="3370"/>
      <c r="R41" s="3394">
        <f>E41</f>
        <v>0</v>
      </c>
      <c r="S41" s="3394"/>
      <c r="T41" s="3394">
        <f>G41</f>
        <v>0</v>
      </c>
      <c r="U41" s="3394"/>
      <c r="V41" s="3394">
        <f>I41</f>
        <v>0</v>
      </c>
      <c r="W41" s="3394"/>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70" t="str">
        <f>A42</f>
        <v>比较价值（元/平方米）</v>
      </c>
      <c r="Q42" s="3370"/>
      <c r="R42" s="3394" t="e">
        <f>IF(E1="售价",ROUND(PRODUCT(R41,AA7:AA40),0),ROUND(PRODUCT(R41,AA7:AA40),1))</f>
        <v>#DIV/0!</v>
      </c>
      <c r="S42" s="3394"/>
      <c r="T42" s="3394" t="e">
        <f>IF(E1="售价",ROUND(PRODUCT(T41,AB7:AB40),0),ROUND(PRODUCT(T41,AB7:AB40),1))</f>
        <v>#DIV/0!</v>
      </c>
      <c r="U42" s="3394"/>
      <c r="V42" s="3394" t="e">
        <f>IF(E1="售价",ROUND(PRODUCT(V41,AC7:AC40),0),ROUND(PRODUCT(V41,AC7:AC40),1))</f>
        <v>#DIV/0!</v>
      </c>
      <c r="W42" s="3394"/>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404" t="str">
        <f>A43</f>
        <v>估价对象XX用房的比较价值（楼面单价，元/平方米）</v>
      </c>
      <c r="Q43" s="3405"/>
      <c r="R43" s="3406" t="e">
        <f>IF(E1="售价",ROUND(IF(D42="简单平均",AVERAGE(R42:V42),R42*F42+T42*H42+V42*J42),0),ROUND(IF(D42="简单平均",AVERAGE(R42:V42),R42*F42+T42*H42+V42*J42),1))</f>
        <v>#DIV/0!</v>
      </c>
      <c r="S43" s="3406"/>
      <c r="T43" s="3406"/>
      <c r="U43" s="3406"/>
      <c r="V43" s="3406"/>
      <c r="W43" s="3406"/>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元</v>
      </c>
      <c r="D2" s="1403"/>
      <c r="E2" s="84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455.84</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44908</v>
      </c>
      <c r="D7" s="300">
        <v>100</v>
      </c>
      <c r="E7" s="301"/>
      <c r="F7" s="302">
        <f>SUMIF(48:48,YEAR(E7)&amp;"-"&amp;MONTH(E7),49:49)</f>
        <v>0</v>
      </c>
      <c r="G7" s="301"/>
      <c r="H7" s="300">
        <f>SUMIF(48:48,YEAR(G7)&amp;"-"&amp;MONTH(G7),49:49)</f>
        <v>0</v>
      </c>
      <c r="I7" s="301"/>
      <c r="J7" s="300">
        <f>SUMIF(48:48,YEAR(I7)&amp;"-"&amp;MONTH(I7),49:49)</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99"/>
      <c r="Q24" s="636">
        <f t="shared" ref="Q24:Q36"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40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40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402"/>
      <c r="Q27" s="606" t="str">
        <f t="shared" si="11"/>
        <v>项目停车位配比</v>
      </c>
      <c r="R27" s="607" t="s">
        <v>25</v>
      </c>
      <c r="S27" s="608">
        <f t="shared" si="12"/>
        <v>100</v>
      </c>
      <c r="T27" s="607" t="s">
        <v>25</v>
      </c>
      <c r="U27" s="608">
        <f t="shared" si="13"/>
        <v>100</v>
      </c>
      <c r="V27" s="607" t="s">
        <v>25</v>
      </c>
      <c r="W27" s="608">
        <f t="shared" si="14"/>
        <v>100</v>
      </c>
      <c r="X27" s="609"/>
      <c r="Y27" s="340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402"/>
      <c r="Q28" s="636" t="str">
        <f t="shared" si="11"/>
        <v>公共部分装修</v>
      </c>
      <c r="R28" s="604" t="s">
        <v>25</v>
      </c>
      <c r="S28" s="605">
        <f t="shared" si="12"/>
        <v>100</v>
      </c>
      <c r="T28" s="604" t="s">
        <v>25</v>
      </c>
      <c r="U28" s="605">
        <f t="shared" si="13"/>
        <v>100</v>
      </c>
      <c r="V28" s="604" t="s">
        <v>25</v>
      </c>
      <c r="W28" s="605">
        <f t="shared" si="14"/>
        <v>100</v>
      </c>
      <c r="X28" s="1202"/>
      <c r="Y28" s="340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402"/>
      <c r="Q29" s="636" t="str">
        <f t="shared" si="11"/>
        <v>成新率</v>
      </c>
      <c r="R29" s="604" t="s">
        <v>25</v>
      </c>
      <c r="S29" s="605" t="e">
        <f t="shared" si="12"/>
        <v>#N/A</v>
      </c>
      <c r="T29" s="604" t="s">
        <v>25</v>
      </c>
      <c r="U29" s="605" t="e">
        <f t="shared" si="13"/>
        <v>#N/A</v>
      </c>
      <c r="V29" s="604" t="s">
        <v>25</v>
      </c>
      <c r="W29" s="605" t="e">
        <f t="shared" si="14"/>
        <v>#N/A</v>
      </c>
      <c r="X29" s="1202"/>
      <c r="Y29" s="340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402"/>
      <c r="Q30" s="636" t="str">
        <f t="shared" si="11"/>
        <v>物业等级</v>
      </c>
      <c r="R30" s="604" t="s">
        <v>25</v>
      </c>
      <c r="S30" s="605">
        <f t="shared" si="12"/>
        <v>100</v>
      </c>
      <c r="T30" s="604" t="s">
        <v>25</v>
      </c>
      <c r="U30" s="605">
        <f t="shared" si="13"/>
        <v>100</v>
      </c>
      <c r="V30" s="604" t="s">
        <v>25</v>
      </c>
      <c r="W30" s="605">
        <f t="shared" si="14"/>
        <v>100</v>
      </c>
      <c r="X30" s="1202"/>
      <c r="Y30" s="340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402"/>
      <c r="Q31" s="477" t="str">
        <f t="shared" si="11"/>
        <v>停车位面积</v>
      </c>
      <c r="R31" s="601" t="s">
        <v>25</v>
      </c>
      <c r="S31" s="602" t="e">
        <f t="shared" si="12"/>
        <v>#N/A</v>
      </c>
      <c r="T31" s="601" t="s">
        <v>25</v>
      </c>
      <c r="U31" s="602" t="e">
        <f t="shared" si="13"/>
        <v>#N/A</v>
      </c>
      <c r="V31" s="601" t="s">
        <v>25</v>
      </c>
      <c r="W31" s="602" t="e">
        <f t="shared" si="14"/>
        <v>#N/A</v>
      </c>
      <c r="X31" s="603"/>
      <c r="Y31" s="340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402" t="s">
        <v>2037</v>
      </c>
      <c r="Q32" s="636" t="str">
        <f t="shared" si="11"/>
        <v>车位类型</v>
      </c>
      <c r="R32" s="604" t="s">
        <v>25</v>
      </c>
      <c r="S32" s="605">
        <f t="shared" si="12"/>
        <v>100</v>
      </c>
      <c r="T32" s="604" t="s">
        <v>25</v>
      </c>
      <c r="U32" s="605">
        <f t="shared" si="13"/>
        <v>100</v>
      </c>
      <c r="V32" s="604" t="s">
        <v>25</v>
      </c>
      <c r="W32" s="605">
        <f t="shared" si="14"/>
        <v>100</v>
      </c>
      <c r="X32" s="1202"/>
      <c r="Y32" s="340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402"/>
      <c r="Q33" s="636" t="str">
        <f t="shared" si="11"/>
        <v>是否直接入户</v>
      </c>
      <c r="R33" s="604" t="s">
        <v>25</v>
      </c>
      <c r="S33" s="605">
        <f t="shared" si="12"/>
        <v>100</v>
      </c>
      <c r="T33" s="604" t="s">
        <v>25</v>
      </c>
      <c r="U33" s="605">
        <f t="shared" si="13"/>
        <v>100</v>
      </c>
      <c r="V33" s="604" t="s">
        <v>25</v>
      </c>
      <c r="W33" s="605">
        <f t="shared" si="14"/>
        <v>100</v>
      </c>
      <c r="X33" s="1202"/>
      <c r="Y33" s="340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402"/>
      <c r="Q35" s="606">
        <f t="shared" si="11"/>
        <v>111</v>
      </c>
      <c r="R35" s="607" t="s">
        <v>25</v>
      </c>
      <c r="S35" s="608">
        <f t="shared" si="12"/>
        <v>100</v>
      </c>
      <c r="T35" s="607" t="s">
        <v>25</v>
      </c>
      <c r="U35" s="608">
        <f t="shared" si="13"/>
        <v>100</v>
      </c>
      <c r="V35" s="607" t="s">
        <v>25</v>
      </c>
      <c r="W35" s="608">
        <f t="shared" si="14"/>
        <v>100</v>
      </c>
      <c r="X35" s="609"/>
      <c r="Y35" s="3402"/>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402"/>
      <c r="Q36" s="636">
        <f t="shared" si="11"/>
        <v>111</v>
      </c>
      <c r="R36" s="604" t="s">
        <v>25</v>
      </c>
      <c r="S36" s="605">
        <f t="shared" si="12"/>
        <v>100</v>
      </c>
      <c r="T36" s="604" t="s">
        <v>25</v>
      </c>
      <c r="U36" s="605">
        <f t="shared" si="13"/>
        <v>100</v>
      </c>
      <c r="V36" s="604" t="s">
        <v>25</v>
      </c>
      <c r="W36" s="605">
        <f t="shared" si="14"/>
        <v>100</v>
      </c>
      <c r="X36" s="1202"/>
      <c r="Y36" s="3402"/>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70" t="str">
        <f>A37</f>
        <v>成交单价</v>
      </c>
      <c r="Q37" s="3370"/>
      <c r="R37" s="3394">
        <f>E37</f>
        <v>0</v>
      </c>
      <c r="S37" s="3394"/>
      <c r="T37" s="3394">
        <f>G37</f>
        <v>0</v>
      </c>
      <c r="U37" s="3394"/>
      <c r="V37" s="3394">
        <f>I37</f>
        <v>0</v>
      </c>
      <c r="W37" s="3394"/>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70" t="str">
        <f>A38</f>
        <v>比较价值</v>
      </c>
      <c r="Q38" s="3370"/>
      <c r="R38" s="3394" t="e">
        <f>IF(E1="售价",ROUND(PRODUCT(R37,AA7:AA36),0),ROUND(PRODUCT(R37,AA7:AA36),1))</f>
        <v>#DIV/0!</v>
      </c>
      <c r="S38" s="3394"/>
      <c r="T38" s="3394" t="e">
        <f>IF(E1="售价",ROUND(PRODUCT(T37,AB7:AB36),0),ROUND(PRODUCT(T37,AB7:AB36),1))</f>
        <v>#DIV/0!</v>
      </c>
      <c r="U38" s="3394"/>
      <c r="V38" s="3394" t="e">
        <f>IF(E1="售价",ROUND(PRODUCT(V37,AC7:AC36),0),ROUND(PRODUCT(V37,AC7:AC36),1))</f>
        <v>#DIV/0!</v>
      </c>
      <c r="W38" s="3394"/>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404" t="str">
        <f>A39</f>
        <v>估价对象XX用房的比较价值（楼面单价，元/平方米）</v>
      </c>
      <c r="Q39" s="3405"/>
      <c r="R39" s="3406" t="e">
        <f>IF(E1="售价",ROUND(IF(D38="简单平均",AVERAGE(R38:W38),R38*F38+T38*H38+V38*J38),0),ROUND(IF(D38="简单平均",AVERAGE(R38:V38),R38*F38+T38*H38+V38*J38),1))</f>
        <v>#DIV/0!</v>
      </c>
      <c r="S39" s="3406"/>
      <c r="T39" s="3406"/>
      <c r="U39" s="3406"/>
      <c r="V39" s="3406"/>
      <c r="W39" s="3406"/>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元</v>
      </c>
      <c r="D2" s="1403"/>
      <c r="E2" s="110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455.84</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44908</v>
      </c>
      <c r="D7" s="300">
        <v>100</v>
      </c>
      <c r="E7" s="1414"/>
      <c r="F7" s="300">
        <f>SUMIF(46:46,YEAR(E7)&amp;"-"&amp;MONTH(E7),47:47)</f>
        <v>0</v>
      </c>
      <c r="G7" s="301"/>
      <c r="H7" s="300">
        <f>SUMIF(46:46,YEAR(G7)&amp;"-"&amp;MONTH(G7),47:47)</f>
        <v>0</v>
      </c>
      <c r="I7" s="301"/>
      <c r="J7" s="300">
        <f>SUMIF(46:46,YEAR(I7)&amp;"-"&amp;MONTH(I7),47:47)</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99"/>
      <c r="Q24" s="636">
        <f t="shared" ref="Q24:Q34"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40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40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402"/>
      <c r="Q27" s="606" t="str">
        <f t="shared" si="11"/>
        <v>成新率</v>
      </c>
      <c r="R27" s="607" t="s">
        <v>25</v>
      </c>
      <c r="S27" s="608" t="e">
        <f t="shared" si="12"/>
        <v>#N/A</v>
      </c>
      <c r="T27" s="607" t="s">
        <v>25</v>
      </c>
      <c r="U27" s="608" t="e">
        <f t="shared" si="13"/>
        <v>#N/A</v>
      </c>
      <c r="V27" s="607" t="s">
        <v>25</v>
      </c>
      <c r="W27" s="608" t="e">
        <f t="shared" si="14"/>
        <v>#N/A</v>
      </c>
      <c r="X27" s="609"/>
      <c r="Y27" s="340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402"/>
      <c r="Q28" s="636" t="str">
        <f t="shared" si="11"/>
        <v>物业等级</v>
      </c>
      <c r="R28" s="604" t="s">
        <v>25</v>
      </c>
      <c r="S28" s="605">
        <f t="shared" si="12"/>
        <v>100</v>
      </c>
      <c r="T28" s="604" t="s">
        <v>25</v>
      </c>
      <c r="U28" s="605">
        <f t="shared" si="13"/>
        <v>100</v>
      </c>
      <c r="V28" s="604" t="s">
        <v>25</v>
      </c>
      <c r="W28" s="605">
        <f t="shared" si="14"/>
        <v>100</v>
      </c>
      <c r="X28" s="1202"/>
      <c r="Y28" s="340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402"/>
      <c r="Q29" s="636" t="str">
        <f t="shared" si="11"/>
        <v>有无电梯</v>
      </c>
      <c r="R29" s="604" t="s">
        <v>25</v>
      </c>
      <c r="S29" s="605">
        <f t="shared" si="12"/>
        <v>100</v>
      </c>
      <c r="T29" s="604" t="s">
        <v>25</v>
      </c>
      <c r="U29" s="605">
        <f t="shared" si="13"/>
        <v>100</v>
      </c>
      <c r="V29" s="604" t="s">
        <v>25</v>
      </c>
      <c r="W29" s="605">
        <f t="shared" si="14"/>
        <v>100</v>
      </c>
      <c r="X29" s="1202"/>
      <c r="Y29" s="340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402"/>
      <c r="Q30" s="636" t="str">
        <f t="shared" si="11"/>
        <v>建筑面积</v>
      </c>
      <c r="R30" s="604" t="s">
        <v>25</v>
      </c>
      <c r="S30" s="605" t="e">
        <f t="shared" si="12"/>
        <v>#N/A</v>
      </c>
      <c r="T30" s="604" t="s">
        <v>25</v>
      </c>
      <c r="U30" s="605" t="e">
        <f t="shared" si="13"/>
        <v>#N/A</v>
      </c>
      <c r="V30" s="604" t="s">
        <v>25</v>
      </c>
      <c r="W30" s="605" t="e">
        <f t="shared" si="14"/>
        <v>#N/A</v>
      </c>
      <c r="X30" s="1202"/>
      <c r="Y30" s="340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402"/>
      <c r="Q31" s="477" t="str">
        <f t="shared" si="11"/>
        <v>是否封闭</v>
      </c>
      <c r="R31" s="601" t="s">
        <v>25</v>
      </c>
      <c r="S31" s="602">
        <f t="shared" si="12"/>
        <v>100</v>
      </c>
      <c r="T31" s="601" t="s">
        <v>25</v>
      </c>
      <c r="U31" s="602">
        <f t="shared" si="13"/>
        <v>100</v>
      </c>
      <c r="V31" s="601" t="s">
        <v>25</v>
      </c>
      <c r="W31" s="602">
        <f t="shared" si="14"/>
        <v>100</v>
      </c>
      <c r="X31" s="603"/>
      <c r="Y31" s="340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402" t="s">
        <v>2037</v>
      </c>
      <c r="Q32" s="636">
        <f t="shared" si="11"/>
        <v>111</v>
      </c>
      <c r="R32" s="604" t="s">
        <v>25</v>
      </c>
      <c r="S32" s="605">
        <f t="shared" si="12"/>
        <v>100</v>
      </c>
      <c r="T32" s="604" t="s">
        <v>25</v>
      </c>
      <c r="U32" s="605">
        <f t="shared" si="13"/>
        <v>100</v>
      </c>
      <c r="V32" s="604" t="s">
        <v>25</v>
      </c>
      <c r="W32" s="605">
        <f t="shared" si="14"/>
        <v>100</v>
      </c>
      <c r="X32" s="1202"/>
      <c r="Y32" s="340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402"/>
      <c r="Q33" s="636">
        <f t="shared" si="11"/>
        <v>111</v>
      </c>
      <c r="R33" s="604" t="s">
        <v>25</v>
      </c>
      <c r="S33" s="605">
        <f t="shared" si="12"/>
        <v>100</v>
      </c>
      <c r="T33" s="604" t="s">
        <v>25</v>
      </c>
      <c r="U33" s="605">
        <f t="shared" si="13"/>
        <v>100</v>
      </c>
      <c r="V33" s="604" t="s">
        <v>25</v>
      </c>
      <c r="W33" s="605">
        <f t="shared" si="14"/>
        <v>100</v>
      </c>
      <c r="X33" s="1202"/>
      <c r="Y33" s="3402"/>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70" t="str">
        <f>A35</f>
        <v>成交单价（元/平方米）</v>
      </c>
      <c r="Q35" s="3370"/>
      <c r="R35" s="3394">
        <f>E35</f>
        <v>0</v>
      </c>
      <c r="S35" s="3394"/>
      <c r="T35" s="3394">
        <f>G35</f>
        <v>0</v>
      </c>
      <c r="U35" s="3394"/>
      <c r="V35" s="3394">
        <f>I35</f>
        <v>0</v>
      </c>
      <c r="W35" s="3394"/>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70" t="str">
        <f>A36</f>
        <v>比较价值（元/平方米）</v>
      </c>
      <c r="Q36" s="3370"/>
      <c r="R36" s="3394" t="e">
        <f>IF(E1="售价",ROUND(PRODUCT(R35,AA7:AA34),0),ROUND(PRODUCT(R35,AA7:AA34),1))</f>
        <v>#DIV/0!</v>
      </c>
      <c r="S36" s="3394"/>
      <c r="T36" s="3394" t="e">
        <f>IF(E1="售价",ROUND(PRODUCT(T35,AB7:AB34),0),ROUND(PRODUCT(T35,AB7:AB34),1))</f>
        <v>#DIV/0!</v>
      </c>
      <c r="U36" s="3394"/>
      <c r="V36" s="3394" t="e">
        <f>IF(E1="售价",ROUND(PRODUCT(V35,AC7:AC34),0),ROUND(PRODUCT(V35,AC7:AC34),1))</f>
        <v>#DIV/0!</v>
      </c>
      <c r="W36" s="3394"/>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404" t="str">
        <f>A37</f>
        <v>估价对象XX用房的比较价值（楼面单价，元/平方米）</v>
      </c>
      <c r="Q37" s="3405"/>
      <c r="R37" s="3406" t="e">
        <f>IF(E1="售价",ROUND(IF(D36="简单平均",AVERAGE(R36:W36),R36*F36+T36*H36+V36*J36),0),ROUND(IF(D36="简单平均",AVERAGE(R36:V36),R36*F36+T36*H36+V36*J36),1))</f>
        <v>#DIV/0!</v>
      </c>
      <c r="S37" s="3406"/>
      <c r="T37" s="3406"/>
      <c r="U37" s="3406"/>
      <c r="V37" s="3406"/>
      <c r="W37" s="3406"/>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9"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44908</v>
      </c>
      <c r="D7" s="1512">
        <v>100</v>
      </c>
      <c r="E7" s="1513"/>
      <c r="F7" s="1514">
        <f>SUMIF(69:69,YEAR(E7)&amp;"-"&amp;INT((MONTH(E7)+2)/3),70:70)</f>
        <v>0</v>
      </c>
      <c r="G7" s="1782"/>
      <c r="H7" s="1512">
        <f>SUMIF(69:69,YEAR(G7)&amp;"-"&amp;INT((MONTH(G7)+2)/3),70:70)</f>
        <v>0</v>
      </c>
      <c r="I7" s="1782"/>
      <c r="J7" s="1512">
        <f>SUMIF(69:69,YEAR(I7)&amp;"-"&amp;INT((MONTH(I7)+2)/3),70:70)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131</v>
      </c>
      <c r="G10" s="1589"/>
      <c r="H10" s="1531">
        <f>ROUND(100/'数据-取费表'!B14,0)</f>
        <v>131</v>
      </c>
      <c r="I10" s="1589"/>
      <c r="J10" s="1531">
        <f>ROUND(100/'数据-取费表'!B14,0)</f>
        <v>131</v>
      </c>
      <c r="K10" s="1785"/>
      <c r="L10" s="2695"/>
      <c r="O10" s="2732"/>
      <c r="P10" s="3357"/>
      <c r="Q10" s="1472" t="str">
        <f t="shared" si="6"/>
        <v>土地使用年限（年）</v>
      </c>
      <c r="R10" s="1516" t="s">
        <v>25</v>
      </c>
      <c r="S10" s="1517">
        <f t="shared" si="0"/>
        <v>131</v>
      </c>
      <c r="T10" s="1516" t="s">
        <v>25</v>
      </c>
      <c r="U10" s="1517">
        <f t="shared" si="1"/>
        <v>131</v>
      </c>
      <c r="V10" s="1516" t="s">
        <v>25</v>
      </c>
      <c r="W10" s="1517">
        <f t="shared" si="2"/>
        <v>131</v>
      </c>
      <c r="X10" s="1518"/>
      <c r="Y10" s="3221"/>
      <c r="Z10" s="1519" t="str">
        <f t="shared" si="7"/>
        <v>土地使用年限（年）</v>
      </c>
      <c r="AA10" s="1519">
        <f t="shared" si="3"/>
        <v>0.76335877862595425</v>
      </c>
      <c r="AB10" s="1519">
        <f t="shared" si="4"/>
        <v>0.76335877862595425</v>
      </c>
      <c r="AC10" s="1519">
        <f t="shared" si="5"/>
        <v>0.76335877862595425</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57"/>
      <c r="Q12" s="1472" t="str">
        <f t="shared" si="6"/>
        <v>配建</v>
      </c>
      <c r="R12" s="1516" t="s">
        <v>25</v>
      </c>
      <c r="S12" s="1517">
        <f t="shared" si="0"/>
        <v>100</v>
      </c>
      <c r="T12" s="1516" t="s">
        <v>25</v>
      </c>
      <c r="U12" s="1517">
        <f t="shared" si="1"/>
        <v>100</v>
      </c>
      <c r="V12" s="1516" t="s">
        <v>25</v>
      </c>
      <c r="W12" s="1517">
        <f t="shared" si="2"/>
        <v>100</v>
      </c>
      <c r="X12" s="1518"/>
      <c r="Y12" s="3221"/>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46" t="s">
        <v>2031</v>
      </c>
      <c r="Q15" s="1454" t="str">
        <f t="shared" si="6"/>
        <v>居住社区成熟度</v>
      </c>
      <c r="R15" s="1558" t="s">
        <v>25</v>
      </c>
      <c r="S15" s="1559">
        <f t="shared" si="0"/>
        <v>100</v>
      </c>
      <c r="T15" s="1558" t="s">
        <v>25</v>
      </c>
      <c r="U15" s="1559">
        <f t="shared" si="1"/>
        <v>100</v>
      </c>
      <c r="V15" s="1558" t="s">
        <v>25</v>
      </c>
      <c r="W15" s="1559">
        <f t="shared" si="2"/>
        <v>100</v>
      </c>
      <c r="X15" s="1502"/>
      <c r="Y15" s="3346"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47"/>
      <c r="Q16" s="1454"/>
      <c r="R16" s="1558"/>
      <c r="S16" s="1559"/>
      <c r="T16" s="1558"/>
      <c r="U16" s="1559"/>
      <c r="V16" s="1558"/>
      <c r="W16" s="1559"/>
      <c r="X16" s="1502"/>
      <c r="Y16" s="3347"/>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47"/>
      <c r="Q17" s="1454" t="str">
        <f>B17</f>
        <v>商业繁华度</v>
      </c>
      <c r="R17" s="1558" t="s">
        <v>25</v>
      </c>
      <c r="S17" s="1559">
        <f>F17</f>
        <v>100</v>
      </c>
      <c r="T17" s="1558" t="s">
        <v>25</v>
      </c>
      <c r="U17" s="1559">
        <f>H17</f>
        <v>100</v>
      </c>
      <c r="V17" s="1558" t="s">
        <v>25</v>
      </c>
      <c r="W17" s="1559">
        <f>J17</f>
        <v>100</v>
      </c>
      <c r="X17" s="1502"/>
      <c r="Y17" s="3347"/>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47"/>
      <c r="Q18" s="1454"/>
      <c r="R18" s="1558"/>
      <c r="S18" s="1559"/>
      <c r="T18" s="1558"/>
      <c r="U18" s="1559"/>
      <c r="V18" s="1558"/>
      <c r="W18" s="1559"/>
      <c r="X18" s="1502"/>
      <c r="Y18" s="3347"/>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47"/>
      <c r="Q19" s="1454" t="str">
        <f>B19</f>
        <v>办公集聚程度</v>
      </c>
      <c r="R19" s="1558" t="s">
        <v>25</v>
      </c>
      <c r="S19" s="1559">
        <f>F19</f>
        <v>100</v>
      </c>
      <c r="T19" s="1558" t="s">
        <v>25</v>
      </c>
      <c r="U19" s="1559">
        <f>H19</f>
        <v>100</v>
      </c>
      <c r="V19" s="1558" t="s">
        <v>25</v>
      </c>
      <c r="W19" s="1559">
        <f>J19</f>
        <v>100</v>
      </c>
      <c r="X19" s="1502"/>
      <c r="Y19" s="3347"/>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47"/>
      <c r="Q20" s="1454"/>
      <c r="R20" s="1558"/>
      <c r="S20" s="1559"/>
      <c r="T20" s="1558"/>
      <c r="U20" s="1559"/>
      <c r="V20" s="1558"/>
      <c r="W20" s="1559"/>
      <c r="X20" s="1502"/>
      <c r="Y20" s="3347"/>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47"/>
      <c r="Q21" s="1454" t="str">
        <f>B21</f>
        <v>交通便捷度</v>
      </c>
      <c r="R21" s="1558" t="s">
        <v>25</v>
      </c>
      <c r="S21" s="1559">
        <f>F21</f>
        <v>100</v>
      </c>
      <c r="T21" s="1558" t="s">
        <v>25</v>
      </c>
      <c r="U21" s="1559">
        <f>H21</f>
        <v>100</v>
      </c>
      <c r="V21" s="1558" t="s">
        <v>25</v>
      </c>
      <c r="W21" s="1559">
        <f>J21</f>
        <v>100</v>
      </c>
      <c r="X21" s="1502"/>
      <c r="Y21" s="3347"/>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47"/>
      <c r="Q22" s="1454"/>
      <c r="R22" s="1558"/>
      <c r="S22" s="1559"/>
      <c r="T22" s="1558"/>
      <c r="U22" s="1559"/>
      <c r="V22" s="1558"/>
      <c r="W22" s="1559"/>
      <c r="X22" s="1502"/>
      <c r="Y22" s="3347"/>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47"/>
      <c r="Q23" s="1454" t="str">
        <f t="shared" ref="Q23:Q37" si="8">B23</f>
        <v>区域土地利用方向</v>
      </c>
      <c r="R23" s="1558" t="s">
        <v>25</v>
      </c>
      <c r="S23" s="1559">
        <f>F23</f>
        <v>100</v>
      </c>
      <c r="T23" s="1558" t="s">
        <v>25</v>
      </c>
      <c r="U23" s="1559">
        <f>H23</f>
        <v>100</v>
      </c>
      <c r="V23" s="1558" t="s">
        <v>25</v>
      </c>
      <c r="W23" s="1559">
        <f>J23</f>
        <v>100</v>
      </c>
      <c r="X23" s="1502"/>
      <c r="Y23" s="3347"/>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47"/>
      <c r="Q24" s="1454"/>
      <c r="R24" s="1558"/>
      <c r="S24" s="1559"/>
      <c r="T24" s="1558"/>
      <c r="U24" s="1559"/>
      <c r="V24" s="1558"/>
      <c r="W24" s="1559"/>
      <c r="X24" s="1502"/>
      <c r="Y24" s="3347"/>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47"/>
      <c r="Q25" s="1454" t="str">
        <f t="shared" si="8"/>
        <v>自然及人文环境状况</v>
      </c>
      <c r="R25" s="1558" t="s">
        <v>25</v>
      </c>
      <c r="S25" s="1559">
        <f>F25</f>
        <v>100</v>
      </c>
      <c r="T25" s="1558" t="s">
        <v>25</v>
      </c>
      <c r="U25" s="1559">
        <f>H25</f>
        <v>100</v>
      </c>
      <c r="V25" s="1558" t="s">
        <v>25</v>
      </c>
      <c r="W25" s="1559">
        <f>J25</f>
        <v>100</v>
      </c>
      <c r="X25" s="1502"/>
      <c r="Y25" s="3347"/>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47"/>
      <c r="Q26" s="1454"/>
      <c r="R26" s="1558"/>
      <c r="S26" s="1559"/>
      <c r="T26" s="1558"/>
      <c r="U26" s="1559"/>
      <c r="V26" s="1558"/>
      <c r="W26" s="1559"/>
      <c r="X26" s="1502"/>
      <c r="Y26" s="3347"/>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47"/>
      <c r="Q27" s="1472" t="str">
        <f t="shared" ref="Q27" si="9">B27</f>
        <v>公共配套设施</v>
      </c>
      <c r="R27" s="1516" t="s">
        <v>25</v>
      </c>
      <c r="S27" s="1517">
        <f>F27</f>
        <v>100</v>
      </c>
      <c r="T27" s="1516" t="s">
        <v>25</v>
      </c>
      <c r="U27" s="1517">
        <f>H27</f>
        <v>100</v>
      </c>
      <c r="V27" s="1516" t="s">
        <v>25</v>
      </c>
      <c r="W27" s="1517">
        <f>J27</f>
        <v>100</v>
      </c>
      <c r="X27" s="1502"/>
      <c r="Y27" s="3347"/>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47"/>
      <c r="Q28" s="1454"/>
      <c r="R28" s="1558"/>
      <c r="S28" s="1559"/>
      <c r="T28" s="1558"/>
      <c r="U28" s="1559"/>
      <c r="V28" s="1558"/>
      <c r="W28" s="1559"/>
      <c r="X28" s="1502"/>
      <c r="Y28" s="3347"/>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47"/>
      <c r="Q29" s="1472" t="str">
        <f t="shared" si="8"/>
        <v>基础设施水平</v>
      </c>
      <c r="R29" s="1516" t="s">
        <v>25</v>
      </c>
      <c r="S29" s="1517">
        <f>F29</f>
        <v>100</v>
      </c>
      <c r="T29" s="1516" t="s">
        <v>25</v>
      </c>
      <c r="U29" s="1517">
        <f>H29</f>
        <v>100</v>
      </c>
      <c r="V29" s="1516" t="s">
        <v>25</v>
      </c>
      <c r="W29" s="1517">
        <f>J29</f>
        <v>100</v>
      </c>
      <c r="X29" s="1518"/>
      <c r="Y29" s="3347"/>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47"/>
      <c r="Q30" s="1472"/>
      <c r="R30" s="1516"/>
      <c r="S30" s="1517"/>
      <c r="T30" s="1516"/>
      <c r="U30" s="1517"/>
      <c r="V30" s="1516"/>
      <c r="W30" s="1517"/>
      <c r="X30" s="1518"/>
      <c r="Y30" s="3347"/>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47"/>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47"/>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47"/>
      <c r="Q32" s="1454" t="str">
        <f t="shared" si="8"/>
        <v>毗邻道路的类型与等级</v>
      </c>
      <c r="R32" s="1558" t="s">
        <v>25</v>
      </c>
      <c r="S32" s="1559">
        <f t="shared" si="10"/>
        <v>100</v>
      </c>
      <c r="T32" s="1558" t="s">
        <v>25</v>
      </c>
      <c r="U32" s="1559">
        <f t="shared" si="11"/>
        <v>100</v>
      </c>
      <c r="V32" s="1558" t="s">
        <v>25</v>
      </c>
      <c r="W32" s="1559">
        <f t="shared" si="12"/>
        <v>100</v>
      </c>
      <c r="X32" s="1502"/>
      <c r="Y32" s="3347"/>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47"/>
      <c r="Q33" s="1454"/>
      <c r="R33" s="1558"/>
      <c r="S33" s="1559"/>
      <c r="T33" s="1558"/>
      <c r="U33" s="1559"/>
      <c r="V33" s="1558"/>
      <c r="W33" s="1559"/>
      <c r="X33" s="1502"/>
      <c r="Y33" s="3347"/>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47"/>
      <c r="Q34" s="1454" t="str">
        <f t="shared" si="8"/>
        <v>土地级别</v>
      </c>
      <c r="R34" s="1558" t="s">
        <v>25</v>
      </c>
      <c r="S34" s="1559">
        <f t="shared" si="10"/>
        <v>100</v>
      </c>
      <c r="T34" s="1558" t="s">
        <v>25</v>
      </c>
      <c r="U34" s="1559">
        <f t="shared" si="11"/>
        <v>100</v>
      </c>
      <c r="V34" s="1558" t="s">
        <v>25</v>
      </c>
      <c r="W34" s="1559">
        <f t="shared" si="12"/>
        <v>100</v>
      </c>
      <c r="X34" s="1502"/>
      <c r="Y34" s="3347"/>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47"/>
      <c r="Q35" s="1454">
        <f t="shared" si="8"/>
        <v>111</v>
      </c>
      <c r="R35" s="1558" t="s">
        <v>25</v>
      </c>
      <c r="S35" s="1559">
        <f t="shared" si="10"/>
        <v>100</v>
      </c>
      <c r="T35" s="1558" t="s">
        <v>25</v>
      </c>
      <c r="U35" s="1559">
        <f t="shared" si="11"/>
        <v>100</v>
      </c>
      <c r="V35" s="1558" t="s">
        <v>25</v>
      </c>
      <c r="W35" s="1559">
        <f t="shared" si="12"/>
        <v>100</v>
      </c>
      <c r="X35" s="1502"/>
      <c r="Y35" s="3347"/>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51"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51"/>
      <c r="Q37" s="1454">
        <f t="shared" si="8"/>
        <v>111</v>
      </c>
      <c r="R37" s="1597" t="s">
        <v>25</v>
      </c>
      <c r="S37" s="1598">
        <f t="shared" si="10"/>
        <v>100</v>
      </c>
      <c r="T37" s="1597" t="s">
        <v>25</v>
      </c>
      <c r="U37" s="1598">
        <f t="shared" si="11"/>
        <v>100</v>
      </c>
      <c r="V37" s="1597" t="s">
        <v>25</v>
      </c>
      <c r="W37" s="1598">
        <f t="shared" si="12"/>
        <v>100</v>
      </c>
      <c r="X37" s="1599"/>
      <c r="Y37" s="3351"/>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51"/>
      <c r="Q38" s="1454" t="str">
        <f>B38</f>
        <v>宗地面积</v>
      </c>
      <c r="R38" s="1558" t="s">
        <v>25</v>
      </c>
      <c r="S38" s="1559" t="e">
        <f t="shared" si="10"/>
        <v>#N/A</v>
      </c>
      <c r="T38" s="1558" t="s">
        <v>25</v>
      </c>
      <c r="U38" s="1559" t="e">
        <f t="shared" si="11"/>
        <v>#N/A</v>
      </c>
      <c r="V38" s="1558" t="s">
        <v>25</v>
      </c>
      <c r="W38" s="1559" t="e">
        <f t="shared" si="12"/>
        <v>#N/A</v>
      </c>
      <c r="X38" s="1502"/>
      <c r="Y38" s="3351"/>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51"/>
      <c r="Q39" s="1454" t="str">
        <f t="shared" ref="Q39:Q45" si="14">B39</f>
        <v>宗地形状</v>
      </c>
      <c r="R39" s="1558" t="s">
        <v>25</v>
      </c>
      <c r="S39" s="1559">
        <f t="shared" si="10"/>
        <v>100</v>
      </c>
      <c r="T39" s="1558" t="s">
        <v>25</v>
      </c>
      <c r="U39" s="1559">
        <f t="shared" si="11"/>
        <v>100</v>
      </c>
      <c r="V39" s="1558" t="s">
        <v>25</v>
      </c>
      <c r="W39" s="1559">
        <f t="shared" si="12"/>
        <v>100</v>
      </c>
      <c r="X39" s="1502"/>
      <c r="Y39" s="3351"/>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51"/>
      <c r="Q40" s="1454" t="str">
        <f t="shared" si="14"/>
        <v>临街宽度及深度</v>
      </c>
      <c r="R40" s="1558" t="s">
        <v>25</v>
      </c>
      <c r="S40" s="1559">
        <f t="shared" si="10"/>
        <v>100</v>
      </c>
      <c r="T40" s="1558" t="s">
        <v>25</v>
      </c>
      <c r="U40" s="1559">
        <f t="shared" si="11"/>
        <v>100</v>
      </c>
      <c r="V40" s="1558" t="s">
        <v>25</v>
      </c>
      <c r="W40" s="1559">
        <f t="shared" si="12"/>
        <v>100</v>
      </c>
      <c r="X40" s="1502"/>
      <c r="Y40" s="3351"/>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51"/>
      <c r="Q41" s="1454" t="str">
        <f t="shared" si="14"/>
        <v>宗地开发程度</v>
      </c>
      <c r="R41" s="1516" t="s">
        <v>25</v>
      </c>
      <c r="S41" s="1517">
        <f t="shared" si="10"/>
        <v>100</v>
      </c>
      <c r="T41" s="1516" t="s">
        <v>25</v>
      </c>
      <c r="U41" s="1517">
        <f t="shared" si="11"/>
        <v>100</v>
      </c>
      <c r="V41" s="1516" t="s">
        <v>25</v>
      </c>
      <c r="W41" s="1517">
        <f t="shared" si="12"/>
        <v>100</v>
      </c>
      <c r="X41" s="1518"/>
      <c r="Y41" s="3351"/>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51" t="s">
        <v>2037</v>
      </c>
      <c r="Q42" s="1454" t="str">
        <f t="shared" si="14"/>
        <v>工程地质条件</v>
      </c>
      <c r="R42" s="1558" t="s">
        <v>25</v>
      </c>
      <c r="S42" s="1559">
        <f t="shared" si="10"/>
        <v>100</v>
      </c>
      <c r="T42" s="1558" t="s">
        <v>25</v>
      </c>
      <c r="U42" s="1559">
        <f t="shared" si="11"/>
        <v>100</v>
      </c>
      <c r="V42" s="1558" t="s">
        <v>25</v>
      </c>
      <c r="W42" s="1559">
        <f t="shared" si="12"/>
        <v>100</v>
      </c>
      <c r="X42" s="1502"/>
      <c r="Y42" s="3351"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51"/>
      <c r="Q43" s="1454">
        <f t="shared" si="14"/>
        <v>111</v>
      </c>
      <c r="R43" s="1558" t="s">
        <v>25</v>
      </c>
      <c r="S43" s="1559">
        <f t="shared" si="10"/>
        <v>100</v>
      </c>
      <c r="T43" s="1558" t="s">
        <v>25</v>
      </c>
      <c r="U43" s="1559">
        <f t="shared" si="11"/>
        <v>100</v>
      </c>
      <c r="V43" s="1558" t="s">
        <v>25</v>
      </c>
      <c r="W43" s="1559">
        <f t="shared" si="12"/>
        <v>100</v>
      </c>
      <c r="X43" s="1502"/>
      <c r="Y43" s="3351"/>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51"/>
      <c r="Q44" s="1454">
        <f t="shared" si="14"/>
        <v>111</v>
      </c>
      <c r="R44" s="1558" t="s">
        <v>25</v>
      </c>
      <c r="S44" s="1559">
        <f t="shared" si="10"/>
        <v>100</v>
      </c>
      <c r="T44" s="1558" t="s">
        <v>25</v>
      </c>
      <c r="U44" s="1559">
        <f t="shared" si="11"/>
        <v>100</v>
      </c>
      <c r="V44" s="1558" t="s">
        <v>25</v>
      </c>
      <c r="W44" s="1559">
        <f t="shared" si="12"/>
        <v>100</v>
      </c>
      <c r="X44" s="1502"/>
      <c r="Y44" s="3351"/>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51"/>
      <c r="Q45" s="1454">
        <f t="shared" si="14"/>
        <v>111</v>
      </c>
      <c r="R45" s="1597" t="s">
        <v>25</v>
      </c>
      <c r="S45" s="1598">
        <f t="shared" si="10"/>
        <v>100</v>
      </c>
      <c r="T45" s="1597" t="s">
        <v>25</v>
      </c>
      <c r="U45" s="1598">
        <f t="shared" si="11"/>
        <v>100</v>
      </c>
      <c r="V45" s="1597" t="s">
        <v>25</v>
      </c>
      <c r="W45" s="1598">
        <f t="shared" si="12"/>
        <v>100</v>
      </c>
      <c r="X45" s="1599"/>
      <c r="Y45" s="3351"/>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57" t="str">
        <f>A46</f>
        <v>成交单价</v>
      </c>
      <c r="Q46" s="3357"/>
      <c r="R46" s="3337">
        <f>E46</f>
        <v>0</v>
      </c>
      <c r="S46" s="3337"/>
      <c r="T46" s="3337">
        <f>G46</f>
        <v>0</v>
      </c>
      <c r="U46" s="3337"/>
      <c r="V46" s="3337">
        <f>I46</f>
        <v>0</v>
      </c>
      <c r="W46" s="3337"/>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57" t="str">
        <f>A47</f>
        <v>比较价值（元/平方米）</v>
      </c>
      <c r="Q47" s="3357"/>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62" t="str">
        <f>A48</f>
        <v>估价对象XX用房的比较价值（楼面单价，元/平方米）</v>
      </c>
      <c r="Q48" s="3363"/>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2022-12-1</v>
      </c>
      <c r="D67" s="1850">
        <f>EDATE(C67,-3)</f>
        <v>44805</v>
      </c>
      <c r="E67" s="1850">
        <f t="shared" ref="E67:O67" si="18">EDATE(D67,-3)</f>
        <v>44713</v>
      </c>
      <c r="F67" s="1850">
        <f t="shared" si="18"/>
        <v>44621</v>
      </c>
      <c r="G67" s="1850">
        <f t="shared" si="18"/>
        <v>44531</v>
      </c>
      <c r="H67" s="1850">
        <f t="shared" si="18"/>
        <v>44440</v>
      </c>
      <c r="I67" s="1850">
        <f t="shared" si="18"/>
        <v>44348</v>
      </c>
      <c r="J67" s="1850">
        <f t="shared" si="18"/>
        <v>44256</v>
      </c>
      <c r="K67" s="1850">
        <f t="shared" si="18"/>
        <v>44166</v>
      </c>
      <c r="L67" s="1850">
        <f t="shared" si="18"/>
        <v>44075</v>
      </c>
      <c r="M67" s="1850">
        <f t="shared" si="18"/>
        <v>43983</v>
      </c>
      <c r="N67" s="1850">
        <f t="shared" si="18"/>
        <v>43891</v>
      </c>
      <c r="O67" s="1850">
        <f t="shared" si="18"/>
        <v>43800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44908</v>
      </c>
      <c r="D7" s="300">
        <v>100</v>
      </c>
      <c r="E7" s="301"/>
      <c r="F7" s="302">
        <f>SUMIF(64:64,YEAR(E7)&amp;"-"&amp;INT((MONTH(E7)+2)/3),65:65)</f>
        <v>0</v>
      </c>
      <c r="G7" s="1414"/>
      <c r="H7" s="300">
        <f>SUMIF(64:64,YEAR(G7)&amp;"-"&amp;INT((MONTH(G7)+2)/3),65:65)</f>
        <v>0</v>
      </c>
      <c r="I7" s="1414"/>
      <c r="J7" s="300">
        <f>SUMIF(64:64,YEAR(I7)&amp;"-"&amp;INT((MONTH(I7)+2)/3),65:65)</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131</v>
      </c>
      <c r="G10" s="317"/>
      <c r="H10" s="25">
        <f>ROUND(100/'数据-取费表'!B14,0)</f>
        <v>131</v>
      </c>
      <c r="I10" s="317"/>
      <c r="J10" s="25">
        <f>ROUND(100/'数据-取费表'!B14,0)</f>
        <v>131</v>
      </c>
      <c r="K10" s="533"/>
      <c r="L10" s="2719"/>
      <c r="O10" s="2720"/>
      <c r="P10" s="3370"/>
      <c r="Q10" s="477" t="str">
        <f t="shared" si="6"/>
        <v>土地使用年限（年）</v>
      </c>
      <c r="R10" s="601" t="s">
        <v>25</v>
      </c>
      <c r="S10" s="602">
        <f t="shared" si="0"/>
        <v>131</v>
      </c>
      <c r="T10" s="601" t="s">
        <v>25</v>
      </c>
      <c r="U10" s="602">
        <f t="shared" si="1"/>
        <v>131</v>
      </c>
      <c r="V10" s="601" t="s">
        <v>25</v>
      </c>
      <c r="W10" s="602">
        <f t="shared" si="2"/>
        <v>131</v>
      </c>
      <c r="X10" s="603"/>
      <c r="Y10" s="3400"/>
      <c r="Z10" s="18" t="str">
        <f t="shared" si="7"/>
        <v>土地使用年限（年）</v>
      </c>
      <c r="AA10" s="18">
        <f t="shared" si="3"/>
        <v>0.76335877862595425</v>
      </c>
      <c r="AB10" s="18">
        <f t="shared" si="4"/>
        <v>0.76335877862595425</v>
      </c>
      <c r="AC10" s="18">
        <f t="shared" si="5"/>
        <v>0.76335877862595425</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99"/>
      <c r="Q16" s="636"/>
      <c r="R16" s="604"/>
      <c r="S16" s="605"/>
      <c r="T16" s="604"/>
      <c r="U16" s="605"/>
      <c r="V16" s="604"/>
      <c r="W16" s="605"/>
      <c r="X16" s="1202"/>
      <c r="Y16" s="3399"/>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99"/>
      <c r="Q18" s="636"/>
      <c r="R18" s="604"/>
      <c r="S18" s="605"/>
      <c r="T18" s="604"/>
      <c r="U18" s="605"/>
      <c r="V18" s="604"/>
      <c r="W18" s="605"/>
      <c r="X18" s="1202"/>
      <c r="Y18" s="3399"/>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99"/>
      <c r="Q19" s="636" t="str">
        <f t="shared" ref="Q19:Q33" si="8">B19</f>
        <v>区域土地利用方向</v>
      </c>
      <c r="R19" s="604" t="s">
        <v>25</v>
      </c>
      <c r="S19" s="605">
        <f>F19</f>
        <v>100</v>
      </c>
      <c r="T19" s="604" t="s">
        <v>25</v>
      </c>
      <c r="U19" s="605">
        <f>H19</f>
        <v>100</v>
      </c>
      <c r="V19" s="604" t="s">
        <v>25</v>
      </c>
      <c r="W19" s="605">
        <f>J19</f>
        <v>100</v>
      </c>
      <c r="X19" s="1202"/>
      <c r="Y19" s="3399"/>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99"/>
      <c r="Q20" s="636"/>
      <c r="R20" s="604"/>
      <c r="S20" s="605"/>
      <c r="T20" s="604"/>
      <c r="U20" s="605"/>
      <c r="V20" s="604"/>
      <c r="W20" s="605"/>
      <c r="X20" s="1202"/>
      <c r="Y20" s="3399"/>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99"/>
      <c r="Q21" s="636" t="str">
        <f t="shared" si="8"/>
        <v>环境状况</v>
      </c>
      <c r="R21" s="604" t="s">
        <v>25</v>
      </c>
      <c r="S21" s="605">
        <f>F21</f>
        <v>100</v>
      </c>
      <c r="T21" s="604" t="s">
        <v>25</v>
      </c>
      <c r="U21" s="605">
        <f>H21</f>
        <v>100</v>
      </c>
      <c r="V21" s="604" t="s">
        <v>25</v>
      </c>
      <c r="W21" s="605">
        <f>J21</f>
        <v>100</v>
      </c>
      <c r="X21" s="1202"/>
      <c r="Y21" s="3399"/>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99"/>
      <c r="Q22" s="636"/>
      <c r="R22" s="604"/>
      <c r="S22" s="605"/>
      <c r="T22" s="604"/>
      <c r="U22" s="605"/>
      <c r="V22" s="604"/>
      <c r="W22" s="605"/>
      <c r="X22" s="1202"/>
      <c r="Y22" s="3399"/>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99"/>
      <c r="Q23" s="477" t="str">
        <f t="shared" si="8"/>
        <v>公共配套设施</v>
      </c>
      <c r="R23" s="601" t="s">
        <v>25</v>
      </c>
      <c r="S23" s="602">
        <f>F23</f>
        <v>100</v>
      </c>
      <c r="T23" s="601" t="s">
        <v>25</v>
      </c>
      <c r="U23" s="602">
        <f>H23</f>
        <v>100</v>
      </c>
      <c r="V23" s="601" t="s">
        <v>25</v>
      </c>
      <c r="W23" s="602">
        <f>J23</f>
        <v>100</v>
      </c>
      <c r="X23" s="603"/>
      <c r="Y23" s="3399"/>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99"/>
      <c r="Q24" s="477"/>
      <c r="R24" s="601"/>
      <c r="S24" s="602"/>
      <c r="T24" s="601"/>
      <c r="U24" s="602"/>
      <c r="V24" s="601"/>
      <c r="W24" s="602"/>
      <c r="X24" s="603"/>
      <c r="Y24" s="3399"/>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99"/>
      <c r="Q25" s="477" t="str">
        <f t="shared" ref="Q25" si="9">B25</f>
        <v>基础设施水平</v>
      </c>
      <c r="R25" s="601" t="s">
        <v>25</v>
      </c>
      <c r="S25" s="602">
        <f>F25</f>
        <v>100</v>
      </c>
      <c r="T25" s="601" t="s">
        <v>25</v>
      </c>
      <c r="U25" s="602">
        <f>H25</f>
        <v>100</v>
      </c>
      <c r="V25" s="601" t="s">
        <v>25</v>
      </c>
      <c r="W25" s="602">
        <f>J25</f>
        <v>100</v>
      </c>
      <c r="X25" s="603"/>
      <c r="Y25" s="3399"/>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99"/>
      <c r="Q26" s="477"/>
      <c r="R26" s="601"/>
      <c r="S26" s="602"/>
      <c r="T26" s="601"/>
      <c r="U26" s="602"/>
      <c r="V26" s="601"/>
      <c r="W26" s="602"/>
      <c r="X26" s="603"/>
      <c r="Y26" s="3399"/>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99"/>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9"/>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99"/>
      <c r="Q28" s="636" t="str">
        <f t="shared" si="8"/>
        <v>毗邻道路的类型与等级</v>
      </c>
      <c r="R28" s="604" t="s">
        <v>25</v>
      </c>
      <c r="S28" s="605">
        <f t="shared" si="10"/>
        <v>100</v>
      </c>
      <c r="T28" s="604" t="s">
        <v>25</v>
      </c>
      <c r="U28" s="605">
        <f t="shared" si="11"/>
        <v>100</v>
      </c>
      <c r="V28" s="604" t="s">
        <v>25</v>
      </c>
      <c r="W28" s="605">
        <f t="shared" si="12"/>
        <v>100</v>
      </c>
      <c r="X28" s="1202"/>
      <c r="Y28" s="3399"/>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99"/>
      <c r="Q29" s="636"/>
      <c r="R29" s="604"/>
      <c r="S29" s="605"/>
      <c r="T29" s="604"/>
      <c r="U29" s="605"/>
      <c r="V29" s="604"/>
      <c r="W29" s="605"/>
      <c r="X29" s="1202"/>
      <c r="Y29" s="3399"/>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99"/>
      <c r="Q30" s="636" t="str">
        <f t="shared" si="8"/>
        <v>土地级别</v>
      </c>
      <c r="R30" s="604" t="s">
        <v>25</v>
      </c>
      <c r="S30" s="605">
        <f t="shared" si="10"/>
        <v>100</v>
      </c>
      <c r="T30" s="604" t="s">
        <v>25</v>
      </c>
      <c r="U30" s="605">
        <f t="shared" si="11"/>
        <v>100</v>
      </c>
      <c r="V30" s="604" t="s">
        <v>25</v>
      </c>
      <c r="W30" s="605">
        <f t="shared" si="12"/>
        <v>100</v>
      </c>
      <c r="X30" s="1202"/>
      <c r="Y30" s="3399"/>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99"/>
      <c r="Q31" s="636">
        <f t="shared" si="8"/>
        <v>111</v>
      </c>
      <c r="R31" s="604" t="s">
        <v>25</v>
      </c>
      <c r="S31" s="605">
        <f t="shared" si="10"/>
        <v>100</v>
      </c>
      <c r="T31" s="604" t="s">
        <v>25</v>
      </c>
      <c r="U31" s="605">
        <f t="shared" si="11"/>
        <v>100</v>
      </c>
      <c r="V31" s="604" t="s">
        <v>25</v>
      </c>
      <c r="W31" s="605">
        <f t="shared" si="12"/>
        <v>100</v>
      </c>
      <c r="X31" s="1202"/>
      <c r="Y31" s="3399"/>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401" t="s">
        <v>2037</v>
      </c>
      <c r="Q32" s="636">
        <f t="shared" si="8"/>
        <v>111</v>
      </c>
      <c r="R32" s="604" t="s">
        <v>25</v>
      </c>
      <c r="S32" s="605">
        <f t="shared" si="10"/>
        <v>100</v>
      </c>
      <c r="T32" s="604" t="s">
        <v>25</v>
      </c>
      <c r="U32" s="605">
        <f t="shared" si="11"/>
        <v>100</v>
      </c>
      <c r="V32" s="604" t="s">
        <v>25</v>
      </c>
      <c r="W32" s="605">
        <f t="shared" si="12"/>
        <v>100</v>
      </c>
      <c r="X32" s="1202"/>
      <c r="Y32" s="3402"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402"/>
      <c r="Q33" s="636">
        <f t="shared" si="8"/>
        <v>111</v>
      </c>
      <c r="R33" s="607" t="s">
        <v>25</v>
      </c>
      <c r="S33" s="608">
        <f t="shared" si="10"/>
        <v>100</v>
      </c>
      <c r="T33" s="607" t="s">
        <v>25</v>
      </c>
      <c r="U33" s="608">
        <f t="shared" si="11"/>
        <v>100</v>
      </c>
      <c r="V33" s="607" t="s">
        <v>25</v>
      </c>
      <c r="W33" s="608">
        <f t="shared" si="12"/>
        <v>100</v>
      </c>
      <c r="X33" s="609"/>
      <c r="Y33" s="3402"/>
      <c r="Z33" s="610">
        <f t="shared" si="13"/>
        <v>111</v>
      </c>
      <c r="AA33" s="1203">
        <f t="shared" si="3"/>
        <v>1</v>
      </c>
      <c r="AB33" s="1203">
        <f t="shared" si="4"/>
        <v>1</v>
      </c>
      <c r="AC33" s="1203">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402"/>
      <c r="Q34" s="636" t="str">
        <f>B34</f>
        <v>宗地面积</v>
      </c>
      <c r="R34" s="604" t="s">
        <v>25</v>
      </c>
      <c r="S34" s="605" t="e">
        <f t="shared" si="10"/>
        <v>#N/A</v>
      </c>
      <c r="T34" s="604" t="s">
        <v>25</v>
      </c>
      <c r="U34" s="605" t="e">
        <f t="shared" si="11"/>
        <v>#N/A</v>
      </c>
      <c r="V34" s="604" t="s">
        <v>25</v>
      </c>
      <c r="W34" s="605" t="e">
        <f t="shared" si="12"/>
        <v>#N/A</v>
      </c>
      <c r="X34" s="1202"/>
      <c r="Y34" s="340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402"/>
      <c r="Q35" s="636" t="str">
        <f t="shared" ref="Q35:Q40" si="14">B35</f>
        <v>宗地形状</v>
      </c>
      <c r="R35" s="604" t="s">
        <v>25</v>
      </c>
      <c r="S35" s="605">
        <f t="shared" si="10"/>
        <v>100</v>
      </c>
      <c r="T35" s="604" t="s">
        <v>25</v>
      </c>
      <c r="U35" s="605">
        <f t="shared" si="11"/>
        <v>100</v>
      </c>
      <c r="V35" s="604" t="s">
        <v>25</v>
      </c>
      <c r="W35" s="605">
        <f t="shared" si="12"/>
        <v>100</v>
      </c>
      <c r="X35" s="1202"/>
      <c r="Y35" s="340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402"/>
      <c r="Q36" s="636" t="str">
        <f t="shared" si="14"/>
        <v>宗地开发程度</v>
      </c>
      <c r="R36" s="601" t="s">
        <v>25</v>
      </c>
      <c r="S36" s="602">
        <f t="shared" si="10"/>
        <v>100</v>
      </c>
      <c r="T36" s="601" t="s">
        <v>25</v>
      </c>
      <c r="U36" s="602">
        <f t="shared" si="11"/>
        <v>100</v>
      </c>
      <c r="V36" s="601" t="s">
        <v>25</v>
      </c>
      <c r="W36" s="602">
        <f t="shared" si="12"/>
        <v>100</v>
      </c>
      <c r="X36" s="603"/>
      <c r="Y36" s="340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402" t="s">
        <v>2037</v>
      </c>
      <c r="Q37" s="636" t="str">
        <f t="shared" si="14"/>
        <v>工程地质条件</v>
      </c>
      <c r="R37" s="604" t="s">
        <v>25</v>
      </c>
      <c r="S37" s="605">
        <f t="shared" si="10"/>
        <v>100</v>
      </c>
      <c r="T37" s="604" t="s">
        <v>25</v>
      </c>
      <c r="U37" s="605">
        <f t="shared" si="11"/>
        <v>100</v>
      </c>
      <c r="V37" s="604" t="s">
        <v>25</v>
      </c>
      <c r="W37" s="605">
        <f t="shared" si="12"/>
        <v>100</v>
      </c>
      <c r="X37" s="1202"/>
      <c r="Y37" s="340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402"/>
      <c r="Q38" s="636">
        <f t="shared" si="14"/>
        <v>111</v>
      </c>
      <c r="R38" s="604" t="s">
        <v>25</v>
      </c>
      <c r="S38" s="605">
        <f t="shared" si="10"/>
        <v>100</v>
      </c>
      <c r="T38" s="604" t="s">
        <v>25</v>
      </c>
      <c r="U38" s="605">
        <f t="shared" si="11"/>
        <v>100</v>
      </c>
      <c r="V38" s="604" t="s">
        <v>25</v>
      </c>
      <c r="W38" s="605">
        <f t="shared" si="12"/>
        <v>100</v>
      </c>
      <c r="X38" s="1202"/>
      <c r="Y38" s="340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402"/>
      <c r="Q39" s="636">
        <f t="shared" si="14"/>
        <v>111</v>
      </c>
      <c r="R39" s="604" t="s">
        <v>25</v>
      </c>
      <c r="S39" s="605">
        <f t="shared" si="10"/>
        <v>100</v>
      </c>
      <c r="T39" s="604" t="s">
        <v>25</v>
      </c>
      <c r="U39" s="605">
        <f t="shared" si="11"/>
        <v>100</v>
      </c>
      <c r="V39" s="604" t="s">
        <v>25</v>
      </c>
      <c r="W39" s="605">
        <f t="shared" si="12"/>
        <v>100</v>
      </c>
      <c r="X39" s="1202"/>
      <c r="Y39" s="3402"/>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402"/>
      <c r="Q40" s="636">
        <f t="shared" si="14"/>
        <v>111</v>
      </c>
      <c r="R40" s="607" t="s">
        <v>25</v>
      </c>
      <c r="S40" s="608">
        <f t="shared" si="10"/>
        <v>100</v>
      </c>
      <c r="T40" s="607" t="s">
        <v>25</v>
      </c>
      <c r="U40" s="608">
        <f t="shared" si="11"/>
        <v>100</v>
      </c>
      <c r="V40" s="607" t="s">
        <v>25</v>
      </c>
      <c r="W40" s="608">
        <f t="shared" si="12"/>
        <v>100</v>
      </c>
      <c r="X40" s="609"/>
      <c r="Y40" s="3402"/>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70" t="str">
        <f>A41</f>
        <v>成交单价</v>
      </c>
      <c r="Q41" s="3370"/>
      <c r="R41" s="3394">
        <f>E41</f>
        <v>0</v>
      </c>
      <c r="S41" s="3394"/>
      <c r="T41" s="3394">
        <f>G41</f>
        <v>0</v>
      </c>
      <c r="U41" s="3394"/>
      <c r="V41" s="3394">
        <f>I41</f>
        <v>0</v>
      </c>
      <c r="W41" s="3394"/>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70" t="str">
        <f>A42</f>
        <v>比较价值（元/平方米）</v>
      </c>
      <c r="Q42" s="3370"/>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404" t="str">
        <f>A43</f>
        <v>估价对象XX用房的比较价值（楼面单价，元/平方米）</v>
      </c>
      <c r="Q43" s="3405"/>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估价对象为北京市房地产，为XX所有。根据《》[]，估价对象建筑面积为455.84平方米。根据《》[]，估价对象（分摊）出让国有建设用地使用权面积为平方米。估价对象用途为。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2022年12月13日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本次估价的“房地产价值”是指在正常市场情况下，在价值时点2022年12月13日，估价对象规划用途为，假定未设立法定优先受偿款下的房地产市场价值。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455.84</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28"/>
      <c r="B4" s="3429"/>
      <c r="C4" s="3429"/>
      <c r="D4" s="3430"/>
      <c r="E4" s="3430"/>
      <c r="F4" s="3430"/>
      <c r="G4" s="3430"/>
      <c r="H4" s="3430"/>
      <c r="I4" s="3430"/>
      <c r="J4" s="3431"/>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32"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33"/>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26" t="s">
        <v>2292</v>
      </c>
      <c r="X8" s="3427"/>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33"/>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27"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33"/>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27"/>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33"/>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27"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32">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27"/>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34"/>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27"/>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34"/>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35"/>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11">
        <f>IF(E2="办公",2,IF(E2="工业",2,IF(E2="住宅",3,IF(E2="商业",IF(C8="不临58条商业街",2,3)))))</f>
        <v>3</v>
      </c>
      <c r="B16" s="1468" t="s">
        <v>2338</v>
      </c>
      <c r="C16" s="1445">
        <f>ROUND(IF(F17="与级别开发程度一致",0,(G17-E17)/C17),0)</f>
        <v>0</v>
      </c>
      <c r="D16" s="3424" t="s">
        <v>2342</v>
      </c>
      <c r="E16" s="3425"/>
      <c r="F16" s="3424" t="s">
        <v>2339</v>
      </c>
      <c r="G16" s="342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1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44908</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0.67549999999999999</v>
      </c>
      <c r="D20" s="1987" t="s">
        <v>2354</v>
      </c>
      <c r="E20" s="2818">
        <f>存贷款利率!E22/100</f>
        <v>4.3499999999999997E-2</v>
      </c>
      <c r="F20" s="1987" t="s">
        <v>2343</v>
      </c>
      <c r="G20" s="2819">
        <f>SUMIF(M26:P26,E2,M28:P28)</f>
        <v>0.05</v>
      </c>
      <c r="H20" s="1987" t="s">
        <v>2355</v>
      </c>
      <c r="I20" s="1988">
        <f>'数据-取费表'!B13</f>
        <v>21.71</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455.84</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2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2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2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2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13" t="s">
        <v>2437</v>
      </c>
      <c r="B90" s="3413"/>
      <c r="C90" s="3413"/>
      <c r="D90" s="3413"/>
      <c r="E90" s="3413"/>
      <c r="F90" s="3413"/>
      <c r="G90" s="3413"/>
      <c r="H90" s="3413"/>
      <c r="I90" s="3413"/>
      <c r="J90" s="3413"/>
      <c r="K90" s="2082"/>
      <c r="L90" s="2082"/>
      <c r="M90" s="2082"/>
      <c r="N90" s="2082"/>
    </row>
    <row r="91" spans="1:33">
      <c r="A91" s="3415" t="s">
        <v>2438</v>
      </c>
      <c r="B91" s="3415" t="s">
        <v>2439</v>
      </c>
      <c r="C91" s="2026" t="s">
        <v>2440</v>
      </c>
      <c r="D91" s="2027"/>
      <c r="E91" s="2027"/>
      <c r="F91" s="2027"/>
      <c r="G91" s="2027"/>
      <c r="H91" s="2027"/>
      <c r="I91" s="2027"/>
      <c r="J91" s="2083"/>
      <c r="K91" s="1360"/>
      <c r="L91" s="1360"/>
      <c r="M91" s="1360"/>
      <c r="N91" s="1360"/>
    </row>
    <row r="92" spans="1:33">
      <c r="A92" s="3415"/>
      <c r="B92" s="341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1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1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1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1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1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1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1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1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1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1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1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1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1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1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1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17"/>
      <c r="B108" s="341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18"/>
      <c r="B109" s="342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14" t="s">
        <v>2445</v>
      </c>
      <c r="B110" s="3414"/>
      <c r="C110" s="3414"/>
      <c r="D110" s="3414"/>
      <c r="E110" s="3414"/>
      <c r="F110" s="3414"/>
      <c r="G110" s="3414"/>
      <c r="H110" s="3414"/>
      <c r="I110" s="3414"/>
      <c r="J110" s="3414"/>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36" t="s">
        <v>597</v>
      </c>
      <c r="B1" s="3436"/>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4" t="s">
        <v>2803</v>
      </c>
      <c r="B20" s="3447" t="s">
        <v>2811</v>
      </c>
      <c r="C20" s="3025" t="s">
        <v>2812</v>
      </c>
      <c r="D20" s="3026"/>
      <c r="E20" s="3027">
        <v>1</v>
      </c>
      <c r="F20" s="3028" t="s">
        <v>2813</v>
      </c>
      <c r="G20" s="3028"/>
    </row>
    <row r="21" spans="1:13" ht="19.5" customHeight="1">
      <c r="A21" s="3445"/>
      <c r="B21" s="3443"/>
      <c r="C21" s="708" t="s">
        <v>2814</v>
      </c>
      <c r="D21" s="709"/>
      <c r="E21" s="3029">
        <v>1</v>
      </c>
      <c r="F21" s="3028" t="s">
        <v>2815</v>
      </c>
      <c r="G21" s="3028"/>
    </row>
    <row r="22" spans="1:13" ht="19.5" customHeight="1">
      <c r="A22" s="3445"/>
      <c r="B22" s="3443"/>
      <c r="C22" s="708" t="s">
        <v>2816</v>
      </c>
      <c r="D22" s="709"/>
      <c r="E22" s="3029">
        <v>0.9</v>
      </c>
      <c r="F22" s="3028" t="s">
        <v>2817</v>
      </c>
      <c r="G22" s="3028"/>
    </row>
    <row r="23" spans="1:13" ht="19.5" customHeight="1">
      <c r="A23" s="3445"/>
      <c r="B23" s="3443"/>
      <c r="C23" s="708" t="s">
        <v>2818</v>
      </c>
      <c r="D23" s="709"/>
      <c r="E23" s="3029">
        <v>0.9</v>
      </c>
      <c r="F23" s="3028" t="s">
        <v>2819</v>
      </c>
      <c r="G23" s="3028"/>
    </row>
    <row r="24" spans="1:13" ht="19.5" customHeight="1">
      <c r="A24" s="3445"/>
      <c r="B24" s="3443"/>
      <c r="C24" s="708" t="s">
        <v>2820</v>
      </c>
      <c r="D24" s="709"/>
      <c r="E24" s="3029">
        <v>0.8</v>
      </c>
      <c r="F24" s="3028" t="s">
        <v>2821</v>
      </c>
      <c r="G24" s="3028"/>
    </row>
    <row r="25" spans="1:13" ht="19.5" customHeight="1" thickBot="1">
      <c r="A25" s="3446"/>
      <c r="B25" s="3448"/>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9" t="s">
        <v>2808</v>
      </c>
      <c r="B27" s="3447" t="s">
        <v>2808</v>
      </c>
      <c r="C27" s="3025" t="s">
        <v>2825</v>
      </c>
      <c r="D27" s="3026"/>
      <c r="E27" s="3027">
        <v>1</v>
      </c>
      <c r="F27" s="3028" t="s">
        <v>2866</v>
      </c>
      <c r="G27" s="3028"/>
    </row>
    <row r="28" spans="1:13" ht="19.5" customHeight="1">
      <c r="A28" s="3450"/>
      <c r="B28" s="3443"/>
      <c r="C28" s="708" t="s">
        <v>2826</v>
      </c>
      <c r="D28" s="709"/>
      <c r="E28" s="3029">
        <v>1</v>
      </c>
      <c r="F28" s="3028" t="s">
        <v>2867</v>
      </c>
      <c r="G28" s="3028"/>
    </row>
    <row r="29" spans="1:13" ht="19.5" customHeight="1">
      <c r="A29" s="3450"/>
      <c r="B29" s="3443"/>
      <c r="C29" s="708" t="s">
        <v>2827</v>
      </c>
      <c r="D29" s="709"/>
      <c r="E29" s="3029">
        <v>0.8</v>
      </c>
      <c r="F29" s="3028" t="s">
        <v>2868</v>
      </c>
      <c r="G29" s="3028"/>
    </row>
    <row r="30" spans="1:13" ht="19.5" customHeight="1">
      <c r="A30" s="3450"/>
      <c r="B30" s="3443"/>
      <c r="C30" s="708" t="s">
        <v>2828</v>
      </c>
      <c r="D30" s="709"/>
      <c r="E30" s="3029">
        <v>0.8</v>
      </c>
      <c r="F30" s="3028" t="s">
        <v>2869</v>
      </c>
      <c r="G30" s="3028"/>
    </row>
    <row r="31" spans="1:13" ht="19.5" customHeight="1">
      <c r="A31" s="3450"/>
      <c r="B31" s="3443"/>
      <c r="C31" s="708" t="s">
        <v>2829</v>
      </c>
      <c r="D31" s="709"/>
      <c r="E31" s="3029">
        <v>0.8</v>
      </c>
      <c r="F31" s="3028" t="s">
        <v>2870</v>
      </c>
      <c r="G31" s="3028"/>
    </row>
    <row r="32" spans="1:13" ht="19.5" customHeight="1">
      <c r="A32" s="3450"/>
      <c r="B32" s="3443"/>
      <c r="C32" s="708" t="s">
        <v>2830</v>
      </c>
      <c r="D32" s="709"/>
      <c r="E32" s="3029">
        <v>0.7</v>
      </c>
      <c r="F32" s="3028" t="s">
        <v>2871</v>
      </c>
      <c r="G32" s="3028"/>
    </row>
    <row r="33" spans="1:7" ht="19.5" customHeight="1">
      <c r="A33" s="3450"/>
      <c r="B33" s="3443"/>
      <c r="C33" s="708" t="s">
        <v>2831</v>
      </c>
      <c r="D33" s="709"/>
      <c r="E33" s="3029">
        <v>0.8</v>
      </c>
      <c r="F33" s="3028" t="s">
        <v>2872</v>
      </c>
      <c r="G33" s="3028"/>
    </row>
    <row r="34" spans="1:7" ht="19.5" customHeight="1">
      <c r="A34" s="3450"/>
      <c r="B34" s="3443"/>
      <c r="C34" s="708" t="s">
        <v>2832</v>
      </c>
      <c r="D34" s="709"/>
      <c r="E34" s="3029">
        <v>0.6</v>
      </c>
      <c r="F34" s="3028" t="s">
        <v>2873</v>
      </c>
      <c r="G34" s="3028"/>
    </row>
    <row r="35" spans="1:7" ht="19.5" customHeight="1">
      <c r="A35" s="3450"/>
      <c r="B35" s="3443"/>
      <c r="C35" s="708" t="s">
        <v>2833</v>
      </c>
      <c r="D35" s="709"/>
      <c r="E35" s="3029">
        <v>0.2</v>
      </c>
      <c r="F35" s="3028" t="s">
        <v>2874</v>
      </c>
      <c r="G35" s="3028"/>
    </row>
    <row r="36" spans="1:7" ht="19.5" customHeight="1">
      <c r="A36" s="3450"/>
      <c r="B36" s="3443"/>
      <c r="C36" s="708" t="s">
        <v>2834</v>
      </c>
      <c r="D36" s="709"/>
      <c r="E36" s="3029">
        <v>0.2</v>
      </c>
      <c r="F36" s="3028" t="s">
        <v>2875</v>
      </c>
      <c r="G36" s="3028"/>
    </row>
    <row r="37" spans="1:7" ht="19.5" customHeight="1">
      <c r="A37" s="3450"/>
      <c r="B37" s="3441" t="s">
        <v>2835</v>
      </c>
      <c r="C37" s="708" t="s">
        <v>2836</v>
      </c>
      <c r="D37" s="709"/>
      <c r="E37" s="3029">
        <v>0.6</v>
      </c>
      <c r="F37" s="3028" t="s">
        <v>2876</v>
      </c>
      <c r="G37" s="3028"/>
    </row>
    <row r="38" spans="1:7" ht="19.5" customHeight="1">
      <c r="A38" s="3450"/>
      <c r="B38" s="3443"/>
      <c r="C38" s="708" t="s">
        <v>2837</v>
      </c>
      <c r="D38" s="709"/>
      <c r="E38" s="3029">
        <v>0.6</v>
      </c>
      <c r="F38" s="3028" t="s">
        <v>2877</v>
      </c>
      <c r="G38" s="3028"/>
    </row>
    <row r="39" spans="1:7" ht="19.5" customHeight="1" thickBot="1">
      <c r="A39" s="3451"/>
      <c r="B39" s="3448"/>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4" t="s">
        <v>2841</v>
      </c>
      <c r="B41" s="3447" t="s">
        <v>2842</v>
      </c>
      <c r="C41" s="3025" t="s">
        <v>2843</v>
      </c>
      <c r="D41" s="3026"/>
      <c r="E41" s="3027">
        <v>1</v>
      </c>
      <c r="F41" s="3028" t="s">
        <v>2844</v>
      </c>
      <c r="G41" s="3028"/>
    </row>
    <row r="42" spans="1:7" ht="19.5" customHeight="1">
      <c r="A42" s="3445"/>
      <c r="B42" s="3443"/>
      <c r="C42" s="708" t="s">
        <v>2845</v>
      </c>
      <c r="D42" s="709"/>
      <c r="E42" s="3029">
        <v>1</v>
      </c>
      <c r="F42" s="3028" t="s">
        <v>2846</v>
      </c>
      <c r="G42" s="3028"/>
    </row>
    <row r="43" spans="1:7" ht="19.5" customHeight="1">
      <c r="A43" s="3445"/>
      <c r="B43" s="3442"/>
      <c r="C43" s="708" t="s">
        <v>2847</v>
      </c>
      <c r="D43" s="709"/>
      <c r="E43" s="3029">
        <v>1.5</v>
      </c>
      <c r="F43" s="3028" t="s">
        <v>2848</v>
      </c>
      <c r="G43" s="3028"/>
    </row>
    <row r="44" spans="1:7" ht="19.5" customHeight="1">
      <c r="A44" s="3445"/>
      <c r="B44" s="3038" t="s">
        <v>2808</v>
      </c>
      <c r="C44" s="708" t="s">
        <v>2807</v>
      </c>
      <c r="D44" s="709"/>
      <c r="E44" s="3029">
        <v>2</v>
      </c>
      <c r="F44" s="3028" t="s">
        <v>2849</v>
      </c>
      <c r="G44" s="3028"/>
    </row>
    <row r="45" spans="1:7" ht="19.5" customHeight="1">
      <c r="A45" s="3445"/>
      <c r="B45" s="3441" t="s">
        <v>2850</v>
      </c>
      <c r="C45" s="708" t="s">
        <v>2851</v>
      </c>
      <c r="D45" s="709"/>
      <c r="E45" s="3029">
        <v>1</v>
      </c>
      <c r="F45" s="3028" t="s">
        <v>2852</v>
      </c>
      <c r="G45" s="3028"/>
    </row>
    <row r="46" spans="1:7" ht="19.5" customHeight="1">
      <c r="A46" s="3445"/>
      <c r="B46" s="3443"/>
      <c r="C46" s="708" t="s">
        <v>2853</v>
      </c>
      <c r="D46" s="709"/>
      <c r="E46" s="3029">
        <v>1</v>
      </c>
      <c r="F46" s="3028" t="s">
        <v>2854</v>
      </c>
      <c r="G46" s="3028"/>
    </row>
    <row r="47" spans="1:7" ht="19.5" customHeight="1">
      <c r="A47" s="3445"/>
      <c r="B47" s="3443"/>
      <c r="C47" s="708" t="s">
        <v>2855</v>
      </c>
      <c r="D47" s="709"/>
      <c r="E47" s="3029">
        <v>1</v>
      </c>
      <c r="F47" s="3028" t="s">
        <v>2856</v>
      </c>
      <c r="G47" s="3028"/>
    </row>
    <row r="48" spans="1:7" ht="19.5" customHeight="1">
      <c r="A48" s="3445"/>
      <c r="B48" s="3443"/>
      <c r="C48" s="708" t="s">
        <v>2857</v>
      </c>
      <c r="D48" s="709"/>
      <c r="E48" s="3029">
        <v>1</v>
      </c>
      <c r="F48" s="3028" t="s">
        <v>2858</v>
      </c>
      <c r="G48" s="3028"/>
    </row>
    <row r="49" spans="1:7" ht="19.5" customHeight="1">
      <c r="A49" s="3445"/>
      <c r="B49" s="3443"/>
      <c r="C49" s="708" t="s">
        <v>2859</v>
      </c>
      <c r="D49" s="709"/>
      <c r="E49" s="3029">
        <v>1</v>
      </c>
      <c r="F49" s="3028" t="s">
        <v>2860</v>
      </c>
      <c r="G49" s="3028"/>
    </row>
    <row r="50" spans="1:7" ht="19.5" customHeight="1">
      <c r="A50" s="3445"/>
      <c r="B50" s="3443"/>
      <c r="C50" s="708" t="s">
        <v>2861</v>
      </c>
      <c r="D50" s="709"/>
      <c r="E50" s="3029">
        <v>1</v>
      </c>
      <c r="F50" s="3028" t="s">
        <v>2862</v>
      </c>
      <c r="G50" s="3028"/>
    </row>
    <row r="51" spans="1:7" ht="19.5" customHeight="1" thickBot="1">
      <c r="A51" s="3446"/>
      <c r="B51" s="3448"/>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41" t="s">
        <v>2881</v>
      </c>
      <c r="C73" s="3019" t="s">
        <v>2882</v>
      </c>
      <c r="D73" s="3019" t="s">
        <v>2883</v>
      </c>
      <c r="E73" s="3044">
        <v>0.2</v>
      </c>
      <c r="F73" s="3038">
        <v>25</v>
      </c>
    </row>
    <row r="74" spans="1:7" ht="24">
      <c r="A74" s="3038">
        <v>2</v>
      </c>
      <c r="B74" s="3443"/>
      <c r="C74" s="3019" t="s">
        <v>2884</v>
      </c>
      <c r="D74" s="3019" t="s">
        <v>2885</v>
      </c>
      <c r="E74" s="3044">
        <v>0.2</v>
      </c>
      <c r="F74" s="3038">
        <v>25</v>
      </c>
    </row>
    <row r="75" spans="1:7" ht="24">
      <c r="A75" s="3038">
        <v>3</v>
      </c>
      <c r="B75" s="3443"/>
      <c r="C75" s="3019" t="s">
        <v>2886</v>
      </c>
      <c r="D75" s="3019" t="s">
        <v>2887</v>
      </c>
      <c r="E75" s="3044">
        <v>0.2</v>
      </c>
      <c r="F75" s="3038">
        <v>25</v>
      </c>
    </row>
    <row r="76" spans="1:7" ht="14.4">
      <c r="A76" s="3038">
        <v>4</v>
      </c>
      <c r="B76" s="3443"/>
      <c r="C76" s="3019" t="s">
        <v>2888</v>
      </c>
      <c r="D76" s="3019" t="s">
        <v>2889</v>
      </c>
      <c r="E76" s="3044">
        <v>0.15</v>
      </c>
      <c r="F76" s="3038">
        <v>20</v>
      </c>
    </row>
    <row r="77" spans="1:7" ht="24">
      <c r="A77" s="3038">
        <v>5</v>
      </c>
      <c r="B77" s="3443"/>
      <c r="C77" s="3019" t="s">
        <v>2890</v>
      </c>
      <c r="D77" s="3019" t="s">
        <v>2891</v>
      </c>
      <c r="E77" s="3044">
        <v>0.15</v>
      </c>
      <c r="F77" s="3038">
        <v>20</v>
      </c>
    </row>
    <row r="78" spans="1:7" ht="24">
      <c r="A78" s="3038">
        <v>6</v>
      </c>
      <c r="B78" s="3443"/>
      <c r="C78" s="3019" t="s">
        <v>2892</v>
      </c>
      <c r="D78" s="3019" t="s">
        <v>2893</v>
      </c>
      <c r="E78" s="3044">
        <v>0.15</v>
      </c>
      <c r="F78" s="3038">
        <v>20</v>
      </c>
    </row>
    <row r="79" spans="1:7" ht="24">
      <c r="A79" s="3038">
        <v>7</v>
      </c>
      <c r="B79" s="3443"/>
      <c r="C79" s="3019" t="s">
        <v>2894</v>
      </c>
      <c r="D79" s="3019" t="s">
        <v>2895</v>
      </c>
      <c r="E79" s="3044">
        <v>0.15</v>
      </c>
      <c r="F79" s="3038">
        <v>20</v>
      </c>
    </row>
    <row r="80" spans="1:7" ht="24">
      <c r="A80" s="3038">
        <v>8</v>
      </c>
      <c r="B80" s="3443"/>
      <c r="C80" s="3019" t="s">
        <v>2896</v>
      </c>
      <c r="D80" s="3019" t="s">
        <v>2897</v>
      </c>
      <c r="E80" s="3044">
        <v>0.1</v>
      </c>
      <c r="F80" s="3038">
        <v>15</v>
      </c>
    </row>
    <row r="81" spans="1:6" ht="24">
      <c r="A81" s="3038">
        <v>9</v>
      </c>
      <c r="B81" s="3443"/>
      <c r="C81" s="3019" t="s">
        <v>2898</v>
      </c>
      <c r="D81" s="3019" t="s">
        <v>2899</v>
      </c>
      <c r="E81" s="3044">
        <v>0.1</v>
      </c>
      <c r="F81" s="3038">
        <v>15</v>
      </c>
    </row>
    <row r="82" spans="1:6" ht="24">
      <c r="A82" s="3038">
        <v>10</v>
      </c>
      <c r="B82" s="3443"/>
      <c r="C82" s="3019" t="s">
        <v>2900</v>
      </c>
      <c r="D82" s="3019" t="s">
        <v>2901</v>
      </c>
      <c r="E82" s="3044">
        <v>0.1</v>
      </c>
      <c r="F82" s="3038">
        <v>15</v>
      </c>
    </row>
    <row r="83" spans="1:6" ht="24">
      <c r="A83" s="3038">
        <v>11</v>
      </c>
      <c r="B83" s="3443"/>
      <c r="C83" s="3019" t="s">
        <v>2902</v>
      </c>
      <c r="D83" s="3019" t="s">
        <v>2903</v>
      </c>
      <c r="E83" s="3044">
        <v>0.1</v>
      </c>
      <c r="F83" s="3038">
        <v>15</v>
      </c>
    </row>
    <row r="84" spans="1:6" ht="24">
      <c r="A84" s="3038">
        <v>12</v>
      </c>
      <c r="B84" s="3443"/>
      <c r="C84" s="3019" t="s">
        <v>2904</v>
      </c>
      <c r="D84" s="3019" t="s">
        <v>2905</v>
      </c>
      <c r="E84" s="3044">
        <v>0.1</v>
      </c>
      <c r="F84" s="3038">
        <v>15</v>
      </c>
    </row>
    <row r="85" spans="1:6" ht="24">
      <c r="A85" s="3038">
        <v>13</v>
      </c>
      <c r="B85" s="3443"/>
      <c r="C85" s="3019" t="s">
        <v>2906</v>
      </c>
      <c r="D85" s="3019" t="s">
        <v>2907</v>
      </c>
      <c r="E85" s="3044">
        <v>0.1</v>
      </c>
      <c r="F85" s="3038">
        <v>15</v>
      </c>
    </row>
    <row r="86" spans="1:6" ht="24">
      <c r="A86" s="3038">
        <v>14</v>
      </c>
      <c r="B86" s="3443"/>
      <c r="C86" s="3019" t="s">
        <v>2908</v>
      </c>
      <c r="D86" s="3019" t="s">
        <v>2909</v>
      </c>
      <c r="E86" s="3044">
        <v>0.1</v>
      </c>
      <c r="F86" s="3038">
        <v>15</v>
      </c>
    </row>
    <row r="87" spans="1:6" ht="24">
      <c r="A87" s="3038">
        <v>15</v>
      </c>
      <c r="B87" s="3443"/>
      <c r="C87" s="3019" t="s">
        <v>2910</v>
      </c>
      <c r="D87" s="3019" t="s">
        <v>2911</v>
      </c>
      <c r="E87" s="3044">
        <v>0.1</v>
      </c>
      <c r="F87" s="3038">
        <v>15</v>
      </c>
    </row>
    <row r="88" spans="1:6" ht="24">
      <c r="A88" s="3038">
        <v>16</v>
      </c>
      <c r="B88" s="3443"/>
      <c r="C88" s="3019" t="s">
        <v>2912</v>
      </c>
      <c r="D88" s="3019" t="s">
        <v>2913</v>
      </c>
      <c r="E88" s="3044">
        <v>0.1</v>
      </c>
      <c r="F88" s="3038">
        <v>15</v>
      </c>
    </row>
    <row r="89" spans="1:6" ht="24">
      <c r="A89" s="3038">
        <v>17</v>
      </c>
      <c r="B89" s="3442"/>
      <c r="C89" s="3019" t="s">
        <v>2914</v>
      </c>
      <c r="D89" s="3019" t="s">
        <v>2915</v>
      </c>
      <c r="E89" s="3044">
        <v>0.1</v>
      </c>
      <c r="F89" s="3038">
        <v>15</v>
      </c>
    </row>
    <row r="90" spans="1:6" ht="14.4">
      <c r="A90" s="3038">
        <v>18</v>
      </c>
      <c r="B90" s="3441" t="s">
        <v>2916</v>
      </c>
      <c r="C90" s="3019" t="s">
        <v>2917</v>
      </c>
      <c r="D90" s="3019" t="s">
        <v>2918</v>
      </c>
      <c r="E90" s="3044">
        <v>0.2</v>
      </c>
      <c r="F90" s="3038">
        <v>25</v>
      </c>
    </row>
    <row r="91" spans="1:6" ht="24">
      <c r="A91" s="3038">
        <v>19</v>
      </c>
      <c r="B91" s="3443"/>
      <c r="C91" s="3019" t="s">
        <v>2919</v>
      </c>
      <c r="D91" s="3019" t="s">
        <v>2920</v>
      </c>
      <c r="E91" s="3044">
        <v>0.2</v>
      </c>
      <c r="F91" s="3038">
        <v>25</v>
      </c>
    </row>
    <row r="92" spans="1:6" ht="14.4">
      <c r="A92" s="3038">
        <v>20</v>
      </c>
      <c r="B92" s="3443"/>
      <c r="C92" s="3019" t="s">
        <v>2921</v>
      </c>
      <c r="D92" s="3019" t="s">
        <v>2922</v>
      </c>
      <c r="E92" s="3044">
        <v>0.15</v>
      </c>
      <c r="F92" s="3038">
        <v>20</v>
      </c>
    </row>
    <row r="93" spans="1:6" ht="24">
      <c r="A93" s="3038">
        <v>21</v>
      </c>
      <c r="B93" s="3443"/>
      <c r="C93" s="3019" t="s">
        <v>2923</v>
      </c>
      <c r="D93" s="3019" t="s">
        <v>2924</v>
      </c>
      <c r="E93" s="3044">
        <v>0.15</v>
      </c>
      <c r="F93" s="3038">
        <v>20</v>
      </c>
    </row>
    <row r="94" spans="1:6" ht="24">
      <c r="A94" s="3038">
        <v>22</v>
      </c>
      <c r="B94" s="3443"/>
      <c r="C94" s="3019" t="s">
        <v>2925</v>
      </c>
      <c r="D94" s="3019" t="s">
        <v>2926</v>
      </c>
      <c r="E94" s="3044">
        <v>0.15</v>
      </c>
      <c r="F94" s="3038">
        <v>20</v>
      </c>
    </row>
    <row r="95" spans="1:6" ht="36">
      <c r="A95" s="3038">
        <v>23</v>
      </c>
      <c r="B95" s="3443"/>
      <c r="C95" s="3019" t="s">
        <v>2927</v>
      </c>
      <c r="D95" s="3019" t="s">
        <v>2928</v>
      </c>
      <c r="E95" s="3044">
        <v>0.15</v>
      </c>
      <c r="F95" s="3038">
        <v>20</v>
      </c>
    </row>
    <row r="96" spans="1:6" ht="24">
      <c r="A96" s="3038">
        <v>24</v>
      </c>
      <c r="B96" s="3443"/>
      <c r="C96" s="3019" t="s">
        <v>2929</v>
      </c>
      <c r="D96" s="3019" t="s">
        <v>2930</v>
      </c>
      <c r="E96" s="3044">
        <v>0.1</v>
      </c>
      <c r="F96" s="3038">
        <v>15</v>
      </c>
    </row>
    <row r="97" spans="1:6" ht="24">
      <c r="A97" s="3038">
        <v>25</v>
      </c>
      <c r="B97" s="3443"/>
      <c r="C97" s="3019" t="s">
        <v>2931</v>
      </c>
      <c r="D97" s="3019" t="s">
        <v>2932</v>
      </c>
      <c r="E97" s="3044">
        <v>0.1</v>
      </c>
      <c r="F97" s="3038">
        <v>15</v>
      </c>
    </row>
    <row r="98" spans="1:6" ht="24">
      <c r="A98" s="3038">
        <v>26</v>
      </c>
      <c r="B98" s="3443"/>
      <c r="C98" s="3019" t="s">
        <v>2933</v>
      </c>
      <c r="D98" s="3019" t="s">
        <v>2934</v>
      </c>
      <c r="E98" s="3044">
        <v>0.1</v>
      </c>
      <c r="F98" s="3038">
        <v>15</v>
      </c>
    </row>
    <row r="99" spans="1:6" ht="24">
      <c r="A99" s="3038">
        <v>27</v>
      </c>
      <c r="B99" s="3443"/>
      <c r="C99" s="3019" t="s">
        <v>2935</v>
      </c>
      <c r="D99" s="3019" t="s">
        <v>2936</v>
      </c>
      <c r="E99" s="3044">
        <v>0.1</v>
      </c>
      <c r="F99" s="3038">
        <v>15</v>
      </c>
    </row>
    <row r="100" spans="1:6" ht="24">
      <c r="A100" s="3038">
        <v>28</v>
      </c>
      <c r="B100" s="3443"/>
      <c r="C100" s="3019" t="s">
        <v>2937</v>
      </c>
      <c r="D100" s="3019" t="s">
        <v>2938</v>
      </c>
      <c r="E100" s="3044">
        <v>0.1</v>
      </c>
      <c r="F100" s="3038">
        <v>15</v>
      </c>
    </row>
    <row r="101" spans="1:6" ht="24">
      <c r="A101" s="3038">
        <v>29</v>
      </c>
      <c r="B101" s="3443"/>
      <c r="C101" s="3019" t="s">
        <v>2939</v>
      </c>
      <c r="D101" s="3019" t="s">
        <v>2940</v>
      </c>
      <c r="E101" s="3044">
        <v>0.1</v>
      </c>
      <c r="F101" s="3038">
        <v>15</v>
      </c>
    </row>
    <row r="102" spans="1:6" ht="24">
      <c r="A102" s="3038">
        <v>30</v>
      </c>
      <c r="B102" s="3443"/>
      <c r="C102" s="3019" t="s">
        <v>2941</v>
      </c>
      <c r="D102" s="3019" t="s">
        <v>2942</v>
      </c>
      <c r="E102" s="3044">
        <v>0.1</v>
      </c>
      <c r="F102" s="3038">
        <v>15</v>
      </c>
    </row>
    <row r="103" spans="1:6" ht="24">
      <c r="A103" s="3038">
        <v>31</v>
      </c>
      <c r="B103" s="3443"/>
      <c r="C103" s="3019" t="s">
        <v>2943</v>
      </c>
      <c r="D103" s="3019" t="s">
        <v>2944</v>
      </c>
      <c r="E103" s="3044">
        <v>0.1</v>
      </c>
      <c r="F103" s="3038">
        <v>15</v>
      </c>
    </row>
    <row r="104" spans="1:6" ht="24">
      <c r="A104" s="3038">
        <v>32</v>
      </c>
      <c r="B104" s="3443"/>
      <c r="C104" s="3019" t="s">
        <v>2945</v>
      </c>
      <c r="D104" s="3019" t="s">
        <v>2946</v>
      </c>
      <c r="E104" s="3044">
        <v>0.1</v>
      </c>
      <c r="F104" s="3038">
        <v>15</v>
      </c>
    </row>
    <row r="105" spans="1:6" ht="24">
      <c r="A105" s="3038">
        <v>33</v>
      </c>
      <c r="B105" s="3443"/>
      <c r="C105" s="3019" t="s">
        <v>2947</v>
      </c>
      <c r="D105" s="3019" t="s">
        <v>2948</v>
      </c>
      <c r="E105" s="3044">
        <v>0.1</v>
      </c>
      <c r="F105" s="3038">
        <v>15</v>
      </c>
    </row>
    <row r="106" spans="1:6" ht="24">
      <c r="A106" s="3038">
        <v>34</v>
      </c>
      <c r="B106" s="3442"/>
      <c r="C106" s="3019" t="s">
        <v>2949</v>
      </c>
      <c r="D106" s="3019" t="s">
        <v>2950</v>
      </c>
      <c r="E106" s="3044">
        <v>0.1</v>
      </c>
      <c r="F106" s="3038">
        <v>15</v>
      </c>
    </row>
    <row r="107" spans="1:6" ht="36">
      <c r="A107" s="3038">
        <v>35</v>
      </c>
      <c r="B107" s="3441" t="s">
        <v>2951</v>
      </c>
      <c r="C107" s="3038" t="s">
        <v>2952</v>
      </c>
      <c r="D107" s="3019" t="s">
        <v>2953</v>
      </c>
      <c r="E107" s="3044">
        <v>0.15</v>
      </c>
      <c r="F107" s="3038">
        <v>20</v>
      </c>
    </row>
    <row r="108" spans="1:6" ht="24">
      <c r="A108" s="3038">
        <v>36</v>
      </c>
      <c r="B108" s="3443"/>
      <c r="C108" s="3038" t="s">
        <v>2954</v>
      </c>
      <c r="D108" s="3019" t="s">
        <v>2955</v>
      </c>
      <c r="E108" s="3044">
        <v>0.15</v>
      </c>
      <c r="F108" s="3038">
        <v>20</v>
      </c>
    </row>
    <row r="109" spans="1:6" ht="24">
      <c r="A109" s="3038">
        <v>37</v>
      </c>
      <c r="B109" s="3443"/>
      <c r="C109" s="3038" t="s">
        <v>2956</v>
      </c>
      <c r="D109" s="3019" t="s">
        <v>2957</v>
      </c>
      <c r="E109" s="3044">
        <v>0.15</v>
      </c>
      <c r="F109" s="3038">
        <v>20</v>
      </c>
    </row>
    <row r="110" spans="1:6" ht="24">
      <c r="A110" s="3038">
        <v>38</v>
      </c>
      <c r="B110" s="3443"/>
      <c r="C110" s="3038" t="s">
        <v>2958</v>
      </c>
      <c r="D110" s="3019" t="s">
        <v>2959</v>
      </c>
      <c r="E110" s="3044">
        <v>0.1</v>
      </c>
      <c r="F110" s="3038">
        <v>15</v>
      </c>
    </row>
    <row r="111" spans="1:6" ht="24">
      <c r="A111" s="3038">
        <v>39</v>
      </c>
      <c r="B111" s="3443"/>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40" t="s">
        <v>2964</v>
      </c>
      <c r="C113" s="3038" t="s">
        <v>2965</v>
      </c>
      <c r="D113" s="3019" t="s">
        <v>2966</v>
      </c>
      <c r="E113" s="3044">
        <v>0.1</v>
      </c>
      <c r="F113" s="3038">
        <v>15</v>
      </c>
    </row>
    <row r="114" spans="1:6" ht="24">
      <c r="A114" s="3038">
        <v>42</v>
      </c>
      <c r="B114" s="3440"/>
      <c r="C114" s="3038" t="s">
        <v>2967</v>
      </c>
      <c r="D114" s="3019" t="s">
        <v>2968</v>
      </c>
      <c r="E114" s="3044">
        <v>0.1</v>
      </c>
      <c r="F114" s="3038">
        <v>15</v>
      </c>
    </row>
    <row r="115" spans="1:6" ht="24">
      <c r="A115" s="3038">
        <v>43</v>
      </c>
      <c r="B115" s="3440"/>
      <c r="C115" s="3038" t="s">
        <v>2969</v>
      </c>
      <c r="D115" s="3019" t="s">
        <v>2970</v>
      </c>
      <c r="E115" s="3044">
        <v>0.1</v>
      </c>
      <c r="F115" s="3038">
        <v>15</v>
      </c>
    </row>
    <row r="116" spans="1:6" ht="24">
      <c r="A116" s="3038">
        <v>44</v>
      </c>
      <c r="B116" s="3441"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1"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1" t="s">
        <v>2981</v>
      </c>
      <c r="C120" s="3038" t="s">
        <v>2982</v>
      </c>
      <c r="D120" s="3019" t="s">
        <v>2983</v>
      </c>
      <c r="E120" s="3044">
        <v>0.1</v>
      </c>
      <c r="F120" s="3038">
        <v>15</v>
      </c>
    </row>
    <row r="121" spans="1:6" ht="24">
      <c r="A121" s="3038">
        <v>49</v>
      </c>
      <c r="B121" s="3442"/>
      <c r="C121" s="3038" t="s">
        <v>2984</v>
      </c>
      <c r="D121" s="3019" t="s">
        <v>2985</v>
      </c>
      <c r="E121" s="3044">
        <v>0.1</v>
      </c>
      <c r="F121" s="3038">
        <v>15</v>
      </c>
    </row>
    <row r="122" spans="1:6" ht="24">
      <c r="A122" s="3038">
        <v>50</v>
      </c>
      <c r="B122" s="3440" t="s">
        <v>2986</v>
      </c>
      <c r="C122" s="3038" t="s">
        <v>2987</v>
      </c>
      <c r="D122" s="3019" t="s">
        <v>2988</v>
      </c>
      <c r="E122" s="3044">
        <v>0.1</v>
      </c>
      <c r="F122" s="3038">
        <v>15</v>
      </c>
    </row>
    <row r="123" spans="1:6" ht="24">
      <c r="A123" s="3038">
        <v>51</v>
      </c>
      <c r="B123" s="3440"/>
      <c r="C123" s="3038" t="s">
        <v>2989</v>
      </c>
      <c r="D123" s="3019" t="s">
        <v>2990</v>
      </c>
      <c r="E123" s="3044">
        <v>0.1</v>
      </c>
      <c r="F123" s="3038">
        <v>15</v>
      </c>
    </row>
    <row r="124" spans="1:6" ht="24">
      <c r="A124" s="3038">
        <v>52</v>
      </c>
      <c r="B124" s="3440" t="s">
        <v>2991</v>
      </c>
      <c r="C124" s="3038" t="s">
        <v>2992</v>
      </c>
      <c r="D124" s="3019" t="s">
        <v>2993</v>
      </c>
      <c r="E124" s="3044">
        <v>0.1</v>
      </c>
      <c r="F124" s="3038">
        <v>15</v>
      </c>
    </row>
    <row r="125" spans="1:6" ht="24">
      <c r="A125" s="3038">
        <v>53</v>
      </c>
      <c r="B125" s="3440"/>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40" t="s">
        <v>2999</v>
      </c>
      <c r="C127" s="3038" t="s">
        <v>3000</v>
      </c>
      <c r="D127" s="3019" t="s">
        <v>3001</v>
      </c>
      <c r="E127" s="3044">
        <v>0.1</v>
      </c>
      <c r="F127" s="3038">
        <v>15</v>
      </c>
    </row>
    <row r="128" spans="1:6" ht="24">
      <c r="A128" s="3038">
        <v>56</v>
      </c>
      <c r="B128" s="3440"/>
      <c r="C128" s="3038" t="s">
        <v>3002</v>
      </c>
      <c r="D128" s="3019" t="s">
        <v>3003</v>
      </c>
      <c r="E128" s="3044">
        <v>0.1</v>
      </c>
      <c r="F128" s="3038">
        <v>15</v>
      </c>
    </row>
    <row r="129" spans="1:6" ht="24">
      <c r="A129" s="3038">
        <v>57</v>
      </c>
      <c r="B129" s="3440"/>
      <c r="C129" s="3038" t="s">
        <v>3004</v>
      </c>
      <c r="D129" s="3019" t="s">
        <v>3005</v>
      </c>
      <c r="E129" s="3044">
        <v>0.1</v>
      </c>
      <c r="F129" s="3038">
        <v>15</v>
      </c>
    </row>
    <row r="130" spans="1:6" ht="24">
      <c r="A130" s="3038">
        <v>58</v>
      </c>
      <c r="B130" s="3440" t="s">
        <v>3006</v>
      </c>
      <c r="C130" s="3038" t="s">
        <v>3007</v>
      </c>
      <c r="D130" s="3019" t="s">
        <v>3008</v>
      </c>
      <c r="E130" s="3044">
        <v>0.1</v>
      </c>
      <c r="F130" s="3038">
        <v>15</v>
      </c>
    </row>
    <row r="131" spans="1:6" ht="24">
      <c r="A131" s="3038">
        <v>59</v>
      </c>
      <c r="B131" s="3440"/>
      <c r="C131" s="3038" t="s">
        <v>3009</v>
      </c>
      <c r="D131" s="3019" t="s">
        <v>3010</v>
      </c>
      <c r="E131" s="3044">
        <v>0.1</v>
      </c>
      <c r="F131" s="3038">
        <v>15</v>
      </c>
    </row>
    <row r="132" spans="1:6" ht="24">
      <c r="A132" s="3038">
        <v>60</v>
      </c>
      <c r="B132" s="3441"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40" t="s">
        <v>3019</v>
      </c>
      <c r="C135" s="3038" t="s">
        <v>3020</v>
      </c>
      <c r="D135" s="3019" t="s">
        <v>3021</v>
      </c>
      <c r="E135" s="3044">
        <v>0.1</v>
      </c>
      <c r="F135" s="3038">
        <v>15</v>
      </c>
    </row>
    <row r="136" spans="1:6" ht="24">
      <c r="A136" s="3038">
        <v>64</v>
      </c>
      <c r="B136" s="3440"/>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57" t="s">
        <v>782</v>
      </c>
      <c r="C1" s="3457"/>
      <c r="D1" s="3457"/>
      <c r="E1" s="3457"/>
      <c r="F1" s="3457"/>
      <c r="G1" s="3456" t="s">
        <v>783</v>
      </c>
      <c r="H1" s="3456"/>
      <c r="I1" s="3456"/>
      <c r="J1" s="3456"/>
      <c r="K1" s="3456"/>
      <c r="L1" s="3456"/>
      <c r="N1" s="3456" t="s">
        <v>784</v>
      </c>
      <c r="O1" s="3456"/>
      <c r="P1" s="3456"/>
      <c r="Q1" s="3456"/>
      <c r="S1" s="3456" t="s">
        <v>785</v>
      </c>
      <c r="T1" s="3456"/>
      <c r="U1" s="3456"/>
      <c r="V1" s="3456"/>
      <c r="X1" s="3455" t="s">
        <v>786</v>
      </c>
      <c r="Y1" s="3456"/>
      <c r="Z1" s="3456"/>
      <c r="AA1" s="3456"/>
      <c r="AB1" s="3456"/>
      <c r="AD1" s="3455" t="s">
        <v>787</v>
      </c>
      <c r="AE1" s="3456"/>
      <c r="AF1" s="3456"/>
      <c r="AG1" s="3456"/>
      <c r="AH1" s="3456"/>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3">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3"/>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3"/>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3"/>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3"/>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3"/>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3"/>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4"/>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52">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3"/>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3"/>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4"/>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52">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3"/>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3"/>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4"/>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52">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3"/>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3"/>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54"/>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52">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3">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3">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4">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52">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3">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3">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4">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52">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3">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3">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4">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52">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3">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3">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4">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52">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3">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3">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4">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52">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3">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3">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4">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52">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3">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3">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4">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52">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3">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3">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4">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52">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3">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3">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54">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52">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3">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3">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54">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44908</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O11"/>
  <sheetViews>
    <sheetView topLeftCell="A25" workbookViewId="0">
      <selection activeCell="A31" sqref="A31"/>
    </sheetView>
  </sheetViews>
  <sheetFormatPr defaultRowHeight="14.4"/>
  <cols>
    <col min="9" max="9" width="10.5546875" bestFit="1" customWidth="1"/>
  </cols>
  <sheetData>
    <row r="11" spans="15:15">
      <c r="O11" s="1207"/>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1"/>
      <c r="C2" s="3061"/>
      <c r="D2" s="3061"/>
      <c r="E2" s="3061"/>
    </row>
    <row r="3" spans="1:5" ht="13.5" customHeight="1">
      <c r="A3" s="1223"/>
      <c r="B3" s="1223"/>
      <c r="C3" s="1223"/>
      <c r="D3" s="1223"/>
      <c r="E3" s="1223"/>
    </row>
    <row r="4" spans="1:5" ht="18" thickBot="1">
      <c r="A4" s="3062" t="str">
        <f>IF(项目基本情况!D5="房地产市场价值","估价结果一览表（市场价值不需本页表格)","估价结果一览表")</f>
        <v>估价结果一览表</v>
      </c>
      <c r="B4" s="3062"/>
      <c r="C4" s="3062"/>
      <c r="D4" s="3062"/>
      <c r="E4" s="3062"/>
    </row>
    <row r="5" spans="1:5" ht="14.25" customHeight="1" thickTop="1">
      <c r="B5" s="1224" t="s">
        <v>562</v>
      </c>
      <c r="C5" s="3063" t="s">
        <v>593</v>
      </c>
      <c r="D5" s="3064"/>
    </row>
    <row r="6" spans="1:5" ht="15.6">
      <c r="B6" s="1225" t="str">
        <f>项目基本情况!I1</f>
        <v>北京市房地产</v>
      </c>
      <c r="C6" s="3065">
        <f>项目基本情况!C12</f>
        <v>455.84</v>
      </c>
      <c r="D6" s="3065"/>
    </row>
    <row r="7" spans="1:5" ht="15.6">
      <c r="B7" s="3059" t="s">
        <v>594</v>
      </c>
      <c r="C7" s="1226" t="str">
        <f>IF('数据-取费表'!B3="万元","总价（万元）","总价（元）")</f>
        <v>总价（元）</v>
      </c>
      <c r="D7" s="1227">
        <f>IF('数据-取费表'!E3="否",结果表!I102,'结果表 (1修多)'!I104)</f>
        <v>0</v>
      </c>
    </row>
    <row r="8" spans="1:5" ht="15.6">
      <c r="B8" s="3059"/>
      <c r="C8" s="1228" t="s">
        <v>924</v>
      </c>
      <c r="D8" s="1229" t="str">
        <f>IF('数据-取费表'!B3="万元",NUMBERSTRING(INT(D7*10000),2)&amp;"元整",NUMBERSTRING(INT(D7),2)&amp;"元整")</f>
        <v>零元整</v>
      </c>
    </row>
    <row r="9" spans="1:5" ht="15.6">
      <c r="B9" s="3059"/>
      <c r="C9" s="1230" t="s">
        <v>1020</v>
      </c>
      <c r="D9" s="1227" t="e">
        <f>IF('数据-取费表'!E3="否",结果表!I103,'结果表 (1修多)'!I105)</f>
        <v>#DIV/0!</v>
      </c>
    </row>
    <row r="10" spans="1:5" ht="15.6">
      <c r="B10" s="3066" t="str">
        <f>IF('数据-取费表'!E3="否",结果表!F105,'结果表 (1修多)'!F107)</f>
        <v>2.估价师所知悉的法定优先受偿款</v>
      </c>
      <c r="C10" s="1231" t="str">
        <f>IF('数据-取费表'!B3="万元","总额（万元）","总额（元）")</f>
        <v>总额（元）</v>
      </c>
      <c r="D10" s="1227">
        <f>IF('数据-取费表'!E3="否",结果表!I105,'结果表 (1修多)'!I107)</f>
        <v>0</v>
      </c>
    </row>
    <row r="11" spans="1:5" ht="15.6">
      <c r="B11" s="3066"/>
      <c r="C11" s="1228" t="s">
        <v>924</v>
      </c>
      <c r="D11" s="1229" t="str">
        <f>IF('数据-取费表'!B3="万元",NUMBERSTRING(INT(D10*10000),2)&amp;"元整",NUMBERSTRING(INT(D10),2)&amp;"元整")</f>
        <v>零元整</v>
      </c>
    </row>
    <row r="12" spans="1:5" ht="15.6">
      <c r="B12" s="1232" t="s">
        <v>563</v>
      </c>
      <c r="C12" s="1233" t="str">
        <f>C10</f>
        <v>总额（元）</v>
      </c>
      <c r="D12" s="1234">
        <f>IF('数据-取费表'!E3="否",结果表!I106,'结果表 (1修多)'!I108)</f>
        <v>0</v>
      </c>
    </row>
    <row r="13" spans="1:5" ht="15.6">
      <c r="B13" s="1232" t="s">
        <v>564</v>
      </c>
      <c r="C13" s="1233" t="str">
        <f>C10</f>
        <v>总额（元）</v>
      </c>
      <c r="D13" s="1234">
        <f>IF('数据-取费表'!E3="否",结果表!I107,'结果表 (1修多)'!I109)</f>
        <v>0</v>
      </c>
    </row>
    <row r="14" spans="1:5" ht="15.6">
      <c r="B14" s="1232" t="s">
        <v>565</v>
      </c>
      <c r="C14" s="1233" t="str">
        <f>C10</f>
        <v>总额（元）</v>
      </c>
      <c r="D14" s="1234">
        <f>IF('数据-取费表'!E3="否",结果表!I108,'结果表 (1修多)'!I110)</f>
        <v>0</v>
      </c>
    </row>
    <row r="15" spans="1:5" ht="15.6">
      <c r="B15" s="3066" t="str">
        <f>IF('数据-取费表'!E3="否",结果表!F110,'结果表 (1修多)'!F112)</f>
        <v>3.房地产抵押价值</v>
      </c>
      <c r="C15" s="1221" t="str">
        <f>C7</f>
        <v>总价（元）</v>
      </c>
      <c r="D15" s="1227">
        <f>IF('数据-取费表'!E3="否",结果表!I110,'结果表 (1修多)'!I112)</f>
        <v>0</v>
      </c>
    </row>
    <row r="16" spans="1:5" ht="15.6">
      <c r="B16" s="3066"/>
      <c r="C16" s="1228" t="s">
        <v>924</v>
      </c>
      <c r="D16" s="1227" t="str">
        <f>IF('数据-取费表'!B3="万元",NUMBERSTRING(INT(D15*10000),2)&amp;"元整",NUMBERSTRING(INT(D15),2)&amp;"元整")</f>
        <v>零元整</v>
      </c>
    </row>
    <row r="17" spans="2:4" ht="15.6">
      <c r="B17" s="3066"/>
      <c r="C17" s="1230" t="s">
        <v>1020</v>
      </c>
      <c r="D17" s="1227" t="e">
        <f>IF('数据-取费表'!E3="否",结果表!I111,'结果表 (1修多)'!I113)</f>
        <v>#DIV/0!</v>
      </c>
    </row>
    <row r="18" spans="2:4" ht="15.6">
      <c r="B18" s="3066" t="str">
        <f>IF('数据-取费表'!E3="否",结果表!F112,'结果表 (1修多)'!F114)</f>
        <v>——</v>
      </c>
      <c r="C18" s="1221" t="str">
        <f>C7</f>
        <v>总价（元）</v>
      </c>
      <c r="D18" s="1227" t="str">
        <f>IF('数据-取费表'!E3="否",结果表!I112,'结果表 (1修多)'!I114)</f>
        <v>——</v>
      </c>
    </row>
    <row r="19" spans="2:4" ht="15.6">
      <c r="B19" s="3066"/>
      <c r="C19" s="1228" t="s">
        <v>924</v>
      </c>
      <c r="D19" s="1227" t="e">
        <f>IF('数据-取费表'!B3="万元",NUMBERSTRING(INT(D18*10000),2)&amp;"元整",NUMBERSTRING(INT(D18),2)&amp;"元整")</f>
        <v>#VALUE!</v>
      </c>
    </row>
    <row r="20" spans="2:4" ht="15.6">
      <c r="B20" s="3066"/>
      <c r="C20" s="1230" t="s">
        <v>1020</v>
      </c>
      <c r="D20" s="1227" t="str">
        <f>IF('数据-取费表'!E3="否",结果表!I113,'结果表 (1修多)'!I115)</f>
        <v>——</v>
      </c>
    </row>
    <row r="21" spans="2:4" ht="15.6">
      <c r="B21" s="3059" t="str">
        <f>IF('数据-取费表'!E3="否",结果表!F114,'结果表 (1修多)'!F116)</f>
        <v>——</v>
      </c>
      <c r="C21" s="1226" t="str">
        <f>C7</f>
        <v>总价（元）</v>
      </c>
      <c r="D21" s="1227" t="str">
        <f>IF('数据-取费表'!E3="否",结果表!I114,'结果表 (1修多)'!I116)</f>
        <v>——</v>
      </c>
    </row>
    <row r="22" spans="2:4" ht="15.6">
      <c r="B22" s="3059"/>
      <c r="C22" s="1228" t="s">
        <v>924</v>
      </c>
      <c r="D22" s="1229" t="e">
        <f>IF('数据-取费表'!B3="万元",NUMBERSTRING(INT(D21*10000),2)&amp;"元整",NUMBERSTRING(INT(D21),2)&amp;"元整")</f>
        <v>#VALUE!</v>
      </c>
    </row>
    <row r="23" spans="2:4" ht="16.2" thickBot="1">
      <c r="B23" s="3060"/>
      <c r="C23" s="1235" t="s">
        <v>1020</v>
      </c>
      <c r="D23" s="1236" t="str">
        <f>IF('数据-取费表'!E3="否",结果表!I115,'结果表 (1修多)'!I117)</f>
        <v>——</v>
      </c>
    </row>
    <row r="24" spans="2:4" ht="15" thickTop="1"/>
    <row r="25" spans="2:4" ht="18.75" customHeight="1" thickBot="1">
      <c r="B25" s="3074" t="s">
        <v>1021</v>
      </c>
      <c r="C25" s="3074"/>
      <c r="D25" s="3074"/>
    </row>
    <row r="26" spans="2:4" ht="18.75" customHeight="1" thickTop="1">
      <c r="B26" s="3077" t="s">
        <v>923</v>
      </c>
      <c r="C26" s="3078"/>
      <c r="D26" s="3075" t="s">
        <v>922</v>
      </c>
    </row>
    <row r="27" spans="2:4" ht="18.75" customHeight="1">
      <c r="B27" s="3079"/>
      <c r="C27" s="3080"/>
      <c r="D27" s="3076"/>
    </row>
    <row r="28" spans="2:4" ht="15.6">
      <c r="B28" s="3067" t="s">
        <v>594</v>
      </c>
      <c r="C28" s="1237" t="s">
        <v>925</v>
      </c>
      <c r="D28" s="1238">
        <f>IF('数据-取费表'!E3="否",结果表!I102,'结果表 (1修多)'!I104)</f>
        <v>0</v>
      </c>
    </row>
    <row r="29" spans="2:4" ht="15.6">
      <c r="B29" s="3068"/>
      <c r="C29" s="1239" t="s">
        <v>924</v>
      </c>
      <c r="D29" s="1240" t="str">
        <f>IF('数据-取费表'!B3="万元",NUMBERSTRING(INT(D28*10000),2)&amp;"元整",NUMBERSTRING(INT(D28),2)&amp;"元整")</f>
        <v>零元整</v>
      </c>
    </row>
    <row r="30" spans="2:4" ht="15.6">
      <c r="B30" s="3069"/>
      <c r="C30" s="1230" t="s">
        <v>927</v>
      </c>
      <c r="D30" s="1241" t="e">
        <f>IF('数据-取费表'!E3="否",结果表!I103,'结果表 (1修多)'!I105)</f>
        <v>#DIV/0!</v>
      </c>
    </row>
    <row r="31" spans="2:4" ht="15.6">
      <c r="B31" s="3072" t="str">
        <f>B10</f>
        <v>2.估价师所知悉的法定优先受偿款</v>
      </c>
      <c r="C31" s="1242" t="s">
        <v>926</v>
      </c>
      <c r="D31" s="1243">
        <f>IF('数据-取费表'!E3="否",结果表!I105,'结果表 (1修多)'!I107)</f>
        <v>0</v>
      </c>
    </row>
    <row r="32" spans="2:4" ht="15.6">
      <c r="B32" s="3081"/>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70" t="str">
        <f>B15</f>
        <v>3.房地产抵押价值</v>
      </c>
      <c r="C36" s="1242" t="str">
        <f>C28</f>
        <v>总价</v>
      </c>
      <c r="D36" s="1243">
        <f>IF('数据-取费表'!E3="否",结果表!I110,'结果表 (1修多)'!I112)</f>
        <v>0</v>
      </c>
    </row>
    <row r="37" spans="2:4" ht="15.6">
      <c r="B37" s="3070"/>
      <c r="C37" s="1239" t="s">
        <v>924</v>
      </c>
      <c r="D37" s="1229" t="str">
        <f>IF('数据-取费表'!B3="万元",NUMBERSTRING(INT(D36*10000),2)&amp;"元整",NUMBERSTRING(INT(D36),2)&amp;"元整")</f>
        <v>零元整</v>
      </c>
    </row>
    <row r="38" spans="2:4" ht="15.6">
      <c r="B38" s="3070"/>
      <c r="C38" s="1230" t="s">
        <v>928</v>
      </c>
      <c r="D38" s="1241" t="e">
        <f>IF('数据-取费表'!E3="否",结果表!D113,'结果表 (1修多)'!D117)</f>
        <v>#DIV/0!</v>
      </c>
    </row>
    <row r="39" spans="2:4" ht="15.6">
      <c r="B39" s="3071" t="str">
        <f>B18</f>
        <v>——</v>
      </c>
      <c r="C39" s="1242" t="str">
        <f>C28</f>
        <v>总价</v>
      </c>
      <c r="D39" s="1243" t="str">
        <f>IF('数据-取费表'!E3="否",结果表!I112,'结果表 (1修多)'!I114)</f>
        <v>——</v>
      </c>
    </row>
    <row r="40" spans="2:4" ht="15.6">
      <c r="B40" s="3071"/>
      <c r="C40" s="1239" t="s">
        <v>924</v>
      </c>
      <c r="D40" s="1229" t="e">
        <f>IF('数据-取费表'!B3="万元",NUMBERSTRING(INT(D39*10000),2)&amp;"元整",NUMBERSTRING(INT(D39),2)&amp;"元整")</f>
        <v>#VALUE!</v>
      </c>
    </row>
    <row r="41" spans="2:4" ht="15.6">
      <c r="B41" s="3071"/>
      <c r="C41" s="1230" t="s">
        <v>928</v>
      </c>
      <c r="D41" s="1241" t="str">
        <f>IF('数据-取费表'!E3="否",结果表!D115,'结果表 (1修多)'!D119)</f>
        <v>——</v>
      </c>
    </row>
    <row r="42" spans="2:4" ht="15.6">
      <c r="B42" s="3070" t="str">
        <f>B21</f>
        <v>——</v>
      </c>
      <c r="C42" s="1242" t="str">
        <f>C28</f>
        <v>总价</v>
      </c>
      <c r="D42" s="1243" t="str">
        <f>IF('数据-取费表'!E3="否",结果表!I114,'结果表 (1修多)'!I116)</f>
        <v>——</v>
      </c>
    </row>
    <row r="43" spans="2:4" ht="15.6">
      <c r="B43" s="3072"/>
      <c r="C43" s="1239" t="s">
        <v>924</v>
      </c>
      <c r="D43" s="1244" t="e">
        <f>IF('数据-取费表'!B3="万元",NUMBERSTRING(INT(D42*10000),2)&amp;"元整",NUMBERSTRING(INT(D42),2)&amp;"元整")</f>
        <v>#VALUE!</v>
      </c>
    </row>
    <row r="44" spans="2:4" ht="16.2" thickBot="1">
      <c r="B44" s="3073"/>
      <c r="C44" s="1235" t="s">
        <v>928</v>
      </c>
      <c r="D44" s="1245" t="str">
        <f>IF('数据-取费表'!E3="否",结果表!D117,'结果表 (1修多)'!D121)</f>
        <v>——</v>
      </c>
    </row>
    <row r="45" spans="2:4" ht="15" thickTop="1">
      <c r="B45" s="1207" t="str">
        <f>IF('数据-取费表'!B3="元","单位：元、元/平方米（单位：人民币）","单位：万元、元/平方米（单位：人民币）")</f>
        <v>单位：元、元/平方米（单位：人民币）</v>
      </c>
    </row>
    <row r="46" spans="2:4" ht="17.399999999999999">
      <c r="B46" s="1246"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6">
      <c r="A3" s="3084"/>
      <c r="B3" s="3084"/>
      <c r="C3" s="3084"/>
      <c r="D3" s="741" t="s">
        <v>1027</v>
      </c>
      <c r="E3" s="741" t="s">
        <v>1028</v>
      </c>
      <c r="F3" s="741" t="s">
        <v>1027</v>
      </c>
      <c r="G3" s="741" t="s">
        <v>1029</v>
      </c>
      <c r="H3" s="741" t="s">
        <v>1027</v>
      </c>
      <c r="I3" s="741" t="s">
        <v>1029</v>
      </c>
    </row>
    <row r="4" spans="1:9" ht="46.5" customHeight="1">
      <c r="A4" s="741" t="str">
        <f>项目基本情况!I1</f>
        <v>北京市房地产</v>
      </c>
      <c r="B4" s="741">
        <f>结果表!B121</f>
        <v>455.84</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4" t="s">
        <v>1030</v>
      </c>
      <c r="B5" s="3084"/>
      <c r="C5" s="3084"/>
      <c r="D5" s="3082" t="str">
        <f>IF('数据-取费表'!E3="否",结果表!D122,'结果表 (1修多)'!D126)</f>
        <v>零元整</v>
      </c>
      <c r="E5" s="3082"/>
      <c r="F5" s="3082" t="str">
        <f>IF('数据-取费表'!E3="否",结果表!F122,'结果表 (1修多)'!F126)</f>
        <v>零元整</v>
      </c>
      <c r="G5" s="3082"/>
      <c r="H5" s="3082" t="str">
        <f>IF('数据-取费表'!E3="否",结果表!H122,'结果表 (1修多)'!H126)</f>
        <v>零元整</v>
      </c>
      <c r="I5" s="3082"/>
    </row>
    <row r="6" spans="1:9" ht="15.6">
      <c r="A6" s="3083" t="str">
        <f>IF('数据-取费表'!E3="否",结果表!A123,'结果表 (1修多)'!A127)</f>
        <v>估价师所知悉的法定优先受偿款</v>
      </c>
      <c r="B6" s="3083"/>
      <c r="C6" s="3083"/>
      <c r="D6" s="3083">
        <f>IF('数据-取费表'!E3="否",结果表!D123,'结果表 (1修多)'!D127)</f>
        <v>0</v>
      </c>
      <c r="E6" s="3083"/>
      <c r="F6" s="3083"/>
      <c r="G6" s="3083"/>
      <c r="H6" s="3083"/>
      <c r="I6" s="3083"/>
    </row>
    <row r="7" spans="1:9" ht="15">
      <c r="A7" s="3084" t="s">
        <v>1030</v>
      </c>
      <c r="B7" s="3084"/>
      <c r="C7" s="3084"/>
      <c r="D7" s="3085">
        <f>IF('数据-取费表'!E3="否",结果表!D124,'结果表 (1修多)'!D128)</f>
        <v>0</v>
      </c>
      <c r="E7" s="3086"/>
      <c r="F7" s="3086"/>
      <c r="G7" s="3086"/>
      <c r="H7" s="3086"/>
      <c r="I7" s="3087"/>
    </row>
    <row r="8" spans="1:9" ht="15.6">
      <c r="A8" s="3083" t="str">
        <f>IF('数据-取费表'!E3="否",结果表!A125,'结果表 (1修多)'!A129)</f>
        <v>房地产抵押价值</v>
      </c>
      <c r="B8" s="3083"/>
      <c r="C8" s="3083"/>
      <c r="D8" s="3083">
        <f>IF('数据-取费表'!E3="否",结果表!D125,'结果表 (1修多)'!D129)</f>
        <v>0</v>
      </c>
      <c r="E8" s="3083"/>
      <c r="F8" s="3083"/>
      <c r="G8" s="3083"/>
      <c r="H8" s="3083"/>
      <c r="I8" s="3083"/>
    </row>
    <row r="9" spans="1:9" ht="15">
      <c r="A9" s="3084" t="s">
        <v>1030</v>
      </c>
      <c r="B9" s="3084"/>
      <c r="C9" s="3084"/>
      <c r="D9" s="3082" t="e">
        <f>IF('数据-取费表'!E3="否",结果表!D126,'结果表 (1修多)'!D130)</f>
        <v>#DIV/0!</v>
      </c>
      <c r="E9" s="3082"/>
      <c r="F9" s="3082"/>
      <c r="G9" s="3082"/>
      <c r="H9" s="3082"/>
      <c r="I9" s="3082"/>
    </row>
    <row r="10" spans="1:9" ht="15.6">
      <c r="A10" s="3083" t="str">
        <f>IF('数据-取费表'!E3="否",结果表!A127,'结果表 (1修多)'!A131)</f>
        <v/>
      </c>
      <c r="B10" s="3083"/>
      <c r="C10" s="3083"/>
      <c r="D10" s="3083" t="e">
        <f>IF('数据-取费表'!E3="否",结果表!D127,'结果表 (1修多)'!D130)</f>
        <v>#DIV/0!</v>
      </c>
      <c r="E10" s="3083"/>
      <c r="F10" s="3083"/>
      <c r="G10" s="3083"/>
      <c r="H10" s="3083"/>
      <c r="I10" s="3083"/>
    </row>
    <row r="11" spans="1:9" ht="15">
      <c r="A11" s="3084" t="s">
        <v>1030</v>
      </c>
      <c r="B11" s="3084"/>
      <c r="C11" s="3084"/>
      <c r="D11" s="3082" t="str">
        <f>IF('数据-取费表'!E3="否",结果表!D128,'结果表 (1修多)'!D132)</f>
        <v>——</v>
      </c>
      <c r="E11" s="3082"/>
      <c r="F11" s="3082"/>
      <c r="G11" s="3082"/>
      <c r="H11" s="3082"/>
      <c r="I11" s="3082"/>
    </row>
    <row r="12" spans="1:9" ht="15.6">
      <c r="A12" s="3083" t="str">
        <f>IF('数据-取费表'!E3="否",结果表!A129,'结果表 (1修多)'!A133)</f>
        <v/>
      </c>
      <c r="B12" s="3083"/>
      <c r="C12" s="3083"/>
      <c r="D12" s="3083" t="str">
        <f>IF('数据-取费表'!E3="否",结果表!D129,'结果表 (1修多)'!D133)</f>
        <v>——</v>
      </c>
      <c r="E12" s="3083"/>
      <c r="F12" s="3083"/>
      <c r="G12" s="3083"/>
      <c r="H12" s="3083"/>
      <c r="I12" s="3083"/>
    </row>
    <row r="13" spans="1:9" ht="15.6" thickBot="1">
      <c r="A13" s="3090" t="s">
        <v>1030</v>
      </c>
      <c r="B13" s="3090"/>
      <c r="C13" s="3090"/>
      <c r="D13" s="3091">
        <f>IF('数据-取费表'!E3="否",结果表!D130,'结果表 (1修多)'!D134)</f>
        <v>0</v>
      </c>
      <c r="E13" s="3091"/>
      <c r="F13" s="3091"/>
      <c r="G13" s="3091"/>
      <c r="H13" s="3091"/>
      <c r="I13" s="3091"/>
    </row>
    <row r="14" spans="1:9" ht="14.4" thickTop="1">
      <c r="A14" s="3092" t="str">
        <f>IF('数据-取费表'!E3="否",结果表!A131,'结果表 (1修多)'!A135)</f>
        <v>单位：平方米、元、元/平方米（币种：人民币）</v>
      </c>
      <c r="B14" s="3092"/>
      <c r="C14" s="3092"/>
      <c r="D14" s="3092"/>
      <c r="E14" s="3092"/>
      <c r="F14" s="3092"/>
      <c r="G14" s="3092"/>
      <c r="H14" s="3092"/>
      <c r="I14" s="3092"/>
    </row>
    <row r="16" spans="1:9" ht="17.399999999999999">
      <c r="A16" s="1220"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097" t="s">
        <v>1043</v>
      </c>
      <c r="B1" s="3097"/>
      <c r="C1" s="3097"/>
      <c r="D1" s="3097"/>
    </row>
    <row r="2" spans="1:4" ht="17.399999999999999">
      <c r="A2" s="3096" t="s">
        <v>1032</v>
      </c>
      <c r="B2" s="3096"/>
      <c r="C2" s="3096"/>
      <c r="D2" s="3096"/>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6" t="s">
        <v>1037</v>
      </c>
      <c r="B7" s="3096"/>
      <c r="C7" s="3096"/>
      <c r="D7" s="3096"/>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3" t="s">
        <v>2496</v>
      </c>
      <c r="B12" s="3095"/>
      <c r="C12" s="3095"/>
      <c r="D12" s="3095"/>
    </row>
    <row r="13" spans="1:4" ht="15.6">
      <c r="A13" s="30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5"/>
      <c r="C13" s="3095"/>
      <c r="D13" s="3095"/>
    </row>
    <row r="14" spans="1:4" ht="30" customHeight="1">
      <c r="A14" s="30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5"/>
      <c r="C14" s="3095"/>
      <c r="D14" s="3095"/>
    </row>
    <row r="15" spans="1:4" ht="15.75" customHeight="1">
      <c r="A15" s="3093" t="str">
        <f>IF(项目基本情况!D4="抵押","4.本次评估估价师所知悉的法定优先受偿款情况说明如下：","——")</f>
        <v>4.本次评估估价师所知悉的法定优先受偿款情况说明如下：</v>
      </c>
      <c r="B15" s="3095"/>
      <c r="C15" s="3095"/>
      <c r="D15" s="3095"/>
    </row>
    <row r="16" spans="1:4" ht="75" customHeight="1">
      <c r="A16" s="30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3"/>
      <c r="C16" s="3093"/>
      <c r="D16" s="3093"/>
    </row>
    <row r="17" spans="1:4" ht="63.75" customHeight="1">
      <c r="A17" s="3094" t="s">
        <v>1045</v>
      </c>
      <c r="B17" s="3094"/>
      <c r="C17" s="3094"/>
      <c r="D17" s="3094"/>
    </row>
    <row r="18" spans="1:4" ht="15.75" customHeight="1">
      <c r="A18" s="3093" t="str">
        <f>IF(项目基本情况!D4="抵押",结果表!L106,"——")</f>
        <v>本次评估不存在估价师所知悉的法定优先受偿款。</v>
      </c>
      <c r="B18" s="3093"/>
      <c r="C18" s="3093"/>
      <c r="D18" s="3093"/>
    </row>
    <row r="19" spans="1:4" ht="46.5" customHeight="1">
      <c r="A19" s="30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3"/>
      <c r="C19" s="3093"/>
      <c r="D19" s="3093"/>
    </row>
    <row r="20" spans="1:4" ht="15">
      <c r="A20" s="3094" t="s">
        <v>2497</v>
      </c>
      <c r="B20" s="3094"/>
      <c r="C20" s="3094"/>
      <c r="D20" s="3094"/>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3" t="s">
        <v>1124</v>
      </c>
      <c r="B15" s="3098" t="s">
        <v>1125</v>
      </c>
      <c r="C15" s="3099"/>
    </row>
    <row r="16" spans="1:7" ht="14.4">
      <c r="A16" s="3104"/>
      <c r="B16" s="3098" t="s">
        <v>1126</v>
      </c>
      <c r="C16" s="3099"/>
    </row>
    <row r="17" spans="1:3" ht="14.4">
      <c r="A17" s="3104"/>
      <c r="B17" s="3098" t="s">
        <v>1127</v>
      </c>
      <c r="C17" s="3099"/>
    </row>
    <row r="18" spans="1:3" ht="14.4">
      <c r="A18" s="3105"/>
      <c r="B18" s="3100" t="s">
        <v>1128</v>
      </c>
      <c r="C18" s="3099"/>
    </row>
    <row r="19" spans="1:3" ht="14.4">
      <c r="A19" s="1270" t="s">
        <v>1129</v>
      </c>
      <c r="B19" s="1271"/>
      <c r="C19" s="1272"/>
    </row>
    <row r="20" spans="1:3" ht="14.4">
      <c r="A20" s="3101" t="s">
        <v>1130</v>
      </c>
      <c r="B20" s="3100" t="s">
        <v>1131</v>
      </c>
      <c r="C20" s="3099"/>
    </row>
    <row r="21" spans="1:3" ht="14.4">
      <c r="A21" s="3101"/>
      <c r="B21" s="3100" t="s">
        <v>1132</v>
      </c>
      <c r="C21" s="3099"/>
    </row>
    <row r="22" spans="1:3" ht="14.4">
      <c r="A22" s="3101"/>
      <c r="B22" s="3100" t="s">
        <v>1133</v>
      </c>
      <c r="C22" s="3099"/>
    </row>
    <row r="23" spans="1:3" ht="14.4">
      <c r="A23" s="3101"/>
      <c r="B23" s="3102" t="s">
        <v>1134</v>
      </c>
      <c r="C23" s="1273" t="s">
        <v>1135</v>
      </c>
    </row>
    <row r="24" spans="1:3" ht="14.4">
      <c r="A24" s="3101"/>
      <c r="B24" s="3102"/>
      <c r="C24" s="1273" t="s">
        <v>1136</v>
      </c>
    </row>
    <row r="25" spans="1:3" ht="14.4">
      <c r="A25" s="3101"/>
      <c r="B25" s="3102"/>
      <c r="C25" s="1273" t="s">
        <v>1137</v>
      </c>
    </row>
    <row r="26" spans="1:3" ht="14.4">
      <c r="A26" s="3101"/>
      <c r="B26" s="3102"/>
      <c r="C26" s="1273" t="s">
        <v>1138</v>
      </c>
    </row>
    <row r="27" spans="1:3" ht="14.4">
      <c r="A27" s="3101"/>
      <c r="B27" s="3102"/>
      <c r="C27" s="1273" t="s">
        <v>1139</v>
      </c>
    </row>
    <row r="28" spans="1:3" ht="14.4">
      <c r="A28" s="3101"/>
      <c r="B28" s="3102"/>
      <c r="C28" s="1273" t="s">
        <v>1140</v>
      </c>
    </row>
    <row r="29" spans="1:3" ht="14.4">
      <c r="A29" s="3101"/>
      <c r="B29" s="3102"/>
      <c r="C29" s="1273" t="s">
        <v>1141</v>
      </c>
    </row>
    <row r="30" spans="1:3" ht="14.4">
      <c r="A30" s="3101"/>
      <c r="B30" s="3102"/>
      <c r="C30" s="1273" t="s">
        <v>1142</v>
      </c>
    </row>
    <row r="31" spans="1:3" ht="14.4">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44908</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t="str">
        <f ca="1">IF(C8&lt;B2,"已过期",1419970001)</f>
        <v>已过期</v>
      </c>
      <c r="C8" s="2752">
        <v>44899</v>
      </c>
      <c r="D8" s="2762" t="str">
        <f t="shared" ca="1" si="0"/>
        <v>吴薇（注册号：已过期）</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本次估价的“房地产价值”是指在正常市场情况下，在价值时点2022年12月13日，估价对象规划用途为，假定未设立法定优先受偿款下的房地产市场价值。</v>
      </c>
    </row>
    <row r="54" spans="1:4" ht="14.4">
      <c r="A54" s="3109"/>
      <c r="B54" s="8" t="s">
        <v>1280</v>
      </c>
      <c r="C54" s="8" t="s">
        <v>1281</v>
      </c>
    </row>
    <row r="55" spans="1:4" ht="14.4">
      <c r="A55" s="3109"/>
      <c r="B55" s="8" t="s">
        <v>1282</v>
      </c>
      <c r="C55" s="8" t="s">
        <v>1283</v>
      </c>
    </row>
    <row r="56" spans="1:4" ht="14.4">
      <c r="A56" s="3109"/>
      <c r="B56" s="8" t="s">
        <v>1284</v>
      </c>
      <c r="C56" s="8" t="s">
        <v>1285</v>
      </c>
    </row>
    <row r="57" spans="1:4" ht="14.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2022-12-13T04:23:18Z</dcterms:modified>
</cp:coreProperties>
</file>